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9585" yWindow="-15" windowWidth="9630" windowHeight="11205" tabRatio="899" firstSheet="11"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R48" i="34" l="1"/>
  <c r="B2" i="1"/>
  <c r="C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D78" i="34"/>
  <c r="E78" i="34"/>
  <c r="F15" i="34"/>
  <c r="AA15" i="34"/>
  <c r="D80" i="34"/>
  <c r="F17" i="34"/>
  <c r="AA17" i="34"/>
  <c r="D82" i="34"/>
  <c r="E82" i="34"/>
  <c r="F19" i="34"/>
  <c r="AA19" i="34"/>
  <c r="D84" i="34"/>
  <c r="F21" i="34"/>
  <c r="AA21" i="34"/>
  <c r="D86" i="34"/>
  <c r="F23" i="34"/>
  <c r="AA23" i="34"/>
  <c r="F25" i="34"/>
  <c r="AA25" i="34"/>
  <c r="B89" i="34"/>
  <c r="D90" i="34"/>
  <c r="F27" i="34"/>
  <c r="AA27" i="34"/>
  <c r="B91" i="34"/>
  <c r="F28" i="34"/>
  <c r="AA28" i="34"/>
  <c r="B93" i="34"/>
  <c r="F29" i="34"/>
  <c r="AA29" i="34"/>
  <c r="B95" i="34"/>
  <c r="F30" i="34"/>
  <c r="AA30" i="34"/>
  <c r="B97" i="34"/>
  <c r="F31" i="34"/>
  <c r="AA31" i="34"/>
  <c r="B99" i="34"/>
  <c r="F32" i="34"/>
  <c r="AA32" i="34"/>
  <c r="F33" i="34"/>
  <c r="AA33" i="34"/>
  <c r="A27" i="77"/>
  <c r="C34" i="34"/>
  <c r="F34" i="34"/>
  <c r="AA34" i="34"/>
  <c r="F35" i="34"/>
  <c r="AA35" i="34"/>
  <c r="F36" i="34"/>
  <c r="AA36" i="34"/>
  <c r="D112" i="34"/>
  <c r="E112" i="34"/>
  <c r="F112" i="34"/>
  <c r="G112" i="34"/>
  <c r="F37" i="34"/>
  <c r="AA37" i="34"/>
  <c r="F38" i="34"/>
  <c r="AA38" i="34"/>
  <c r="F39" i="34"/>
  <c r="AA39" i="34"/>
  <c r="F40" i="34"/>
  <c r="AA40" i="34"/>
  <c r="F41" i="34"/>
  <c r="AA41" i="34"/>
  <c r="F42" i="34"/>
  <c r="AA42" i="34"/>
  <c r="F43" i="34"/>
  <c r="AA43" i="34"/>
  <c r="D126" i="34"/>
  <c r="F44" i="34"/>
  <c r="AA44" i="34"/>
  <c r="B127" i="34"/>
  <c r="F45" i="34"/>
  <c r="AA45" i="34"/>
  <c r="B129" i="34"/>
  <c r="F46" i="34"/>
  <c r="AA46" i="34"/>
  <c r="B131" i="34"/>
  <c r="F47" i="34"/>
  <c r="AA47" i="34"/>
  <c r="R49"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0" i="34"/>
  <c r="AB40" i="34"/>
  <c r="H41" i="34"/>
  <c r="AB41" i="34"/>
  <c r="H42" i="34"/>
  <c r="AB42" i="34"/>
  <c r="H43" i="34"/>
  <c r="AB43" i="34"/>
  <c r="H44" i="34"/>
  <c r="AB44" i="34"/>
  <c r="H45" i="34"/>
  <c r="AB45" i="34"/>
  <c r="H46" i="34"/>
  <c r="AB46" i="34"/>
  <c r="H47" i="34"/>
  <c r="AB47" i="34"/>
  <c r="T49" i="34"/>
  <c r="V48"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B3" i="34"/>
  <c r="C20" i="9"/>
  <c r="A6" i="1"/>
  <c r="G1" i="15"/>
  <c r="F6" i="15"/>
  <c r="F8" i="15"/>
  <c r="C5" i="77"/>
  <c r="I13" i="3"/>
  <c r="F19" i="6"/>
  <c r="E19" i="6"/>
  <c r="K6" i="1"/>
  <c r="F7" i="15"/>
  <c r="F9" i="15"/>
  <c r="C6" i="15"/>
  <c r="C1" i="73"/>
  <c r="L1" i="73"/>
  <c r="F4" i="73"/>
  <c r="I1" i="73"/>
  <c r="B39" i="1"/>
  <c r="F11" i="15"/>
  <c r="C10" i="15"/>
  <c r="C5" i="15"/>
  <c r="B43" i="1"/>
  <c r="B41" i="1"/>
  <c r="F32" i="15"/>
  <c r="C42" i="1"/>
  <c r="C32" i="15"/>
  <c r="M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T6" i="1"/>
  <c r="C14" i="15"/>
  <c r="F15" i="15"/>
  <c r="C15" i="15"/>
  <c r="F16" i="15"/>
  <c r="C16" i="15"/>
  <c r="F43" i="15"/>
  <c r="F17" i="15"/>
  <c r="C17" i="15"/>
  <c r="F18" i="15"/>
  <c r="C18" i="15"/>
  <c r="C19" i="15"/>
  <c r="F20" i="15"/>
  <c r="C20" i="15"/>
  <c r="J1" i="73"/>
  <c r="D5" i="73"/>
  <c r="B22" i="1"/>
  <c r="E1" i="73"/>
  <c r="K1" i="73"/>
  <c r="G1" i="73"/>
  <c r="B40" i="1"/>
  <c r="F24" i="15"/>
  <c r="F23" i="15"/>
  <c r="C23" i="15"/>
  <c r="F26" i="15"/>
  <c r="C26" i="15"/>
  <c r="F21" i="15"/>
  <c r="C24" i="15"/>
  <c r="C27" i="15"/>
  <c r="F28" i="15"/>
  <c r="C28" i="15"/>
  <c r="C29" i="15"/>
  <c r="F33" i="15"/>
  <c r="C33"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C6" i="77"/>
  <c r="I14"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L19" i="6"/>
  <c r="M19" i="6"/>
  <c r="I19" i="6"/>
  <c r="H19" i="6"/>
  <c r="R19" i="6"/>
  <c r="R6" i="1"/>
  <c r="F35" i="15"/>
  <c r="B52" i="1"/>
  <c r="F34" i="15"/>
  <c r="C34" i="15"/>
  <c r="C31" i="15"/>
  <c r="F36" i="15"/>
  <c r="C36" i="15"/>
  <c r="F13" i="15"/>
  <c r="C13" i="15"/>
  <c r="F37" i="15"/>
  <c r="C37" i="15"/>
  <c r="F38" i="15"/>
  <c r="C38" i="15"/>
  <c r="C30" i="15"/>
  <c r="C39" i="15"/>
  <c r="F42" i="15"/>
  <c r="F40" i="15"/>
  <c r="F15" i="4"/>
  <c r="F6" i="1"/>
  <c r="L48" i="15"/>
  <c r="M47" i="15"/>
  <c r="J50" i="15"/>
  <c r="J51" i="15"/>
  <c r="J53" i="15"/>
  <c r="F1" i="15"/>
  <c r="AE6" i="1"/>
  <c r="F41" i="15"/>
  <c r="C40" i="15"/>
  <c r="M6" i="15"/>
  <c r="M8" i="15"/>
  <c r="M7" i="15"/>
  <c r="M9" i="15"/>
  <c r="J6" i="15"/>
  <c r="M11" i="15"/>
  <c r="J10" i="15"/>
  <c r="J5" i="15"/>
  <c r="J26" i="15"/>
  <c r="J29" i="15"/>
  <c r="J60" i="15"/>
  <c r="L46" i="15"/>
  <c r="B2" i="15"/>
  <c r="B3" i="15"/>
  <c r="D20" i="9"/>
  <c r="C17" i="9"/>
  <c r="D17" i="9"/>
  <c r="C18" i="9"/>
  <c r="D18" i="9"/>
  <c r="G20" i="9"/>
  <c r="R24" i="31"/>
  <c r="B24" i="31"/>
  <c r="S24" i="31"/>
  <c r="B25" i="31"/>
  <c r="C25" i="31"/>
  <c r="E25" i="31"/>
  <c r="G25" i="31"/>
  <c r="I25" i="31"/>
  <c r="K25" i="31"/>
  <c r="M25" i="31"/>
  <c r="O25" i="31"/>
  <c r="Q25" i="31"/>
  <c r="R25" i="31"/>
  <c r="S25" i="31"/>
  <c r="C26" i="31"/>
  <c r="E26" i="31"/>
  <c r="G26" i="31"/>
  <c r="I26" i="31"/>
  <c r="K26" i="31"/>
  <c r="M26" i="31"/>
  <c r="O26" i="31"/>
  <c r="Q26" i="31"/>
  <c r="R26" i="31"/>
  <c r="S26" i="31"/>
  <c r="C27" i="31"/>
  <c r="E27" i="31"/>
  <c r="G27" i="31"/>
  <c r="I27" i="31"/>
  <c r="K27" i="31"/>
  <c r="M27" i="31"/>
  <c r="O27" i="31"/>
  <c r="Q27" i="31"/>
  <c r="R27" i="31"/>
  <c r="S27" i="31"/>
  <c r="C28" i="31"/>
  <c r="E28" i="31"/>
  <c r="G28" i="31"/>
  <c r="I28" i="31"/>
  <c r="K28" i="31"/>
  <c r="M28" i="31"/>
  <c r="O28" i="31"/>
  <c r="Q28" i="31"/>
  <c r="R28" i="31"/>
  <c r="S28" i="31"/>
  <c r="C29" i="31"/>
  <c r="E29" i="31"/>
  <c r="G29" i="31"/>
  <c r="I29" i="31"/>
  <c r="K29" i="31"/>
  <c r="M29" i="31"/>
  <c r="O29" i="31"/>
  <c r="Q29" i="31"/>
  <c r="R29" i="31"/>
  <c r="S29" i="31"/>
  <c r="C30" i="31"/>
  <c r="E30" i="31"/>
  <c r="G30" i="31"/>
  <c r="I30" i="31"/>
  <c r="K30" i="31"/>
  <c r="M30" i="31"/>
  <c r="O30" i="31"/>
  <c r="Q30" i="31"/>
  <c r="R30" i="31"/>
  <c r="S30" i="31"/>
  <c r="C31" i="31"/>
  <c r="E31" i="31"/>
  <c r="G31" i="31"/>
  <c r="I31" i="31"/>
  <c r="K31" i="31"/>
  <c r="M31" i="31"/>
  <c r="O31" i="31"/>
  <c r="Q31"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D15" i="74"/>
  <c r="G15" i="74"/>
  <c r="M19" i="9"/>
  <c r="C118" i="9"/>
  <c r="C14" i="74"/>
  <c r="C15" i="74"/>
  <c r="B22" i="31"/>
  <c r="B15" i="74"/>
  <c r="C2" i="77"/>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AD5" i="3"/>
  <c r="AH5" i="3"/>
  <c r="AL5" i="3"/>
  <c r="AP5" i="3"/>
  <c r="I5" i="3"/>
  <c r="K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7" i="71"/>
  <c r="AG7" i="71"/>
  <c r="AE7" i="71"/>
  <c r="AF7" i="71"/>
  <c r="AD7" i="71"/>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E84"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F7" i="69"/>
  <c r="C7" i="69"/>
  <c r="AC21" i="37"/>
  <c r="W21" i="37"/>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32" i="31"/>
  <c r="Q32" i="31"/>
  <c r="C33" i="31"/>
  <c r="Q33" i="31"/>
  <c r="C34" i="31"/>
  <c r="Q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M10" i="1"/>
  <c r="O10" i="1"/>
  <c r="B23" i="1"/>
  <c r="B24" i="1"/>
  <c r="D78" i="9"/>
  <c r="K8" i="1"/>
  <c r="M8" i="1"/>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E90" i="34"/>
  <c r="F90" i="34"/>
  <c r="G90" i="34"/>
  <c r="H90" i="34"/>
  <c r="I90" i="34"/>
  <c r="J90" i="34"/>
  <c r="K90" i="34"/>
  <c r="L90" i="34"/>
  <c r="M90" i="34"/>
  <c r="C15" i="34"/>
  <c r="F67" i="34"/>
  <c r="G67"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D88" i="34"/>
  <c r="E88" i="34"/>
  <c r="F88" i="34"/>
  <c r="G88" i="34"/>
  <c r="H88" i="34"/>
  <c r="I88" i="34"/>
  <c r="J88" i="34"/>
  <c r="K88" i="34"/>
  <c r="L88" i="34"/>
  <c r="M88" i="34"/>
  <c r="E86" i="34"/>
  <c r="F86" i="34"/>
  <c r="G86" i="34"/>
  <c r="F82" i="34"/>
  <c r="G82" i="34"/>
  <c r="E80" i="34"/>
  <c r="F80" i="34"/>
  <c r="G80"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S45" i="33"/>
  <c r="AB45" i="33"/>
  <c r="AB31" i="33"/>
  <c r="U31" i="33"/>
  <c r="W29" i="33"/>
  <c r="U13" i="33"/>
  <c r="AC28" i="21"/>
  <c r="S44" i="34"/>
  <c r="F17" i="21"/>
  <c r="AA17" i="21"/>
  <c r="H17" i="21"/>
  <c r="AB17" i="21"/>
  <c r="F15" i="21"/>
  <c r="S15" i="21"/>
  <c r="AB11" i="21"/>
  <c r="J41" i="39"/>
  <c r="W41" i="39"/>
  <c r="AC45" i="39"/>
  <c r="W44" i="39"/>
  <c r="W36" i="39"/>
  <c r="W35" i="39"/>
  <c r="U36" i="39"/>
  <c r="S35" i="39"/>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BC5" i="3"/>
  <c r="BB5" i="3"/>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O9" i="1"/>
  <c r="P9" i="1"/>
  <c r="AE9" i="1"/>
  <c r="D93" i="9"/>
  <c r="E12" i="6"/>
  <c r="E15" i="6"/>
  <c r="E60" i="40"/>
  <c r="E13" i="6"/>
  <c r="E58" i="40"/>
  <c r="G29" i="6"/>
  <c r="E29" i="6"/>
  <c r="AC26" i="33"/>
  <c r="W26" i="33"/>
  <c r="W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U30" i="33"/>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AC34" i="3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8" i="21"/>
  <c r="H58" i="21"/>
  <c r="I58" i="21"/>
  <c r="J58" i="21"/>
  <c r="K58" i="21"/>
  <c r="L58" i="21"/>
  <c r="M58" i="21"/>
  <c r="N58" i="21"/>
  <c r="O58" i="21"/>
  <c r="E63" i="40"/>
  <c r="D65" i="40"/>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J5" i="67"/>
  <c r="H20" i="6"/>
  <c r="B2" i="74"/>
  <c r="AB7" i="36"/>
  <c r="T36" i="36"/>
  <c r="C23" i="68"/>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B2" i="34"/>
  <c r="C19" i="9"/>
  <c r="E2" i="68"/>
  <c r="D2" i="35"/>
  <c r="B20" i="31"/>
  <c r="B2" i="36"/>
  <c r="B3" i="36"/>
  <c r="B2" i="35"/>
  <c r="B3" i="35"/>
  <c r="B2" i="37"/>
  <c r="B3" i="37"/>
  <c r="B2" i="21"/>
  <c r="B3" i="21"/>
  <c r="B2" i="70"/>
  <c r="B3" i="70"/>
  <c r="C102" i="9"/>
  <c r="C21" i="9"/>
  <c r="B3" i="68"/>
  <c r="D19" i="9"/>
  <c r="G19" i="9"/>
  <c r="D102" i="9"/>
  <c r="D22" i="9"/>
  <c r="D21" i="9"/>
  <c r="C103" i="9"/>
  <c r="D103" i="9"/>
  <c r="C32" i="9"/>
  <c r="G21"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<sst xmlns="http://schemas.openxmlformats.org/spreadsheetml/2006/main" count="7394" uniqueCount="3130">
  <si>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</si>
  <si>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</si>
  <si>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</si>
  <si>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</si>
  <si>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</si>
  <si>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</si>
  <si>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</si>
  <si>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</si>
  <si>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</si>
  <si>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</si>
  <si>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</si>
  <si>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</si>
  <si>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</si>
  <si>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</si>
  <si>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</si>
  <si>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</si>
  <si>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</si>
  <si>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</si>
  <si>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</si>
  <si>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</si>
  <si>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</si>
  <si>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</si>
  <si>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</si>
  <si>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</si>
  <si>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</si>
  <si>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</si>
  <si>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</si>
  <si>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</si>
  <si>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</si>
  <si>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</si>
  <si>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</si>
  <si>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</si>
  <si>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</si>
  <si>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</si>
  <si>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</si>
  <si>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</si>
  <si>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</si>
  <si>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</si>
  <si>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</si>
  <si>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</si>
  <si>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</si>
  <si>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</si>
  <si>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</si>
  <si>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</si>
  <si>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</si>
  <si>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</si>
  <si>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</si>
  <si>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</si>
  <si>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</si>
  <si>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</si>
  <si>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</si>
  <si>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</si>
  <si>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</si>
  <si>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</si>
  <si>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</si>
  <si>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</si>
  <si>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</si>
  <si>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</si>
  <si>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</si>
  <si>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</si>
  <si>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</si>
  <si>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</si>
  <si>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</si>
  <si>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</si>
  <si>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</si>
  <si>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</si>
  <si>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</si>
  <si>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</si>
  <si>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</si>
  <si>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</si>
  <si>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</si>
  <si>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</si>
  <si>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</si>
  <si>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</si>
  <si>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</si>
  <si>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</si>
  <si>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</si>
  <si>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</si>
  <si>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</si>
  <si>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</si>
  <si>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</si>
  <si>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</si>
  <si>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</si>
  <si>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</si>
  <si>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</si>
  <si>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</si>
  <si>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</si>
  <si>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</si>
  <si>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</si>
  <si>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</si>
  <si>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</si>
  <si>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</si>
  <si>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</si>
  <si>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</si>
  <si>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</si>
  <si>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</si>
  <si>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</si>
  <si>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</si>
  <si>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</si>
  <si>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</si>
  <si>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</si>
  <si>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</si>
  <si>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</si>
  <si>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</si>
  <si>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</si>
  <si>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</si>
  <si>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</si>
  <si>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</si>
  <si>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</si>
  <si>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</si>
  <si>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</si>
  <si>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</si>
  <si>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</si>
  <si>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</si>
  <si>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</si>
  <si>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</si>
  <si>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</si>
  <si>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</si>
  <si>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</si>
  <si>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</si>
  <si>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</si>
  <si>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</si>
  <si>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</si>
  <si>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</si>
  <si>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</si>
  <si>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</si>
  <si>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</si>
  <si>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</si>
  <si>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</si>
  <si>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</si>
  <si>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</si>
  <si>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</si>
  <si>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</si>
  <si>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</si>
  <si>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</si>
  <si>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</si>
  <si>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</si>
  <si>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</si>
  <si>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</si>
  <si>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</si>
  <si>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</si>
  <si>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</si>
  <si>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</si>
  <si>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</si>
  <si>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</si>
  <si>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</si>
  <si>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</si>
  <si>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</si>
  <si>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</si>
  <si>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</si>
  <si>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</si>
  <si>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</si>
  <si>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</si>
  <si>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</si>
  <si>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</si>
  <si>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</si>
  <si>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</si>
  <si>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</si>
  <si>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</si>
  <si>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</si>
  <si>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</si>
  <si>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</si>
  <si>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</si>
  <si>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</si>
  <si>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</si>
  <si>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</si>
  <si>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</si>
  <si>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</si>
  <si>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</si>
  <si>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</si>
  <si>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</si>
  <si>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</si>
  <si>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</si>
  <si>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</si>
  <si>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</si>
  <si>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</si>
  <si>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</si>
  <si>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</si>
  <si>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</si>
  <si>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</si>
  <si>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</si>
  <si>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</si>
  <si>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</si>
  <si>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</si>
  <si>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</si>
  <si>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</si>
  <si>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</si>
  <si>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</si>
  <si>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</si>
  <si>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</si>
  <si>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</si>
  <si>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</si>
  <si>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</si>
  <si>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</si>
  <si>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</si>
  <si>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</si>
  <si>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</si>
  <si>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</si>
  <si>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</si>
  <si>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</si>
  <si>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</si>
  <si>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</si>
  <si>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</si>
  <si>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</si>
  <si>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</si>
  <si>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</si>
  <si>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</si>
  <si>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</si>
  <si>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</si>
  <si>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</si>
  <si>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</si>
  <si>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</si>
  <si>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</si>
  <si>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</si>
  <si>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</si>
  <si>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</si>
  <si>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</si>
  <si>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</si>
  <si>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</si>
  <si>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</si>
  <si>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</si>
  <si>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</si>
  <si>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</si>
  <si>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</si>
  <si>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</si>
  <si>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</si>
  <si>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</si>
  <si>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</si>
  <si>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</si>
  <si>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</si>
  <si>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</si>
  <si>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</si>
  <si>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</si>
  <si>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</si>
  <si>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</si>
  <si>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</si>
  <si>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</si>
  <si>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</si>
  <si>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</si>
  <si>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</si>
  <si>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</si>
  <si>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</si>
  <si>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</si>
  <si>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</si>
  <si>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</si>
  <si>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</si>
  <si>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</si>
  <si>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</si>
  <si>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</si>
  <si>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</si>
  <si>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</si>
  <si>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</si>
  <si>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</si>
  <si>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</si>
  <si>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</si>
  <si>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</si>
  <si>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</si>
  <si>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</si>
  <si>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</si>
  <si>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</si>
  <si>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</si>
  <si>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</si>
  <si>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</si>
  <si>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</si>
  <si>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</si>
  <si>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</si>
  <si>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</si>
  <si>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</si>
  <si>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</si>
  <si>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</si>
  <si>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</si>
  <si>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</si>
  <si>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</si>
  <si>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</si>
  <si>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</si>
  <si>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</si>
  <si>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</si>
  <si>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</si>
  <si>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</si>
  <si>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</si>
  <si>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</si>
  <si>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</si>
  <si>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</si>
  <si>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</si>
  <si>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</si>
  <si>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</si>
  <si>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</si>
  <si>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</si>
  <si>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</si>
  <si>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</si>
  <si>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</si>
  <si>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</si>
  <si>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</si>
  <si>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</si>
  <si>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</si>
  <si>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</si>
  <si>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</si>
  <si>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</si>
  <si>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</si>
  <si>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</si>
  <si>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</si>
  <si>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</si>
  <si>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</si>
  <si>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</si>
  <si>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</si>
  <si>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</si>
  <si>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</si>
  <si>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</si>
  <si>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</si>
  <si>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</si>
  <si>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</si>
  <si>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</si>
  <si>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</si>
  <si>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</si>
  <si>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</si>
  <si>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</si>
  <si>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</si>
  <si>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</si>
  <si>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</si>
  <si>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</si>
  <si>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</si>
  <si>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</si>
  <si>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</si>
  <si>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</si>
  <si>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</si>
  <si>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</si>
  <si>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</si>
  <si>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</si>
  <si>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</si>
  <si>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</si>
  <si>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</si>
  <si>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</si>
  <si>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</si>
  <si>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</si>
  <si>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</si>
  <si>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</si>
  <si>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</si>
  <si>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</si>
  <si>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</si>
  <si>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</si>
  <si>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</si>
  <si>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</si>
  <si>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</si>
  <si>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</si>
  <si>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</si>
  <si>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</si>
  <si>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</si>
  <si>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</si>
  <si>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</si>
  <si>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</si>
  <si>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</si>
  <si>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</si>
  <si>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</si>
  <si>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</si>
  <si>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</si>
  <si>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</si>
  <si>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</si>
  <si>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</si>
  <si>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</si>
  <si>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</si>
  <si>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</si>
  <si>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</si>
  <si>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</si>
  <si>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</si>
  <si>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</si>
  <si>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</si>
  <si>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</si>
  <si>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</si>
  <si>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</si>
  <si>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</si>
  <si>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</si>
  <si>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</si>
  <si>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</si>
  <si>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</si>
  <si>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</si>
  <si>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</si>
  <si>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</si>
  <si>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</si>
  <si>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</si>
  <si>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</si>
  <si>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</si>
  <si>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</si>
  <si>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</si>
  <si>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</si>
  <si>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</si>
  <si>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</si>
  <si>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</si>
  <si>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</si>
  <si>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</si>
  <si>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</si>
  <si>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</si>
  <si>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</si>
  <si>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</si>
  <si>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</si>
  <si>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</si>
  <si>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</si>
  <si>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</si>
  <si>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</si>
  <si>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</si>
  <si>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</si>
  <si>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</si>
  <si>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</si>
  <si>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</si>
  <si>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</si>
  <si>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</si>
  <si>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</si>
  <si>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</si>
  <si>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</si>
  <si>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</si>
  <si>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</si>
  <si>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</si>
  <si>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</si>
  <si>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</si>
  <si>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</si>
  <si>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</si>
  <si>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</si>
  <si>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</si>
  <si>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</si>
  <si>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</si>
  <si>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</si>
  <si>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</si>
  <si>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</si>
  <si>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</si>
  <si>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</si>
  <si>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</si>
  <si>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</si>
  <si>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</si>
  <si>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</si>
  <si>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</si>
  <si>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</si>
  <si>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</si>
  <si>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</si>
  <si>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</si>
  <si>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</si>
  <si>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</si>
  <si>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</si>
  <si>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</si>
  <si>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</si>
  <si>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</si>
  <si>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</si>
  <si>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</si>
  <si>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</si>
  <si>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</si>
  <si>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</si>
  <si>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</si>
  <si>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</si>
  <si>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</si>
  <si>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</si>
  <si>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</si>
  <si>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</si>
  <si>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</si>
  <si>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</si>
  <si>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</si>
  <si>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</si>
  <si>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</si>
  <si>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</si>
  <si>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</si>
  <si>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</si>
  <si>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</si>
  <si>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</si>
  <si>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</si>
  <si>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</si>
  <si>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</si>
  <si>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</si>
  <si>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</si>
  <si>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</si>
  <si>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</si>
  <si>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</si>
  <si>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</si>
  <si>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</si>
  <si>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</si>
  <si>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</si>
  <si>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</si>
  <si>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</si>
  <si>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</si>
  <si>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</si>
  <si>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</si>
  <si>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</si>
  <si>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</si>
  <si>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</si>
  <si>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</si>
  <si>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</si>
  <si>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</si>
  <si>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</si>
  <si>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</si>
  <si>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</si>
  <si>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</si>
  <si>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</si>
  <si>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</si>
  <si>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</si>
  <si>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</si>
  <si>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</si>
  <si>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</si>
  <si>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</si>
  <si>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</si>
  <si>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</si>
  <si>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</si>
  <si>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</si>
  <si>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</si>
  <si>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</si>
  <si>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</si>
  <si>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</si>
  <si>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</si>
  <si>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</si>
  <si>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</si>
  <si>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</si>
  <si>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</si>
  <si>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</si>
  <si>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</si>
  <si>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</si>
  <si>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</si>
  <si>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</si>
  <si>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</si>
  <si>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</si>
  <si>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</si>
  <si>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</si>
  <si>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</si>
  <si>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</si>
  <si>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</si>
  <si>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</si>
  <si>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</si>
  <si>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</si>
  <si>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</si>
  <si>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</si>
  <si>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</si>
  <si>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</si>
  <si>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</si>
  <si>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</si>
  <si>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</si>
  <si>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</si>
  <si>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</si>
  <si>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</si>
  <si>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</si>
  <si>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</si>
  <si>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</si>
  <si>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</si>
  <si>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</si>
  <si>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</si>
  <si>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</si>
  <si>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</si>
  <si>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</si>
  <si>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</si>
  <si>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</si>
  <si>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</si>
  <si>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</si>
  <si>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</si>
  <si>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</si>
  <si>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</si>
  <si>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</si>
  <si>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</si>
  <si>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</si>
  <si>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</si>
  <si>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</si>
  <si>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</si>
  <si>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</si>
  <si>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</si>
  <si>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</si>
  <si>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</si>
  <si>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</si>
  <si>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</si>
  <si>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</si>
  <si>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</si>
  <si>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</si>
  <si>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</si>
  <si>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</si>
  <si>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</si>
  <si>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</si>
  <si>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</si>
  <si>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</si>
  <si>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</si>
  <si>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</si>
  <si>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</si>
  <si>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</si>
  <si>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</si>
  <si>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</si>
  <si>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</si>
  <si>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</si>
  <si>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</si>
  <si>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</si>
  <si>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</si>
  <si>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</si>
  <si>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</si>
  <si>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</si>
  <si>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</si>
  <si>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</si>
  <si>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</si>
  <si>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</si>
  <si>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</si>
  <si>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</si>
  <si>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</si>
  <si>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</si>
  <si>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</si>
  <si>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</si>
  <si>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</si>
  <si>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</si>
  <si>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</si>
  <si>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</si>
  <si>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</si>
  <si>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</si>
  <si>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</si>
  <si>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</si>
  <si>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</si>
  <si>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</si>
  <si>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</si>
  <si>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</si>
  <si>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</si>
  <si>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</si>
  <si>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</si>
  <si>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</si>
  <si>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</si>
  <si>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</si>
  <si>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</si>
  <si>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</si>
  <si>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</si>
  <si>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</si>
  <si>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</si>
  <si>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</si>
  <si>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</si>
  <si>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</si>
  <si>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</si>
  <si>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</si>
  <si>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</si>
  <si>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</si>
  <si>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</si>
  <si>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</si>
  <si>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</si>
  <si>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</si>
  <si>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</si>
  <si>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</si>
  <si>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</si>
  <si>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</si>
  <si>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</si>
  <si>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</si>
  <si>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</si>
  <si>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</si>
  <si>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</si>
  <si>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</si>
  <si>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</si>
  <si>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</si>
  <si>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</si>
  <si>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</si>
  <si>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</si>
  <si>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</si>
  <si>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</si>
  <si>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</si>
  <si>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</si>
  <si>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</si>
  <si>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</si>
  <si>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</si>
  <si>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</si>
  <si>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</si>
  <si>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</si>
  <si>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</si>
  <si>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</si>
  <si>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</si>
  <si>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</si>
  <si>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</si>
  <si>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</si>
  <si>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</si>
  <si>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</si>
  <si>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</si>
  <si>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</si>
  <si>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</si>
  <si>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</si>
  <si>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</si>
  <si>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</si>
  <si>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</si>
  <si>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</si>
  <si>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</si>
  <si>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</si>
  <si>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</si>
  <si>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</si>
  <si>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</si>
  <si>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</si>
  <si>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</si>
  <si>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</si>
  <si>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</si>
  <si>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</si>
  <si>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</si>
  <si>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</si>
  <si>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</si>
  <si>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</si>
  <si>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</si>
  <si>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</si>
  <si>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</si>
  <si>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</si>
  <si>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</si>
  <si>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</si>
  <si>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</si>
  <si>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</si>
  <si>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</si>
  <si>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</si>
  <si>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</si>
  <si>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</si>
  <si>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</si>
  <si>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</si>
  <si>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</si>
  <si>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</si>
  <si>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</si>
  <si>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</si>
  <si>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</si>
  <si>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</si>
  <si>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</si>
  <si>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</si>
  <si>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</si>
  <si>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</si>
  <si>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</si>
  <si>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</si>
  <si>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</si>
  <si>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</si>
  <si>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</si>
  <si>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</si>
  <si>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</si>
  <si>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</si>
  <si>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</si>
  <si>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</si>
  <si>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</si>
  <si>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</si>
  <si>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</si>
  <si>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</si>
  <si>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</si>
  <si>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</si>
  <si>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</si>
  <si>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</si>
  <si>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</si>
  <si>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</si>
  <si>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</si>
  <si>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</si>
  <si>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</si>
  <si>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</si>
  <si>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</si>
  <si>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</si>
  <si>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</si>
  <si>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</si>
  <si>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</si>
  <si>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</si>
  <si>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</si>
  <si>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</si>
  <si>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</si>
  <si>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</si>
  <si>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</si>
  <si>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</si>
  <si>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</si>
  <si>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</si>
  <si>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</si>
  <si>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</si>
  <si>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</si>
  <si>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</si>
  <si>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</si>
  <si>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</si>
  <si>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</si>
  <si>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</si>
  <si>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</si>
  <si>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</si>
  <si>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</si>
  <si>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</si>
  <si>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</si>
  <si>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</si>
  <si>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</si>
  <si>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</si>
  <si>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</si>
  <si>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</si>
  <si>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</si>
  <si>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</si>
  <si>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</si>
  <si>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</si>
  <si>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</si>
  <si>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</si>
  <si>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</si>
  <si>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</si>
  <si>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</si>
  <si>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</si>
  <si>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</si>
  <si>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</si>
  <si>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</si>
  <si>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</si>
  <si>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</si>
  <si>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</si>
  <si>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</si>
  <si>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</si>
  <si>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</si>
  <si>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</si>
  <si>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</si>
  <si>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</si>
  <si>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</si>
  <si>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</si>
  <si>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</si>
  <si>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</si>
  <si>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</si>
  <si>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</si>
  <si>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</si>
  <si>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</si>
  <si>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</si>
  <si>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</si>
  <si>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</si>
  <si>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</si>
  <si>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</si>
  <si>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</si>
  <si>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</si>
  <si>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</si>
  <si>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</si>
  <si>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</si>
  <si>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</si>
  <si>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</si>
  <si>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</si>
  <si>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</si>
  <si>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</si>
  <si>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</si>
  <si>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</si>
  <si>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</si>
  <si>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</si>
  <si>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</si>
  <si>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</si>
  <si>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</si>
  <si>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</si>
  <si>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</si>
  <si>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</si>
  <si>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</si>
  <si>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</si>
  <si>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</si>
  <si>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</si>
  <si>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</si>
  <si>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</si>
  <si>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</si>
  <si>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</si>
  <si>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</si>
  <si>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</si>
  <si>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</si>
  <si>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</si>
  <si>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</si>
  <si>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</si>
  <si>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</si>
  <si>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</si>
  <si>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</si>
  <si>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</si>
  <si>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</si>
  <si>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</si>
  <si>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</si>
  <si>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</si>
  <si>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</si>
  <si>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</si>
  <si>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</si>
  <si>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</si>
  <si>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</si>
  <si>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</si>
  <si>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</si>
  <si>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</si>
  <si>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</si>
  <si>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</si>
  <si>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</si>
  <si>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</si>
  <si>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</si>
  <si>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</si>
  <si>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</si>
  <si>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</si>
  <si>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</si>
  <si>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</si>
  <si>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</si>
  <si>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</si>
  <si>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</si>
  <si>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</si>
  <si>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</si>
  <si>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</si>
  <si>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</si>
  <si>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</si>
  <si>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</si>
  <si>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</si>
  <si>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</si>
  <si>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</si>
  <si>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</si>
  <si>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</si>
  <si>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</si>
  <si>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</si>
  <si>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</si>
  <si>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</si>
  <si>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</si>
  <si>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</si>
  <si>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</si>
  <si>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</si>
  <si>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</si>
  <si>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</si>
  <si>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</si>
  <si>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</si>
  <si>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</si>
  <si>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</si>
  <si>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</si>
  <si>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</si>
  <si>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</si>
  <si>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</si>
  <si>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</si>
  <si>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</si>
  <si>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</si>
  <si>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</si>
  <si>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</si>
  <si>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</si>
  <si>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</si>
  <si>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</si>
  <si>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</si>
  <si>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</si>
  <si>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</si>
  <si>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</si>
  <si>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</si>
  <si>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</si>
  <si>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</si>
  <si>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</si>
  <si>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</si>
  <si>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</si>
  <si>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</si>
  <si>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</si>
  <si>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</si>
  <si>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</si>
  <si>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</si>
  <si>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</si>
  <si>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</si>
  <si>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</si>
  <si>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</si>
  <si>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</si>
  <si>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</si>
  <si>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</si>
  <si>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</si>
  <si>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</si>
  <si>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</si>
  <si>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</si>
  <si>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</si>
  <si>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</si>
  <si>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</si>
  <si>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</si>
  <si>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</si>
  <si>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</si>
  <si>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</si>
  <si>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</si>
  <si>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</si>
  <si>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</si>
  <si>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</si>
  <si>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</si>
  <si>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</si>
  <si>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</si>
  <si>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</si>
  <si>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</si>
  <si>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</si>
  <si>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</si>
  <si>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</si>
  <si>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</si>
  <si>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</si>
  <si>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</si>
  <si>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</si>
  <si>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</si>
  <si>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</si>
  <si>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</si>
  <si>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</si>
  <si>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</si>
  <si>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</si>
  <si>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</si>
  <si>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</si>
  <si>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</si>
  <si>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</si>
  <si>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</si>
  <si>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</si>
  <si>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</si>
  <si>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</si>
  <si>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</si>
  <si>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</si>
  <si>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</si>
  <si>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</si>
  <si>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</si>
  <si>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</si>
  <si>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</si>
  <si>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</si>
  <si>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</si>
  <si>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</si>
  <si>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</si>
  <si>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</si>
  <si>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</si>
  <si>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</si>
  <si>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</si>
  <si>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</si>
  <si>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</si>
  <si>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</si>
  <si>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</si>
  <si>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</si>
  <si>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</si>
  <si>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</si>
  <si>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</si>
  <si>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</si>
  <si>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</si>
  <si>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</si>
  <si>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</si>
  <si>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</si>
  <si>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</si>
  <si>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</si>
  <si>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</si>
  <si>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</si>
  <si>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</si>
  <si>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</si>
  <si>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</si>
  <si>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</si>
  <si>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</si>
  <si>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</si>
  <si>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</si>
  <si>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</si>
  <si>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</si>
  <si>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</si>
  <si>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</si>
  <si>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</si>
  <si>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</si>
  <si>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</si>
  <si>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</si>
  <si>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</si>
  <si>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</si>
  <si>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</si>
  <si>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</si>
  <si>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</si>
  <si>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</si>
  <si>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</si>
  <si>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</si>
  <si>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</si>
  <si>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</si>
  <si>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</si>
  <si>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</si>
  <si>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</si>
  <si>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</si>
  <si>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</si>
  <si>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</si>
  <si>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</si>
  <si>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</si>
  <si>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</si>
  <si>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</si>
  <si>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</si>
  <si>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</si>
  <si>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</si>
  <si>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</si>
  <si>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</si>
  <si>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</si>
  <si>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</si>
  <si>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</si>
  <si>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</si>
  <si>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</si>
  <si>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</si>
  <si>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</si>
  <si>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</si>
  <si>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</si>
  <si>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</si>
  <si>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</si>
  <si>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</si>
  <si>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</si>
  <si>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</si>
  <si>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</si>
  <si>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</si>
  <si>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</si>
  <si>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</si>
  <si>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</si>
  <si>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</si>
  <si>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</si>
  <si>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</si>
  <si>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</si>
  <si>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</si>
  <si>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</si>
  <si>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</si>
  <si>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</si>
  <si>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</si>
  <si>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</si>
  <si>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</si>
  <si>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</si>
  <si>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</si>
  <si>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</si>
  <si>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</si>
  <si>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</si>
  <si>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</si>
  <si>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</si>
  <si>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</si>
  <si>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</si>
  <si>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</si>
  <si>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</si>
  <si>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</si>
  <si>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</si>
  <si>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</si>
  <si>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</si>
  <si>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</si>
  <si>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</si>
  <si>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</si>
  <si>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</si>
  <si>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</si>
  <si>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</si>
  <si>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</si>
  <si>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</si>
  <si>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</si>
  <si>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</si>
  <si>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</si>
  <si>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</si>
  <si>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</si>
  <si>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</si>
  <si>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</si>
  <si>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</si>
  <si>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</si>
  <si>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</si>
  <si>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</si>
  <si>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</si>
  <si>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</si>
  <si>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</si>
  <si>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</si>
  <si>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</si>
  <si>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</si>
  <si>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</si>
  <si>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</si>
  <si>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</si>
  <si>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</si>
  <si>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</si>
  <si>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</si>
  <si>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</si>
  <si>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</si>
  <si>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</si>
  <si>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</si>
  <si>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</si>
  <si>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</si>
  <si>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</si>
  <si>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</si>
  <si>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</si>
  <si>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</si>
  <si>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</si>
  <si>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</si>
  <si>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</si>
  <si>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</si>
  <si>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</si>
  <si>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</si>
  <si>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</si>
  <si>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</si>
  <si>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</si>
  <si>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</si>
  <si>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</si>
  <si>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</si>
  <si>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</si>
  <si>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</si>
  <si>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</si>
  <si>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</si>
  <si>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</si>
  <si>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</si>
  <si>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</si>
  <si>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</si>
  <si>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</si>
  <si>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</si>
  <si>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</si>
  <si>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</si>
  <si>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</si>
  <si>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</si>
  <si>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</si>
  <si>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</si>
  <si>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</si>
  <si>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</si>
  <si>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</si>
  <si>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</si>
  <si>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</si>
  <si>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</si>
  <si>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</si>
  <si>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</si>
  <si>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</si>
  <si>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</si>
  <si>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</si>
  <si>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</si>
  <si>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</si>
  <si>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</si>
  <si>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</si>
  <si>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</si>
  <si>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</si>
  <si>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</si>
  <si>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</si>
  <si>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</si>
  <si>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</si>
  <si>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</si>
  <si>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</si>
  <si>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</si>
  <si>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</si>
  <si>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</si>
  <si>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</si>
  <si>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</si>
  <si>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</si>
  <si>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</si>
  <si>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</si>
  <si>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</si>
  <si>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</si>
  <si>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</si>
  <si>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</si>
  <si>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</si>
  <si>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</si>
  <si>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</si>
  <si>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</si>
  <si>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</si>
  <si>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</si>
  <si>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</si>
  <si>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</si>
  <si>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</si>
  <si>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</si>
  <si>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</si>
  <si>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</si>
  <si>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</si>
  <si>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</si>
  <si>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</si>
  <si>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</si>
  <si>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</si>
  <si>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</si>
  <si>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</si>
  <si>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</si>
  <si>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</si>
  <si>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</si>
  <si>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</si>
  <si>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</si>
  <si>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</si>
  <si>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</si>
  <si>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</si>
  <si>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</si>
  <si>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</si>
  <si>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</si>
  <si>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</si>
  <si>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</si>
  <si>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</si>
  <si>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</si>
  <si>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</si>
  <si>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</si>
  <si>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</si>
  <si>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</si>
  <si>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</si>
  <si>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</si>
  <si>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</si>
  <si>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</si>
  <si>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</si>
  <si>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</si>
  <si>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</si>
  <si>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</si>
  <si>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</si>
  <si>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</si>
  <si>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</si>
  <si>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</si>
  <si>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</si>
  <si>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</si>
  <si>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</si>
  <si>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</si>
  <si>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</si>
  <si>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</si>
  <si>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</si>
  <si>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</si>
  <si>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</si>
  <si>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</si>
  <si>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</si>
  <si>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</si>
  <si>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</si>
  <si>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</si>
  <si>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</si>
  <si>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</si>
  <si>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</si>
  <si>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</si>
  <si>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</si>
  <si>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</si>
  <si>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</si>
  <si>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</si>
  <si>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</si>
  <si>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</si>
  <si>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</si>
  <si>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</si>
  <si>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</si>
  <si>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</si>
  <si>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</si>
  <si>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</si>
  <si>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</si>
  <si>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</si>
  <si>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</si>
  <si>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</si>
  <si>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</si>
  <si>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</si>
  <si>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</si>
  <si>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</si>
  <si>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</si>
  <si>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</si>
  <si>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</si>
  <si>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</si>
  <si>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</si>
  <si>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</si>
  <si>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</si>
  <si>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</si>
  <si>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</si>
  <si>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</si>
  <si>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</si>
  <si>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</si>
  <si>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</si>
  <si>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</si>
  <si>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</si>
  <si>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</si>
  <si>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</si>
  <si>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</si>
  <si>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</si>
  <si>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</si>
  <si>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</si>
  <si>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</si>
  <si>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</si>
  <si>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</si>
  <si>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</si>
  <si>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</si>
  <si>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</si>
  <si>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</si>
  <si>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</si>
  <si>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</si>
  <si>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</si>
  <si>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</si>
  <si>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</si>
  <si>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</si>
  <si>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</si>
  <si>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</si>
  <si>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</si>
  <si>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</si>
  <si>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</si>
  <si>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</si>
  <si>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</si>
  <si>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</si>
  <si>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</si>
  <si>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</si>
  <si>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</si>
  <si>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</si>
  <si>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</si>
  <si>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</si>
  <si>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</si>
  <si>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</si>
  <si>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</si>
  <si>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</si>
  <si>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</si>
  <si>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</si>
  <si>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</si>
  <si>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</si>
  <si>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</si>
  <si>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</si>
  <si>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</si>
  <si>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</si>
  <si>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</si>
  <si>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</si>
  <si>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</si>
  <si>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</si>
  <si>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</si>
  <si>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</si>
  <si>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</si>
  <si>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</si>
  <si>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</si>
  <si>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</si>
  <si>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</si>
  <si>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</si>
  <si>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</si>
  <si>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</si>
  <si>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</si>
  <si>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</si>
  <si>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</si>
  <si>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</si>
  <si>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</si>
  <si>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</si>
  <si>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</si>
  <si>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</si>
  <si>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</si>
  <si>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</si>
  <si>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</si>
  <si>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</si>
  <si>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</si>
  <si>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</si>
  <si>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</si>
  <si>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</si>
  <si>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</si>
  <si>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</si>
  <si>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</si>
  <si>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</si>
  <si>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</si>
  <si>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</si>
  <si>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</si>
  <si>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</si>
  <si>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</si>
  <si>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</si>
  <si>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</si>
  <si>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</si>
  <si>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</si>
  <si>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</si>
  <si>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</si>
  <si>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</si>
  <si>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</si>
  <si>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</si>
  <si>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</si>
  <si>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</si>
  <si>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</si>
  <si>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</si>
  <si>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</si>
  <si>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</si>
  <si>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</si>
  <si>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</si>
  <si>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</si>
  <si>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</si>
  <si>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</si>
  <si>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</si>
  <si>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</si>
  <si>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</si>
  <si>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</si>
  <si>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</si>
  <si>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</si>
  <si>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</si>
  <si>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</si>
  <si>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</si>
  <si>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</si>
  <si>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</si>
  <si>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</si>
  <si>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</si>
  <si>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</si>
  <si>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</si>
  <si>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</si>
  <si>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</si>
  <si>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</si>
  <si>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</si>
  <si>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</si>
  <si>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</si>
  <si>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</si>
  <si>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</si>
  <si>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</si>
  <si>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</si>
  <si>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</si>
  <si>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</si>
  <si>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</si>
  <si>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</si>
  <si>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</si>
  <si>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</si>
  <si>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</si>
  <si>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</si>
  <si>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</si>
  <si>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</si>
  <si>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</si>
  <si>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</si>
  <si>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</si>
  <si>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</si>
  <si>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</si>
  <si>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</si>
  <si>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</si>
  <si>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</si>
  <si>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</si>
  <si>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</si>
  <si>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</si>
  <si>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</si>
  <si>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</si>
  <si>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</si>
  <si>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</si>
  <si>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</si>
  <si>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</si>
  <si>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</si>
  <si>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</si>
  <si>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</si>
  <si>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</si>
  <si>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</si>
  <si>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</si>
  <si>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</si>
  <si>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</si>
  <si>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</si>
  <si>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</si>
  <si>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</si>
  <si>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</si>
  <si>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</si>
  <si>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</si>
  <si>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</si>
  <si>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</si>
  <si>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</si>
  <si>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</si>
  <si>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</si>
  <si>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</si>
  <si>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</si>
  <si>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</si>
  <si>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</si>
  <si>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</si>
  <si>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</si>
  <si>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</si>
  <si>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</si>
  <si>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</si>
  <si>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</si>
  <si>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</si>
  <si>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</si>
  <si>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</si>
  <si>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</si>
  <si>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</si>
  <si>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</si>
  <si>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</si>
  <si>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</si>
  <si>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</si>
  <si>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</si>
  <si>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</si>
  <si>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</si>
  <si>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</si>
  <si>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</si>
  <si>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</si>
  <si>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</si>
  <si>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</si>
  <si>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</si>
  <si>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</si>
  <si>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</si>
  <si>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</si>
  <si>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</si>
  <si>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</si>
  <si>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</si>
  <si>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</si>
  <si>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</si>
  <si>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</si>
  <si>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</si>
  <si>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</si>
  <si>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</si>
  <si>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</si>
  <si>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</si>
  <si>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</si>
  <si>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</si>
  <si>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</si>
  <si>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</si>
  <si>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</si>
  <si>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</si>
  <si>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</si>
  <si>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</si>
  <si>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</si>
  <si>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</si>
  <si>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</si>
  <si>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</si>
  <si>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</si>
  <si>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</si>
  <si>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</si>
  <si>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</si>
  <si>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</si>
  <si>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</si>
  <si>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</si>
  <si>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</si>
  <si>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</si>
  <si>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</si>
  <si>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</si>
  <si>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</si>
  <si>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</si>
  <si>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</si>
  <si>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</si>
  <si>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</si>
  <si>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</si>
  <si>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</si>
  <si>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</si>
  <si>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</si>
  <si>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</si>
  <si>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</si>
  <si>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</si>
  <si>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</si>
  <si>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</si>
  <si>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</si>
  <si>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</si>
  <si>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</si>
  <si>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</si>
  <si>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</si>
  <si>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</si>
  <si>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</si>
  <si>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</si>
  <si>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</si>
  <si>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</si>
  <si>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</si>
  <si>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</si>
  <si>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</si>
  <si>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</si>
  <si>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</si>
  <si>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</si>
  <si>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</si>
  <si>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</si>
  <si>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</si>
  <si>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</si>
  <si>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</si>
  <si>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</si>
  <si>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</si>
  <si>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</si>
  <si>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</si>
  <si>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</si>
  <si>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</si>
  <si>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</si>
  <si>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</si>
  <si>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</si>
  <si>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</si>
  <si>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</si>
  <si>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</si>
  <si>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</si>
  <si>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</si>
  <si>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</si>
  <si>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</si>
  <si>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</si>
  <si>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</si>
  <si>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</si>
  <si>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</si>
  <si>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</si>
  <si>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</si>
  <si>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</si>
  <si>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</si>
  <si>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</si>
  <si>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</si>
  <si>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</si>
  <si>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</si>
  <si>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</si>
  <si>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</si>
  <si>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</si>
  <si>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</si>
  <si>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</si>
  <si>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</si>
  <si>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</si>
  <si>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</si>
  <si>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</si>
  <si>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</si>
  <si>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</si>
  <si>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</si>
  <si>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</si>
  <si>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</si>
  <si>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</si>
  <si>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</si>
  <si>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</si>
  <si>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</si>
  <si>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</si>
  <si>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</si>
  <si>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</si>
  <si>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</si>
  <si>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</si>
  <si>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</si>
  <si>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</si>
  <si>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</si>
  <si>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</si>
  <si>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</si>
  <si>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</si>
  <si>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</si>
  <si>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</si>
  <si>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</si>
  <si>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</si>
  <si>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</si>
  <si>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</si>
  <si>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</si>
  <si>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</si>
  <si>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</si>
  <si>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</si>
  <si>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</si>
  <si>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</si>
  <si>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</si>
  <si>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</si>
  <si>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</si>
  <si>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</si>
  <si>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</si>
  <si>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</si>
  <si>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</si>
  <si>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</si>
  <si>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</si>
  <si>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</si>
  <si>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</si>
  <si>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</si>
  <si>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</si>
  <si>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</si>
  <si>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</si>
  <si>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</si>
  <si>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</si>
  <si>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</si>
  <si>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</si>
  <si>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</si>
  <si>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</si>
  <si>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</si>
  <si>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</si>
  <si>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</si>
  <si>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</si>
  <si>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</si>
  <si>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</si>
  <si>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</si>
  <si>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</si>
  <si>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</si>
  <si>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</si>
  <si>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</si>
  <si>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</si>
  <si>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</si>
  <si>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</si>
  <si>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</si>
  <si>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</si>
  <si>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</si>
  <si>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</si>
  <si>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</si>
  <si>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</si>
  <si>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</si>
  <si>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</si>
  <si>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</si>
  <si>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</si>
  <si>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</si>
  <si>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</si>
  <si>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</si>
  <si>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</si>
  <si>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</si>
  <si>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</si>
  <si>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</si>
  <si>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</si>
  <si>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</si>
  <si>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</si>
  <si>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</si>
  <si>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</si>
  <si>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</si>
  <si>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</si>
  <si>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</si>
  <si>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</si>
  <si>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</si>
  <si>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</si>
  <si>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</si>
  <si>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</si>
  <si>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</si>
  <si>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</si>
  <si>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</si>
  <si>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</si>
  <si>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</si>
  <si>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</si>
  <si>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</si>
  <si>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</si>
  <si>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</si>
  <si>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</si>
  <si>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</si>
  <si>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</si>
  <si>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</si>
  <si>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</si>
  <si>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</si>
  <si>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</si>
  <si>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</si>
  <si>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</si>
  <si>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</si>
  <si>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</si>
  <si>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</si>
  <si>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</si>
  <si>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</si>
  <si>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</si>
  <si>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</si>
  <si>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</si>
  <si>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</si>
  <si>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</si>
  <si>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</si>
  <si>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</si>
  <si>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</si>
  <si>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</si>
  <si>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</si>
  <si>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</si>
  <si>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</si>
  <si>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</si>
  <si>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</si>
  <si>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</si>
  <si>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</si>
  <si>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</si>
  <si>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</si>
  <si>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</si>
  <si>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</si>
  <si>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</si>
  <si>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</si>
  <si>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</si>
  <si>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</si>
  <si>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</si>
  <si>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</si>
  <si>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</si>
  <si>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</si>
  <si>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</si>
  <si>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</si>
  <si>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</si>
  <si>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</si>
  <si>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</si>
  <si>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</si>
  <si>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</si>
  <si>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</si>
  <si>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</si>
  <si>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</si>
  <si>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</si>
  <si>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</si>
  <si>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</si>
  <si>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</si>
  <si>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</si>
  <si>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</si>
  <si>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</si>
  <si>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</si>
  <si>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</si>
  <si>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</si>
  <si>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</si>
  <si>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</si>
  <si>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</si>
  <si>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</si>
  <si>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</si>
  <si>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</si>
  <si>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</si>
  <si>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</si>
  <si>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</si>
  <si>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</si>
  <si>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</si>
  <si>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</si>
  <si>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</si>
  <si>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</si>
  <si>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</si>
  <si>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</si>
  <si>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</si>
  <si>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</si>
  <si>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</si>
  <si>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</si>
  <si>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</si>
  <si>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</si>
  <si>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</si>
  <si>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</si>
  <si>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</si>
  <si>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</si>
  <si>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</si>
  <si>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</si>
  <si>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</si>
  <si>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</si>
  <si>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</si>
  <si>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</si>
  <si>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</si>
  <si>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</si>
  <si>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</si>
  <si>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</si>
  <si>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</si>
  <si>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</si>
  <si>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</si>
  <si>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</si>
  <si>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</si>
  <si>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</si>
  <si>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</si>
  <si>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</si>
  <si>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</si>
  <si>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</si>
  <si>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</si>
  <si>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</si>
  <si>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</si>
  <si>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</si>
  <si>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</si>
  <si>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</si>
  <si>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</si>
  <si>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</si>
  <si>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</si>
  <si>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</si>
  <si>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</si>
  <si>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</si>
  <si>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</si>
  <si>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</si>
  <si>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</si>
  <si>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</si>
  <si>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</si>
  <si>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</si>
  <si>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</si>
  <si>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</si>
  <si>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</si>
  <si>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</si>
  <si>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</si>
  <si>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</si>
  <si>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</si>
  <si>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</si>
  <si>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</si>
  <si>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</si>
  <si>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</si>
  <si>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</si>
  <si>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</si>
  <si>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</si>
  <si>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</si>
  <si>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</si>
  <si>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</si>
  <si>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</si>
  <si>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</si>
  <si>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</si>
  <si>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</si>
  <si>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</si>
  <si>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</si>
  <si>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</si>
  <si>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</si>
  <si>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</si>
  <si>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</si>
  <si>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</si>
  <si>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</si>
  <si>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</si>
  <si>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</si>
  <si>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</si>
  <si>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</si>
  <si>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</si>
  <si>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</si>
  <si>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</si>
  <si>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</si>
  <si>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</si>
  <si>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</si>
  <si>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</si>
  <si>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</si>
  <si>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</si>
  <si>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</si>
  <si>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</si>
  <si>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</si>
  <si>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</si>
  <si>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</si>
  <si>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</si>
  <si>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</si>
  <si>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</si>
  <si>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</si>
  <si>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</si>
  <si>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</si>
  <si>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</si>
  <si>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</si>
  <si>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</si>
  <si>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</si>
  <si>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</si>
  <si>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</si>
  <si>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</si>
  <si>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</si>
  <si>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</si>
  <si>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</si>
  <si>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</si>
  <si>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</si>
  <si>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</si>
  <si>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</si>
  <si>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</si>
  <si>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</si>
  <si>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</si>
  <si>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</si>
  <si>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</si>
  <si>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</si>
  <si>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</si>
  <si>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</si>
  <si>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</si>
  <si>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</si>
  <si>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</si>
  <si>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</si>
  <si>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</si>
  <si>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</si>
  <si>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</si>
  <si>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</si>
  <si>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</si>
  <si>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</si>
  <si>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</si>
  <si>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</si>
  <si>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</si>
  <si>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</si>
  <si>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</si>
  <si>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</si>
  <si>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</si>
  <si>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</si>
  <si>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</si>
  <si>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</si>
  <si>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</si>
  <si>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</si>
  <si>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</si>
  <si>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</si>
  <si>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</si>
  <si>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</si>
  <si>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</si>
  <si>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</si>
  <si>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</si>
  <si>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</si>
  <si>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</si>
  <si>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</si>
  <si>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</si>
  <si>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</si>
  <si>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</si>
  <si>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</si>
  <si>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</si>
  <si>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</si>
  <si>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</si>
  <si>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</si>
  <si>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</si>
  <si>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</si>
  <si>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</si>
  <si>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</si>
  <si>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</si>
  <si>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</si>
  <si>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</si>
  <si>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</si>
  <si>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</si>
  <si>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</si>
  <si>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</si>
  <si>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</si>
  <si>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</si>
  <si>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</si>
  <si>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</si>
  <si>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</si>
  <si>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</si>
  <si>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</si>
  <si>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</si>
  <si>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</si>
  <si>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</si>
  <si>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</si>
  <si>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</si>
  <si>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</si>
  <si>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</si>
  <si>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</si>
  <si>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</si>
  <si>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</si>
  <si>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</si>
  <si>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</si>
  <si>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</si>
  <si>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</si>
  <si>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</si>
  <si>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</si>
  <si>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</si>
  <si>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</si>
  <si>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</si>
  <si>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</si>
  <si>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</si>
  <si>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</si>
  <si>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</si>
  <si>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</si>
  <si>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</si>
  <si>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</si>
  <si>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</si>
  <si>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</si>
  <si>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</si>
  <si>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</si>
  <si>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</si>
  <si>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</si>
  <si>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</si>
  <si>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</si>
  <si>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</si>
  <si>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</si>
  <si>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</si>
  <si>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</si>
  <si>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</si>
  <si>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</si>
  <si>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</si>
  <si>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</si>
  <si>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</si>
  <si>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</si>
  <si>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</si>
  <si>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</si>
  <si>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</si>
  <si>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</si>
  <si>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</si>
  <si>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</si>
  <si>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</si>
  <si>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</si>
  <si>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</si>
  <si>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</si>
  <si>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</si>
  <si>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</si>
  <si>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</si>
  <si>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</si>
  <si>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</si>
  <si>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</si>
  <si>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</si>
  <si>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</si>
  <si>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</si>
  <si>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</si>
  <si>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</si>
  <si>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</si>
  <si>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</si>
  <si>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</si>
  <si>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</si>
  <si>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</si>
  <si>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</si>
  <si>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</si>
  <si>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</si>
  <si>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</si>
  <si>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</si>
  <si>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</si>
  <si>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</si>
  <si>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</si>
  <si>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</si>
  <si>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</si>
  <si>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</si>
  <si>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</si>
  <si>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</si>
  <si>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</si>
  <si>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</si>
  <si>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</si>
  <si>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</si>
  <si>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</si>
  <si>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</si>
  <si>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</si>
  <si>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</si>
  <si>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</si>
  <si>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</si>
  <si>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</si>
  <si>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</si>
  <si>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</si>
  <si>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</si>
  <si>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</si>
  <si>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</si>
  <si>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</si>
  <si>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</si>
  <si>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</si>
  <si>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</si>
  <si>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</si>
  <si>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</si>
  <si>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</si>
  <si>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</si>
  <si>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</si>
  <si>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</si>
  <si>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</si>
  <si>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</si>
  <si>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</si>
  <si>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</si>
  <si>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</si>
  <si>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</si>
  <si>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</si>
  <si>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</si>
  <si>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</si>
  <si>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</si>
  <si>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</si>
  <si>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</si>
  <si>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</si>
  <si>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</si>
  <si>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</si>
  <si>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</si>
  <si>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</si>
  <si>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</si>
  <si>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</si>
  <si>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</si>
  <si>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</si>
  <si>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</si>
  <si>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</si>
  <si>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</si>
  <si>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</si>
  <si>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</si>
  <si>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</si>
  <si>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</si>
  <si>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</si>
  <si>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</si>
  <si>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</si>
  <si>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</si>
  <si>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</si>
  <si>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</si>
  <si>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</si>
  <si>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</si>
  <si>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</si>
  <si>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</si>
  <si>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</si>
  <si>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</si>
  <si>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</si>
  <si>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</si>
  <si>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</si>
  <si>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</si>
  <si>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</si>
  <si>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</si>
  <si>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</si>
  <si>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</si>
  <si>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</si>
  <si>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</si>
  <si>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</si>
  <si>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</si>
  <si>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</si>
  <si>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</si>
  <si>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</si>
  <si>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</si>
  <si>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</si>
  <si>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</si>
  <si>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</si>
  <si>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</si>
  <si>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</si>
  <si>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</si>
  <si>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</si>
  <si>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</si>
  <si>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</si>
  <si>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</si>
  <si>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</si>
  <si>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</si>
  <si>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</si>
  <si>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</si>
  <si>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</si>
  <si>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</si>
  <si>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</si>
  <si>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</si>
  <si>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</si>
  <si>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</si>
  <si>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</si>
  <si>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</si>
  <si>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</si>
  <si>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</si>
  <si>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</si>
  <si>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</si>
  <si>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</si>
  <si>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</si>
  <si>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</si>
  <si>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</si>
  <si>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</si>
  <si>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</si>
  <si>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</si>
  <si>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</si>
  <si>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</si>
  <si>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</si>
  <si>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</si>
  <si>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</si>
  <si>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</si>
  <si>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</si>
  <si>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</si>
  <si>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</si>
  <si>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</si>
  <si>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</si>
  <si>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</si>
  <si>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</si>
  <si>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</si>
  <si>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</si>
  <si>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</si>
  <si>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</si>
  <si>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</si>
  <si>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</si>
  <si>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</si>
  <si>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</si>
  <si>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</si>
  <si>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</si>
  <si>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</si>
  <si>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</si>
  <si>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</si>
  <si>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</si>
  <si>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</si>
  <si>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</si>
  <si>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</si>
  <si>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</si>
  <si>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</si>
  <si>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</si>
  <si>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</si>
  <si>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</si>
  <si>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</si>
  <si>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</si>
  <si>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</si>
  <si>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</si>
  <si>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</si>
  <si>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</si>
  <si>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</si>
  <si>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</si>
  <si>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</si>
  <si>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</si>
  <si>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</si>
  <si>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</si>
  <si>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</si>
  <si>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</si>
  <si>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</si>
  <si>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</si>
  <si>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</si>
  <si>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</si>
  <si>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</si>
  <si>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</si>
  <si>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</si>
  <si>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</si>
  <si>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</si>
  <si>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</si>
  <si>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</si>
  <si>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</si>
  <si>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</si>
  <si>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</si>
  <si>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</si>
  <si>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</si>
  <si>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</si>
  <si>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</si>
  <si>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</si>
  <si>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</si>
  <si>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</si>
  <si>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</si>
  <si>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</si>
  <si>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</si>
  <si>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</si>
  <si>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</si>
  <si>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</si>
  <si>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</si>
  <si>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</si>
  <si>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</si>
  <si>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</si>
  <si>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</si>
  <si>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</si>
  <si>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</si>
  <si>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</si>
  <si>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</si>
  <si>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</si>
  <si>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</si>
  <si>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</si>
  <si>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</si>
  <si>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</si>
  <si>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</si>
  <si>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</si>
  <si>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</si>
  <si>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</si>
  <si>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</si>
  <si>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</si>
  <si>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</si>
  <si>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</si>
  <si>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</si>
  <si>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</si>
  <si>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</si>
  <si>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</si>
  <si>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</si>
  <si>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</si>
  <si>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</si>
  <si>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</si>
  <si>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</si>
  <si>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</si>
  <si>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</si>
  <si>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</si>
  <si>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</si>
  <si>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</si>
  <si>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</si>
  <si>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</si>
  <si>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</si>
  <si>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</si>
  <si>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</si>
  <si>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</si>
  <si>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</si>
  <si>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</si>
  <si>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</si>
  <si>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</si>
  <si>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</si>
  <si>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</si>
  <si>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</si>
  <si>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</si>
  <si>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</si>
  <si>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</si>
  <si>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</si>
  <si>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</si>
  <si>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</si>
  <si>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</si>
  <si>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</si>
  <si>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</si>
  <si>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</si>
  <si>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</si>
  <si>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</si>
  <si>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</si>
  <si>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</si>
  <si>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</si>
  <si>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</si>
  <si>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</si>
  <si>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</si>
  <si>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</si>
  <si>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</si>
  <si>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</si>
  <si>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</si>
  <si>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</si>
  <si>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</si>
  <si>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</si>
  <si>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</si>
  <si>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</si>
  <si>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</si>
  <si>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</si>
  <si>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</si>
  <si>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</si>
  <si>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</si>
  <si>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</si>
  <si>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</si>
  <si>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</si>
  <si>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</si>
  <si>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</si>
  <si>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</si>
  <si>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</si>
  <si>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</si>
  <si>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</si>
  <si>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</si>
  <si>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</si>
  <si>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</si>
  <si>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</si>
  <si>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</si>
  <si>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</si>
  <si>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</si>
  <si>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</si>
  <si>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</si>
  <si>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</si>
  <si>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</si>
  <si>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</si>
  <si>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</si>
  <si>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</si>
  <si>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</si>
  <si>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</si>
  <si>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</si>
  <si>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</si>
  <si>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</si>
  <si>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</si>
  <si>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</si>
  <si>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</si>
  <si>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</si>
  <si>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</si>
  <si>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</si>
  <si>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</si>
  <si>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</si>
  <si>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</si>
  <si>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</si>
  <si>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</si>
  <si>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</si>
  <si>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</si>
  <si>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</si>
  <si>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</si>
  <si>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</si>
  <si>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</si>
  <si>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</si>
  <si>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</si>
  <si>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</si>
  <si>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</si>
  <si>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</si>
  <si>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</si>
  <si>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</si>
  <si>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</si>
  <si>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</si>
  <si>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</si>
  <si>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</si>
  <si>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</si>
  <si>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</si>
  <si>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</si>
  <si>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</si>
  <si>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</si>
  <si>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</si>
  <si>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</si>
  <si>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</si>
  <si>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</si>
  <si>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</si>
  <si>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</si>
  <si>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</si>
  <si>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</si>
  <si>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</si>
  <si>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</si>
  <si>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</si>
  <si>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</si>
  <si>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</si>
  <si>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</si>
  <si>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</si>
  <si>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</si>
  <si>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</si>
  <si>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</si>
  <si>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</si>
  <si>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</si>
  <si>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</si>
  <si>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</si>
  <si>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</si>
  <si>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</si>
  <si>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</si>
  <si>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</si>
  <si>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</si>
  <si>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</si>
  <si>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</si>
  <si>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</si>
  <si>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</si>
  <si>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</si>
  <si>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</si>
  <si>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</si>
  <si>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</si>
  <si>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</si>
  <si>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</si>
  <si>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</si>
  <si>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</si>
  <si>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</si>
  <si>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</si>
  <si>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</si>
  <si>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</si>
  <si>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</si>
  <si>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</si>
  <si>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</si>
  <si>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</si>
  <si>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</si>
  <si>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</si>
  <si>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</si>
  <si>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</si>
  <si>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</si>
  <si>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</si>
  <si>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</si>
  <si>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</si>
  <si>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</si>
  <si>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</si>
  <si>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</si>
  <si>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</si>
  <si>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</si>
  <si>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</si>
  <si>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</si>
  <si>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</si>
  <si>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</si>
  <si>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</si>
  <si>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</si>
  <si>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</si>
  <si>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</si>
  <si>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</si>
  <si>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</si>
  <si>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</si>
  <si>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</si>
  <si>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</si>
  <si>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</si>
  <si>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</si>
  <si>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</si>
  <si>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</si>
  <si>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</si>
  <si>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</si>
  <si>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</si>
  <si>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</si>
  <si>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</si>
  <si>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</si>
  <si>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</si>
  <si>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</si>
  <si>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</si>
  <si>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</si>
  <si>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</si>
  <si>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</si>
  <si>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</si>
  <si>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</si>
  <si>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</si>
  <si>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</si>
  <si>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</si>
  <si>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</si>
  <si>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</si>
  <si>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</si>
  <si>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</si>
  <si>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</si>
  <si>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</si>
  <si>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</si>
  <si>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</si>
  <si>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</si>
  <si>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</si>
  <si>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</si>
  <si>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</si>
  <si>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</si>
  <si>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</si>
  <si>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</si>
  <si>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</si>
  <si>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</si>
  <si>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</si>
  <si>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</si>
  <si>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</si>
  <si>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</si>
  <si>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</si>
  <si>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</si>
  <si>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</si>
  <si>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</si>
  <si>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</si>
  <si>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</si>
  <si>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</si>
  <si>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</si>
  <si>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</si>
  <si>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</si>
  <si>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</si>
  <si>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</si>
  <si>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</si>
  <si>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</si>
  <si>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</si>
  <si>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</si>
  <si>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</si>
  <si>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</si>
  <si>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</si>
  <si>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</si>
  <si>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</si>
  <si>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</si>
  <si>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</si>
  <si>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</si>
  <si>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</si>
  <si>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</si>
  <si>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</si>
  <si>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</si>
  <si>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</si>
  <si>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</si>
  <si>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</si>
  <si>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</si>
  <si>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</si>
  <si>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</si>
  <si>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</si>
  <si>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</si>
  <si>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</si>
  <si>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</si>
  <si>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</si>
  <si>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</si>
  <si>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</si>
  <si>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</si>
  <si>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</si>
  <si>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</si>
  <si>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</si>
  <si>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</si>
  <si>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</si>
  <si>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</si>
  <si>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</si>
  <si>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</si>
  <si>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</si>
  <si>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</si>
  <si>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</si>
  <si>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</si>
  <si>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</si>
  <si>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</si>
  <si>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</si>
  <si>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</si>
  <si>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</si>
  <si>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</si>
  <si>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</si>
  <si>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</si>
  <si>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</si>
  <si>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</si>
  <si>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</si>
  <si>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</si>
  <si>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</si>
  <si>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</si>
  <si>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</si>
  <si>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</si>
  <si>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</si>
  <si>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</si>
  <si>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</si>
  <si>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</si>
  <si>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</si>
  <si>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</si>
  <si>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</si>
  <si>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</si>
  <si>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</si>
  <si>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</si>
  <si>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</si>
  <si>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</si>
  <si>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</si>
  <si>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</si>
  <si>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</si>
  <si>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</si>
  <si>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</si>
  <si>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</si>
  <si>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</si>
  <si>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</si>
  <si>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</si>
  <si>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</si>
  <si>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</si>
  <si>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</si>
  <si>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</si>
  <si>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</si>
  <si>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</si>
  <si>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</si>
  <si>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</si>
  <si>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</si>
  <si>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</si>
  <si>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</si>
  <si>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</si>
  <si>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</si>
  <si>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</si>
  <si>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</si>
  <si>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</si>
  <si>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</si>
  <si>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</si>
  <si>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</si>
  <si>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</si>
  <si>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</si>
  <si>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</si>
  <si>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</si>
  <si>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</si>
  <si>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</si>
  <si>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</si>
  <si>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</si>
  <si>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</si>
  <si>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</si>
  <si>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</si>
  <si>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</si>
  <si>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</si>
  <si>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</si>
  <si>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</si>
  <si>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</si>
  <si>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</si>
  <si>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</si>
  <si>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</si>
  <si>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</si>
  <si>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</si>
  <si>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</si>
  <si>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</si>
  <si>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</si>
  <si>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</si>
  <si>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</si>
  <si>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</si>
  <si>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</si>
  <si>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</si>
  <si>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</si>
  <si>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</si>
  <si>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</si>
  <si>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</si>
  <si>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</si>
  <si>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</si>
  <si>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</si>
  <si>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</si>
  <si>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</si>
  <si>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</si>
  <si>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</si>
  <si>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</si>
  <si>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</si>
  <si>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</si>
  <si>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</si>
  <si>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</si>
  <si>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</si>
  <si>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</si>
  <si>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</si>
  <si>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</si>
  <si>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</si>
  <si>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</si>
  <si>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</si>
  <si>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</si>
  <si>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</si>
  <si>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</si>
  <si>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</si>
  <si>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</si>
  <si>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</si>
  <si>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</si>
  <si>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</si>
  <si>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</si>
  <si>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</si>
  <si>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</si>
  <si>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</si>
  <si>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</si>
  <si>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</si>
  <si>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</si>
  <si>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</si>
  <si>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</si>
  <si>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</si>
  <si>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</si>
  <si>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</si>
  <si>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</si>
  <si>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</si>
  <si>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</si>
  <si>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</si>
  <si>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</si>
  <si>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</si>
  <si>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</si>
  <si>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</si>
  <si>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</si>
  <si>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</si>
  <si>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</si>
  <si>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</si>
  <si>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</si>
  <si>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</si>
  <si>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</si>
  <si>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</si>
  <si>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</si>
  <si>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</si>
  <si>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</si>
  <si>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</si>
  <si>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</si>
  <si>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</si>
  <si>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</si>
  <si>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</si>
  <si>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</si>
  <si>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</si>
  <si>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</si>
  <si>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</si>
  <si>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</si>
  <si>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</si>
  <si>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</si>
  <si>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</si>
  <si>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</si>
  <si>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</si>
  <si>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</si>
  <si>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</si>
  <si>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</si>
  <si>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</si>
  <si>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</si>
  <si>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</si>
  <si>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</si>
  <si>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</si>
  <si>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</si>
  <si>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</si>
  <si>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</si>
  <si>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</si>
  <si>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</si>
  <si>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</si>
  <si>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</si>
  <si>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</si>
  <si>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</si>
  <si>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</si>
  <si>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</si>
  <si>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</si>
  <si>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</si>
  <si>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</si>
  <si>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</si>
  <si>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</si>
  <si>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</si>
  <si>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</si>
  <si>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</si>
  <si>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</si>
  <si>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</si>
  <si>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</si>
  <si>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</si>
  <si>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</si>
  <si>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</si>
  <si>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</si>
  <si>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</si>
  <si>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</si>
  <si>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</si>
  <si>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</si>
  <si>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</si>
  <si>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</si>
  <si>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</si>
  <si>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</si>
  <si>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</si>
  <si>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</si>
  <si>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</si>
  <si>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</si>
  <si>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</si>
  <si>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</si>
  <si>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</si>
  <si>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</si>
  <si>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</si>
  <si>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</si>
  <si>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</si>
  <si>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</si>
  <si>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</si>
  <si>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</si>
  <si>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</si>
  <si>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</si>
  <si>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</si>
  <si>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</si>
  <si>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</si>
  <si>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</si>
  <si>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</si>
  <si>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</si>
  <si>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</si>
  <si>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</si>
  <si>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</si>
  <si>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</si>
  <si>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</si>
  <si>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</si>
  <si>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</si>
  <si>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</si>
  <si>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</si>
  <si>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</si>
  <si>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</si>
  <si>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</si>
  <si>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</si>
  <si>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</si>
  <si>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</si>
  <si>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</si>
  <si>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</si>
  <si>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</si>
  <si>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</si>
  <si>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</si>
  <si>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</si>
  <si>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</si>
  <si>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</si>
  <si>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</si>
  <si>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</si>
  <si>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</si>
  <si>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</si>
  <si>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</si>
  <si>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</si>
  <si>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</si>
  <si>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</si>
  <si>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</si>
  <si>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</si>
  <si>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</si>
  <si>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</si>
  <si>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</si>
  <si>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</si>
  <si>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</si>
  <si>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</si>
  <si>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</si>
  <si>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</si>
  <si>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</si>
  <si>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</si>
  <si>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</si>
  <si>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</si>
  <si>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</si>
  <si>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</si>
  <si>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</si>
  <si>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</si>
  <si>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</si>
  <si>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</si>
  <si>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</si>
  <si>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</si>
  <si>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</si>
  <si>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</si>
  <si>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</si>
  <si>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</si>
  <si>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</si>
  <si>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</si>
  <si>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</si>
  <si>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</si>
  <si>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</si>
  <si>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</si>
  <si>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</si>
  <si>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</si>
  <si>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</si>
  <si>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</si>
  <si>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</si>
  <si>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</si>
  <si>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</si>
  <si>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</si>
  <si>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</si>
  <si>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</si>
  <si>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</si>
  <si>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</si>
  <si>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</si>
  <si>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</si>
  <si>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</si>
  <si>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</si>
  <si>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</si>
  <si>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</si>
  <si>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</si>
  <si>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</si>
  <si>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</si>
  <si>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</si>
  <si>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</si>
  <si>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</si>
  <si>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</si>
  <si>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</si>
  <si>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</si>
  <si>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</si>
  <si>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</si>
  <si>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</si>
  <si>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</si>
  <si>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</si>
  <si>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</si>
  <si>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</si>
  <si>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</si>
  <si>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</si>
  <si>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</si>
  <si>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</si>
  <si>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</si>
  <si>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</si>
  <si>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</si>
  <si>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</si>
  <si>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</si>
  <si>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</si>
  <si>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</si>
  <si>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</si>
  <si>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</si>
  <si>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</si>
  <si>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</si>
  <si>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</si>
  <si>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</si>
  <si>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</si>
  <si>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</si>
  <si>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</si>
  <si>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</si>
  <si>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</si>
  <si>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</si>
  <si>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</si>
  <si>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</si>
  <si>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</si>
  <si>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</si>
  <si>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</si>
  <si>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</si>
  <si>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</si>
  <si>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</si>
  <si>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</si>
  <si>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</si>
  <si>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</si>
  <si>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</si>
  <si>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</si>
  <si>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</si>
  <si>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</si>
  <si>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</si>
  <si>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</si>
  <si>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</si>
  <si>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</si>
  <si>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</si>
  <si>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</si>
  <si>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</si>
  <si>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</si>
  <si>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</si>
  <si>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</si>
  <si>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</si>
  <si>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</si>
  <si>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</si>
  <si>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</si>
  <si>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</si>
  <si>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</si>
  <si>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</si>
  <si>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</si>
  <si>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</si>
  <si>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</si>
  <si>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</si>
  <si>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</si>
  <si>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</si>
  <si>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</si>
  <si>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</si>
  <si>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</si>
  <si>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</si>
  <si>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</si>
  <si>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</si>
  <si>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</si>
  <si>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</si>
  <si>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</si>
  <si>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</si>
  <si>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</si>
  <si>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</si>
  <si>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</si>
  <si>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</si>
  <si>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</si>
  <si>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</si>
  <si>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</si>
  <si>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</si>
  <si>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</si>
  <si>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</si>
  <si>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</si>
  <si>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</si>
  <si>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</si>
  <si>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</si>
  <si>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</si>
  <si>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</si>
  <si>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</si>
  <si>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</si>
  <si>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</si>
  <si>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</si>
  <si>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</si>
  <si>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</si>
  <si>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</si>
  <si>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</si>
  <si>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</si>
  <si>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</si>
  <si>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</si>
  <si>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</si>
  <si>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</si>
  <si>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</si>
  <si>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</si>
  <si>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</si>
  <si>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</si>
  <si>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</si>
  <si>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</si>
  <si>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</si>
  <si>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</si>
  <si>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</si>
  <si>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</si>
  <si>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</si>
  <si>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</si>
  <si>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</si>
  <si>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</si>
  <si>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</si>
  <si>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</si>
  <si>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</si>
  <si>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</si>
  <si>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</si>
  <si>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</si>
  <si>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</si>
  <si>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</si>
  <si>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</si>
  <si>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</si>
  <si>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</si>
  <si>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</si>
  <si>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</si>
  <si>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</si>
  <si>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</si>
  <si>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</si>
  <si>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</si>
  <si>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</si>
  <si>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</si>
  <si>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</si>
  <si>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</si>
  <si>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</si>
  <si>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</si>
  <si>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</si>
  <si>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</si>
  <si>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</si>
  <si>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</si>
  <si>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</si>
  <si>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</si>
  <si>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</si>
  <si>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</si>
  <si>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</si>
  <si>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</si>
  <si>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</si>
  <si>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</si>
  <si>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</si>
  <si>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</si>
  <si>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</si>
  <si>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</si>
  <si>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</si>
  <si>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</si>
  <si>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</si>
  <si>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</si>
  <si>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</si>
  <si>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</si>
  <si>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</si>
  <si>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</si>
  <si>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</si>
  <si>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</si>
  <si>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</si>
  <si>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</si>
  <si>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</si>
  <si>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</si>
  <si>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</si>
  <si>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</si>
  <si>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</si>
  <si>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</si>
  <si>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</si>
  <si>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</si>
  <si>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</si>
  <si>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</si>
  <si>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</si>
  <si>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</si>
  <si>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</si>
  <si>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</si>
  <si>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</si>
  <si>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</si>
  <si>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</si>
  <si>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</si>
  <si>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</si>
  <si>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办公抵押</t>
    <phoneticPr fontId="3" type="noConversion"/>
  </si>
  <si>
    <t>办公不抵押</t>
    <phoneticPr fontId="3" type="noConversion"/>
  </si>
  <si>
    <t>商业</t>
    <phoneticPr fontId="3" type="noConversion"/>
  </si>
  <si>
    <t>物业</t>
    <phoneticPr fontId="3" type="noConversion"/>
  </si>
  <si>
    <t>消防</t>
    <phoneticPr fontId="3" type="noConversion"/>
  </si>
  <si>
    <t>地上</t>
  </si>
  <si>
    <t>办公楼</t>
  </si>
  <si>
    <t>底商</t>
  </si>
  <si>
    <t>是</t>
  </si>
  <si>
    <t>否</t>
    <phoneticPr fontId="3" type="noConversion"/>
  </si>
  <si>
    <t>办公</t>
    <phoneticPr fontId="7" type="noConversion"/>
  </si>
  <si>
    <t>成新度</t>
  </si>
  <si>
    <t>收益法</t>
  </si>
  <si>
    <t>钢混</t>
  </si>
  <si>
    <t>非生产用房</t>
  </si>
  <si>
    <t>押一</t>
  </si>
  <si>
    <t>按房产原值计税</t>
  </si>
  <si>
    <t>其他：</t>
  </si>
  <si>
    <t>企业</t>
  </si>
  <si>
    <t>出让</t>
  </si>
  <si>
    <t>正常</t>
    <phoneticPr fontId="31" type="noConversion"/>
  </si>
  <si>
    <t>办公</t>
    <phoneticPr fontId="31" type="noConversion"/>
  </si>
  <si>
    <t>统百中心</t>
    <phoneticPr fontId="3" type="noConversion"/>
  </si>
  <si>
    <t>立城中心</t>
    <phoneticPr fontId="3" type="noConversion"/>
  </si>
  <si>
    <t>绿地汉口中心</t>
    <phoneticPr fontId="3" type="noConversion"/>
  </si>
  <si>
    <t>一般</t>
    <phoneticPr fontId="32" type="noConversion"/>
  </si>
  <si>
    <t>较好</t>
    <phoneticPr fontId="32" type="noConversion"/>
  </si>
  <si>
    <t>较好</t>
    <phoneticPr fontId="32" type="noConversion"/>
  </si>
  <si>
    <t>正常</t>
    <phoneticPr fontId="32" type="noConversion"/>
  </si>
  <si>
    <t>办公</t>
    <phoneticPr fontId="32" type="noConversion"/>
  </si>
  <si>
    <t>一般</t>
    <phoneticPr fontId="32" type="noConversion"/>
  </si>
  <si>
    <t>六通</t>
    <phoneticPr fontId="32" type="noConversion"/>
  </si>
  <si>
    <t>六通</t>
    <phoneticPr fontId="32" type="noConversion"/>
  </si>
  <si>
    <t>写字楼</t>
    <phoneticPr fontId="32" type="noConversion"/>
  </si>
  <si>
    <t>钢混</t>
    <phoneticPr fontId="32" type="noConversion"/>
  </si>
  <si>
    <t>精装</t>
    <phoneticPr fontId="32" type="noConversion"/>
  </si>
  <si>
    <t>甲级</t>
    <phoneticPr fontId="32" type="noConversion"/>
  </si>
  <si>
    <t>专业</t>
    <phoneticPr fontId="32" type="noConversion"/>
  </si>
  <si>
    <t>标准</t>
    <phoneticPr fontId="32" type="noConversion"/>
  </si>
  <si>
    <t>标准</t>
    <phoneticPr fontId="32" type="noConversion"/>
  </si>
  <si>
    <t>非标准</t>
    <phoneticPr fontId="32" type="noConversion"/>
  </si>
  <si>
    <t>毛坯</t>
    <phoneticPr fontId="32" type="noConversion"/>
  </si>
  <si>
    <t>高区</t>
    <phoneticPr fontId="32" type="noConversion"/>
  </si>
  <si>
    <t>售价</t>
  </si>
  <si>
    <t>中区</t>
    <phoneticPr fontId="32" type="noConversion"/>
  </si>
  <si>
    <t>低区</t>
    <phoneticPr fontId="32" type="noConversion"/>
  </si>
  <si>
    <t>高区</t>
    <phoneticPr fontId="32" type="noConversion"/>
  </si>
  <si>
    <t>26层</t>
    <phoneticPr fontId="25" type="noConversion"/>
  </si>
  <si>
    <r>
      <t>25</t>
    </r>
    <r>
      <rPr>
        <sz val="10"/>
        <color indexed="8"/>
        <rFont val="宋体"/>
        <family val="3"/>
        <charset val="134"/>
      </rPr>
      <t>层</t>
    </r>
    <phoneticPr fontId="25" type="noConversion"/>
  </si>
  <si>
    <r>
      <t>24</t>
    </r>
    <r>
      <rPr>
        <sz val="10"/>
        <color indexed="8"/>
        <rFont val="宋体"/>
        <family val="3"/>
        <charset val="134"/>
      </rPr>
      <t>层</t>
    </r>
    <phoneticPr fontId="25" type="noConversion"/>
  </si>
  <si>
    <r>
      <t>23层</t>
    </r>
    <r>
      <rPr>
        <sz val="10"/>
        <color indexed="8"/>
        <rFont val="宋体"/>
        <family val="3"/>
        <charset val="134"/>
      </rPr>
      <t/>
    </r>
  </si>
  <si>
    <r>
      <t>22层</t>
    </r>
    <r>
      <rPr>
        <sz val="10"/>
        <color indexed="8"/>
        <rFont val="宋体"/>
        <family val="3"/>
        <charset val="134"/>
      </rPr>
      <t/>
    </r>
  </si>
  <si>
    <r>
      <t>21层</t>
    </r>
    <r>
      <rPr>
        <sz val="10"/>
        <color indexed="8"/>
        <rFont val="宋体"/>
        <family val="3"/>
        <charset val="134"/>
      </rPr>
      <t/>
    </r>
  </si>
  <si>
    <r>
      <t>20层</t>
    </r>
    <r>
      <rPr>
        <sz val="10"/>
        <color indexed="8"/>
        <rFont val="宋体"/>
        <family val="3"/>
        <charset val="134"/>
      </rPr>
      <t/>
    </r>
  </si>
  <si>
    <r>
      <t>19层</t>
    </r>
    <r>
      <rPr>
        <sz val="10"/>
        <color indexed="8"/>
        <rFont val="宋体"/>
        <family val="3"/>
        <charset val="134"/>
      </rPr>
      <t/>
    </r>
  </si>
  <si>
    <t>高区</t>
    <phoneticPr fontId="25" type="noConversion"/>
  </si>
  <si>
    <t>中区</t>
    <phoneticPr fontId="25" type="noConversion"/>
  </si>
  <si>
    <t>低区</t>
    <phoneticPr fontId="25" type="noConversion"/>
  </si>
  <si>
    <t>现房</t>
  </si>
  <si>
    <t>比较法-办公</t>
  </si>
  <si>
    <t>王鹏</t>
  </si>
  <si>
    <t>郑燚</t>
  </si>
  <si>
    <t>中信信托有限责任公司</t>
    <phoneticPr fontId="6" type="noConversion"/>
  </si>
  <si>
    <t>湖北省武汉市</t>
    <phoneticPr fontId="6" type="noConversion"/>
  </si>
  <si>
    <t>江岸区解放大道与张公堤路交叉口处</t>
    <phoneticPr fontId="6" type="noConversion"/>
  </si>
  <si>
    <t>武汉统建城市开发有限责任公司</t>
    <phoneticPr fontId="6" type="noConversion"/>
  </si>
  <si>
    <t>武汉统建城市开发有限责任公司</t>
    <phoneticPr fontId="6" type="noConversion"/>
  </si>
  <si>
    <t>通路</t>
  </si>
  <si>
    <t>通电</t>
  </si>
  <si>
    <t>通讯</t>
  </si>
  <si>
    <t>通上水</t>
  </si>
  <si>
    <t>通下水</t>
  </si>
  <si>
    <t>燃气</t>
  </si>
  <si>
    <t>核定资产</t>
  </si>
  <si>
    <t>房地产市场价值</t>
  </si>
  <si>
    <t>分摊土地</t>
    <phoneticPr fontId="143"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</si>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</sst>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9" fontId="56" fillId="17" borderId="1" xfId="0" applyNumberFormat="1" applyFont="1" applyFill="1" applyBorder="1" applyAlignment="1" applyProtection="1">
      <alignment horizontal="center" vertical="center" wrapText="1"/>
      <protection locked="0"/>
    </xf>
    <xf numFmtId="0" fontId="50" fillId="17" borderId="1" xfId="0" applyFont="1" applyFill="1" applyBorder="1" applyAlignment="1" applyProtection="1">
      <alignment horizontal="left" vertical="center" wrapText="1"/>
      <protection locked="0"/>
    </xf>
    <xf numFmtId="0" fontId="56" fillId="17" borderId="0" xfId="0" applyFont="1" applyFill="1" applyBorder="1" applyAlignment="1" applyProtection="1">
      <alignment horizontal="center" vertical="center"/>
      <protection locked="0"/>
    </xf>
    <xf numFmtId="0" fontId="61" fillId="17" borderId="11" xfId="0" applyNumberFormat="1" applyFont="1" applyFill="1" applyBorder="1" applyAlignment="1" applyProtection="1">
      <alignment horizontal="center" vertical="center" wrapText="1"/>
      <protection locked="0"/>
    </xf>
    <xf numFmtId="0" fontId="47" fillId="17" borderId="61" xfId="0" applyFont="1" applyFill="1" applyBorder="1" applyAlignment="1" applyProtection="1">
      <alignment horizontal="center" vertical="center" wrapText="1"/>
    </xf>
    <xf numFmtId="0" fontId="98" fillId="17" borderId="37"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47" fillId="17" borderId="5" xfId="0" applyFont="1" applyFill="1" applyBorder="1" applyAlignment="1" applyProtection="1">
      <alignment horizontal="center" vertical="center" wrapText="1"/>
    </xf>
    <xf numFmtId="0" fontId="50" fillId="17" borderId="16" xfId="0" applyNumberFormat="1"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581025</xdr:colOff>
      <xdr:row>19</xdr:row>
      <xdr:rowOff>142875</xdr:rowOff>
    </xdr:from>
    <xdr:to>
      <xdr:col>14</xdr:col>
      <xdr:colOff>169706</xdr:colOff>
      <xdr:row>49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952625" y="3400425"/>
          <a:ext cx="7913531" cy="50196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湖北省武汉市江岸区解放大道与张公堤路交叉口处房地产市场价值预评估</v>
      </c>
    </row>
    <row r="3" spans="1:2" s="1593" customFormat="1">
      <c r="A3" s="1591" t="s">
        <v>1221</v>
      </c>
      <c r="B3" s="1592" t="str">
        <f>'预评函-封皮'!B40</f>
        <v>武汉统建城市开发有限责任公司</v>
      </c>
    </row>
    <row r="4" spans="1:2" s="1593" customFormat="1">
      <c r="A4" s="1591" t="s">
        <v>1222</v>
      </c>
      <c r="B4" s="1592" t="str">
        <f ca="1">'预评函-封皮'!B46</f>
        <v>王鹏（注册号：1120050019)、郑燚（注册号：1120070131)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受贵公司委托，我公司对湖北省武汉市江岸区解放大道与张公堤路交叉口处房地产市场价值进行了预评估。</v>
      </c>
    </row>
    <row r="7" spans="1:2" s="1593" customFormat="1">
      <c r="A7" s="1591" t="s">
        <v>1264</v>
      </c>
      <c r="B7" s="1592" t="str">
        <f>'预评函-1'!A7</f>
        <v>估价对象为湖北省武汉市江岸区解放大道与张公堤路交叉口处房地产，为武汉统建城市开发有限责任公司所有。根据《国有土地使用证》[]，估价对象（分摊）出让国有建设用地使用权面积为73.69平方米，建筑面积为1368.33000000002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湖北省武汉市江岸区解放大道与张公堤路交叉口处房地产,属武汉统建城市开发有限责任公司开发建设的，该项目尚在开发建设中。根据《国有土地使用证》[]，估价对象（分摊）出让国有建设用地使用权面积为73.69平方米，规划建筑面积为1368.33000000002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为估价委托人了解估价对象房地产市场价值提供参考依据。</v>
      </c>
    </row>
    <row r="12" spans="1:2" s="1593" customFormat="1">
      <c r="A12" s="1591" t="s">
        <v>1226</v>
      </c>
      <c r="B12" s="1592" t="str">
        <f>'预评函-1'!A15</f>
        <v>2018年11月28日（评估专业人员实地查勘之日）</v>
      </c>
    </row>
    <row r="13" spans="1:2" s="1593" customFormat="1">
      <c r="A13" s="1591" t="s">
        <v>1227</v>
      </c>
      <c r="B13" s="1592" t="str">
        <f>'预评函-1'!A18</f>
        <v>本次估价的“房地产价值”是指在正常市场情况下，在价值时点2018年11月28日，估价对象规划用途为，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v>
      </c>
    </row>
    <row r="16" spans="1:2" s="1593" customFormat="1">
      <c r="A16" s="1591" t="s">
        <v>1230</v>
      </c>
      <c r="B16" s="1592" t="str">
        <f>'预评函-1'!A21</f>
        <v>——</v>
      </c>
    </row>
    <row r="17" spans="1:2" s="1593" customFormat="1">
      <c r="A17" s="1591" t="s">
        <v>1231</v>
      </c>
      <c r="B17" s="1592" t="str">
        <f>'预评函-1'!A22</f>
        <v>——</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1234</v>
      </c>
      <c r="B20" s="1592">
        <f ca="1">'预评函-2'!D5</f>
        <v>2301</v>
      </c>
    </row>
    <row r="21" spans="1:2" s="1593" customFormat="1">
      <c r="A21" s="1591" t="s">
        <v>1235</v>
      </c>
      <c r="B21" s="1592">
        <f ca="1">'预评函-2'!D7</f>
        <v>16816</v>
      </c>
    </row>
    <row r="22" spans="1:2" s="1593" customFormat="1">
      <c r="A22" s="1591" t="s">
        <v>1236</v>
      </c>
      <c r="B22" s="1592" t="str">
        <f ca="1">'预评函-2'!D6</f>
        <v>贰仟叁佰零壹万元整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2301</v>
      </c>
    </row>
    <row r="31" spans="1:2" s="1593" customFormat="1">
      <c r="A31" s="1591" t="s">
        <v>1274</v>
      </c>
      <c r="B31" s="1592">
        <f ca="1">'预评函-2'!D15</f>
        <v>16816</v>
      </c>
    </row>
    <row r="32" spans="1:2" s="1593" customFormat="1">
      <c r="A32" s="1591" t="s">
        <v>1241</v>
      </c>
      <c r="B32" s="1592" t="str">
        <f ca="1">'预评函-2'!D14</f>
        <v>贰仟叁佰零壹万元整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湖北省武汉市江岸区解放大道与张公堤路交叉口处房地产</v>
      </c>
    </row>
    <row r="42" spans="1:2" s="1593" customFormat="1">
      <c r="A42" s="1591" t="s">
        <v>1288</v>
      </c>
      <c r="B42" s="1592" t="str">
        <f>'预评函-3'!B2</f>
        <v>建筑面积</v>
      </c>
    </row>
    <row r="43" spans="1:2" s="1593" customFormat="1">
      <c r="A43" s="1591" t="s">
        <v>1289</v>
      </c>
      <c r="B43" s="1592">
        <f>'预评函-3'!B4</f>
        <v>1368.3300000000163</v>
      </c>
    </row>
    <row r="44" spans="1:2" s="1593" customFormat="1">
      <c r="A44" s="1591" t="s">
        <v>1273</v>
      </c>
      <c r="B44" s="1592" t="str">
        <f>'预评函-3'!C2</f>
        <v>(分摊)土地面积</v>
      </c>
    </row>
    <row r="45" spans="1:2" s="1593" customFormat="1">
      <c r="A45" s="1591" t="s">
        <v>1245</v>
      </c>
      <c r="B45" s="1592">
        <f>'预评函-3'!C4</f>
        <v>73.69</v>
      </c>
    </row>
    <row r="46" spans="1:2" s="1593" customFormat="1">
      <c r="A46" s="1591" t="s">
        <v>1271</v>
      </c>
      <c r="B46" s="1592" t="str">
        <f>'预评函-3'!D2</f>
        <v>出让国有建设用地使用权价值</v>
      </c>
    </row>
    <row r="47" spans="1:2" s="1593" customFormat="1">
      <c r="A47" s="1591" t="s">
        <v>1246</v>
      </c>
      <c r="B47" s="1592">
        <f ca="1">'预评函-3'!D4</f>
        <v>1176</v>
      </c>
    </row>
    <row r="48" spans="1:2" s="1593" customFormat="1">
      <c r="A48" s="1591" t="s">
        <v>1247</v>
      </c>
      <c r="B48" s="1592">
        <f ca="1">'预评函-3'!E4</f>
        <v>8594</v>
      </c>
    </row>
    <row r="49" spans="1:2" s="1593" customFormat="1">
      <c r="A49" s="1591" t="s">
        <v>1248</v>
      </c>
      <c r="B49" s="1592" t="str">
        <f ca="1">'预评函-3'!D5</f>
        <v>壹仟壹佰柒拾陆万元整</v>
      </c>
    </row>
    <row r="50" spans="1:2" s="1593" customFormat="1">
      <c r="A50" s="1591" t="s">
        <v>1272</v>
      </c>
      <c r="B50" s="1592" t="str">
        <f>'预评函-3'!F2</f>
        <v>在建建筑物价值</v>
      </c>
    </row>
    <row r="51" spans="1:2" s="1593" customFormat="1">
      <c r="A51" s="1591" t="s">
        <v>1249</v>
      </c>
      <c r="B51" s="1592">
        <f ca="1">'预评函-3'!F4</f>
        <v>1125</v>
      </c>
    </row>
    <row r="52" spans="1:2" s="1593" customFormat="1">
      <c r="A52" s="1591" t="s">
        <v>1250</v>
      </c>
      <c r="B52" s="1592">
        <f ca="1">'预评函-3'!G4</f>
        <v>8222</v>
      </c>
    </row>
    <row r="53" spans="1:2" s="1593" customFormat="1">
      <c r="A53" s="1591" t="s">
        <v>1278</v>
      </c>
      <c r="B53" s="1592" t="str">
        <f ca="1">'预评函-3'!F5</f>
        <v>壹仟壹佰贰拾伍万元整</v>
      </c>
    </row>
    <row r="54" spans="1:2" s="1593" customFormat="1">
      <c r="A54" s="1591" t="s">
        <v>1296</v>
      </c>
      <c r="B54" s="1592" t="str">
        <f>'预评函-3'!A8</f>
        <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
      </c>
    </row>
    <row r="58" spans="1:2" s="1590" customFormat="1" ht="15" thickTop="1">
      <c r="A58" s="1588" t="s">
        <v>1251</v>
      </c>
      <c r="B58" s="1589" t="str">
        <f>'预评函-4'!A12</f>
        <v>2.本次评估设定估价对象房地产权属无争议，未被查封或者以其他形式限制其房地产权利，未设定抵押权等他项权利，不涉及第三方权利义务。</v>
      </c>
    </row>
    <row r="59" spans="1:2" s="1593" customFormat="1">
      <c r="A59" s="1591" t="s">
        <v>1252</v>
      </c>
      <c r="B59" s="1592" t="str">
        <f>'预评函-4'!A13</f>
        <v>——</v>
      </c>
    </row>
    <row r="60" spans="1:2" s="1593" customFormat="1">
      <c r="A60" s="1591" t="s">
        <v>1253</v>
      </c>
      <c r="B60" s="1592" t="str">
        <f>'预评函-4'!A14</f>
        <v>——</v>
      </c>
    </row>
    <row r="61" spans="1:2" s="1593" customFormat="1">
      <c r="A61" s="1591" t="s">
        <v>1254</v>
      </c>
      <c r="B61" s="1592" t="str">
        <f>'预评函-4'!A15</f>
        <v>——</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v>
      </c>
    </row>
    <row r="65" spans="1:2" s="1593" customFormat="1">
      <c r="A65" s="1591" t="s">
        <v>1257</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王鹏</v>
      </c>
    </row>
    <row r="71" spans="1:2">
      <c r="A71" s="1591" t="s">
        <v>1261</v>
      </c>
      <c r="B71" s="1592">
        <f ca="1">'预评函-4'!B4</f>
        <v>1120050019</v>
      </c>
    </row>
    <row r="72" spans="1:2">
      <c r="A72" s="1591" t="s">
        <v>1262</v>
      </c>
      <c r="B72" s="1600" t="str">
        <f>'预评函-4'!A5</f>
        <v>郑燚</v>
      </c>
    </row>
    <row r="73" spans="1:2" s="1587" customFormat="1" ht="15" thickBot="1">
      <c r="A73" s="1594" t="s">
        <v>1263</v>
      </c>
      <c r="B73" s="1595">
        <f ca="1">'预评函-4'!B5</f>
        <v>1120070131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北省武汉市江岸区解放大道与张公堤路交叉口处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14"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4"/>
      <c r="B54" s="2022" t="s">
        <v>864</v>
      </c>
      <c r="C54" s="2019" t="s">
        <v>1281</v>
      </c>
    </row>
    <row r="55" spans="1:4">
      <c r="A55" s="3014"/>
      <c r="B55" s="2022" t="s">
        <v>865</v>
      </c>
      <c r="C55" s="2019" t="s">
        <v>1282</v>
      </c>
    </row>
    <row r="56" spans="1:4">
      <c r="A56" s="3014"/>
      <c r="B56" s="2022" t="s">
        <v>866</v>
      </c>
      <c r="C56" s="2019" t="s">
        <v>1286</v>
      </c>
    </row>
    <row r="57" spans="1:4">
      <c r="A57" s="3014"/>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7" sqref="H7"/>
    </sheetView>
  </sheetViews>
  <sheetFormatPr defaultColWidth="10" defaultRowHeight="18" customHeight="1"/>
  <cols>
    <col min="1" max="1" width="14.875" style="2032" customWidth="1"/>
    <col min="2" max="3" width="11.5" style="2032" customWidth="1"/>
    <col min="4" max="4" width="12.5" style="2032" customWidth="1"/>
    <col min="5"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1776</v>
      </c>
      <c r="B1" s="3015" t="str">
        <f>IF(B10="北京市","北京市",C10)&amp;F10&amp;IF(结果表!G1="在建","出让国有建设用地使用权及在建建筑物",IF(结果表!G1="土地","出让国有建设用地使用权",))&amp;B9&amp;"预评估"</f>
        <v>湖北省武汉市江岸区解放大道与张公堤路交叉口处房地产市场价值预评估</v>
      </c>
      <c r="C1" s="3016"/>
      <c r="D1" s="3016"/>
      <c r="E1" s="3016"/>
      <c r="F1" s="3016"/>
      <c r="G1" s="3016"/>
      <c r="H1" s="3016"/>
      <c r="I1" s="301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湖北省武汉市江岸区解放大道与张公堤路交叉口处房地产市场价值</v>
      </c>
    </row>
    <row r="2" spans="1:19" ht="18" customHeight="1">
      <c r="A2" s="2026" t="s">
        <v>1777</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湖北省武汉市江岸区解放大道与张公堤路交叉口处房地产</v>
      </c>
    </row>
    <row r="3" spans="1:19" ht="18" customHeight="1">
      <c r="A3" s="2035" t="s">
        <v>1778</v>
      </c>
      <c r="B3" s="2036">
        <v>43432</v>
      </c>
      <c r="C3" s="2037" t="s">
        <v>1779</v>
      </c>
      <c r="D3" s="2036">
        <v>43432</v>
      </c>
      <c r="E3" s="2026"/>
      <c r="F3" s="2026"/>
      <c r="G3" s="2026"/>
      <c r="H3" s="2026"/>
      <c r="I3" s="2026"/>
      <c r="J3" s="2026"/>
      <c r="K3" s="2027"/>
      <c r="L3" s="2028"/>
      <c r="M3" s="2028"/>
      <c r="N3" s="2029"/>
      <c r="O3" s="2030"/>
      <c r="P3" s="2029"/>
      <c r="Q3" s="2029"/>
      <c r="R3" s="2029"/>
      <c r="S3" s="2031"/>
    </row>
    <row r="4" spans="1:19" ht="18" customHeight="1" thickBot="1">
      <c r="A4" s="2038" t="s">
        <v>1780</v>
      </c>
      <c r="B4" s="2039" t="s">
        <v>3113</v>
      </c>
      <c r="C4" s="1038">
        <f ca="1">SUMIF(注册房地产估价师,B4,估价师及机构信息!B3:B24)</f>
        <v>1120050019</v>
      </c>
      <c r="D4" s="2039" t="s">
        <v>3114</v>
      </c>
      <c r="E4" s="1039">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1781</v>
      </c>
      <c r="B5" s="2965" t="s">
        <v>3118</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1782</v>
      </c>
      <c r="B6" s="2966" t="s">
        <v>3115</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1783</v>
      </c>
      <c r="B7" s="2051"/>
      <c r="C7" s="2048"/>
      <c r="D7" s="2049"/>
      <c r="E7" s="2034"/>
      <c r="F7" s="2042"/>
      <c r="G7" s="2042"/>
      <c r="H7" s="2042"/>
      <c r="I7" s="2042"/>
      <c r="J7" s="2042"/>
      <c r="K7" s="2052"/>
      <c r="L7" s="2028"/>
      <c r="M7" s="2028"/>
      <c r="N7" s="2029"/>
      <c r="O7" s="2030"/>
      <c r="P7" s="2029"/>
      <c r="Q7" s="2029"/>
      <c r="R7" s="2029"/>
    </row>
    <row r="8" spans="1:19" ht="18" customHeight="1">
      <c r="A8" s="2047" t="s">
        <v>1784</v>
      </c>
      <c r="B8" s="2053" t="s">
        <v>3126</v>
      </c>
      <c r="C8" s="2054"/>
      <c r="D8" s="3018" t="s">
        <v>1785</v>
      </c>
      <c r="E8" s="2055"/>
      <c r="F8" s="2056"/>
      <c r="G8" s="2026"/>
      <c r="H8" s="2026"/>
      <c r="I8" s="2026"/>
      <c r="J8" s="2042"/>
      <c r="K8" s="2043"/>
      <c r="L8" s="2028"/>
      <c r="M8" s="2028"/>
      <c r="N8" s="2029"/>
      <c r="O8" s="2030"/>
      <c r="P8" s="2029"/>
      <c r="Q8" s="2029"/>
      <c r="R8" s="2029"/>
    </row>
    <row r="9" spans="1:19" ht="18" customHeight="1" thickBot="1">
      <c r="A9" s="2040" t="s">
        <v>1786</v>
      </c>
      <c r="B9" s="2057" t="s">
        <v>3127</v>
      </c>
      <c r="C9" s="2058"/>
      <c r="D9" s="3019"/>
      <c r="E9" s="2057" t="s">
        <v>70</v>
      </c>
      <c r="F9" s="2059"/>
      <c r="G9" s="2060"/>
      <c r="H9" s="2060"/>
      <c r="I9" s="2060"/>
      <c r="J9" s="2042"/>
      <c r="K9" s="2052"/>
      <c r="L9" s="2028"/>
      <c r="M9" s="2028"/>
      <c r="N9" s="2029"/>
      <c r="O9" s="2030"/>
      <c r="P9" s="2029"/>
      <c r="Q9" s="2029"/>
      <c r="R9" s="2029"/>
    </row>
    <row r="10" spans="1:19" ht="18" customHeight="1" thickTop="1">
      <c r="A10" s="2061" t="s">
        <v>1787</v>
      </c>
      <c r="B10" s="2062" t="s">
        <v>3070</v>
      </c>
      <c r="C10" s="2967" t="s">
        <v>3116</v>
      </c>
      <c r="D10" s="2046"/>
      <c r="E10" s="2063" t="s">
        <v>1788</v>
      </c>
      <c r="F10" s="2968" t="s">
        <v>3117</v>
      </c>
      <c r="G10" s="2064"/>
      <c r="H10" s="2065"/>
      <c r="I10" s="2046"/>
      <c r="J10" s="2042"/>
      <c r="K10" s="2052"/>
      <c r="L10" s="2028"/>
      <c r="M10" s="2028"/>
      <c r="N10" s="2029"/>
      <c r="O10" s="2030"/>
      <c r="P10" s="2029"/>
      <c r="Q10" s="2029"/>
      <c r="R10" s="2029"/>
    </row>
    <row r="11" spans="1:19" ht="18" customHeight="1">
      <c r="A11" s="2066" t="s">
        <v>1789</v>
      </c>
      <c r="B11" s="2067" t="s">
        <v>3071</v>
      </c>
      <c r="C11" s="2969" t="s">
        <v>3119</v>
      </c>
      <c r="D11" s="2068"/>
      <c r="E11" s="2042"/>
      <c r="F11" s="2042"/>
      <c r="G11" s="2042"/>
      <c r="H11" s="2042"/>
      <c r="I11" s="2042"/>
      <c r="J11" s="2042"/>
      <c r="K11" s="2052"/>
      <c r="L11" s="2028"/>
      <c r="M11" s="2028"/>
      <c r="N11" s="2029"/>
      <c r="O11" s="2030"/>
      <c r="P11" s="2029"/>
      <c r="Q11" s="2029"/>
      <c r="R11" s="2029"/>
    </row>
    <row r="12" spans="1:19" ht="18" customHeight="1">
      <c r="A12" s="2069" t="s">
        <v>1790</v>
      </c>
      <c r="B12" s="2067" t="s">
        <v>3072</v>
      </c>
      <c r="C12" s="2070" t="s">
        <v>1791</v>
      </c>
      <c r="D12" s="2071" t="s">
        <v>1792</v>
      </c>
      <c r="E12" s="2071" t="s">
        <v>1793</v>
      </c>
      <c r="F12" s="2071" t="s">
        <v>1794</v>
      </c>
      <c r="G12" s="2071" t="s">
        <v>1795</v>
      </c>
      <c r="H12" s="2071" t="s">
        <v>1796</v>
      </c>
      <c r="I12" s="2071" t="s">
        <v>1797</v>
      </c>
      <c r="J12" s="2042"/>
      <c r="K12" s="2052"/>
      <c r="L12" s="2028"/>
      <c r="M12" s="2028"/>
      <c r="N12" s="2029"/>
      <c r="O12" s="2030"/>
      <c r="P12" s="2029"/>
      <c r="Q12" s="2029"/>
      <c r="R12" s="2029"/>
    </row>
    <row r="13" spans="1:19" ht="18" customHeight="1">
      <c r="A13" s="2072"/>
      <c r="B13" s="2073"/>
      <c r="C13" s="2074" t="s">
        <v>1798</v>
      </c>
      <c r="D13" s="2075"/>
      <c r="E13" s="2075">
        <v>56289</v>
      </c>
      <c r="F13" s="2075">
        <v>56289</v>
      </c>
      <c r="G13" s="2075"/>
      <c r="H13" s="2075"/>
      <c r="I13" s="1048"/>
      <c r="J13" s="2042"/>
      <c r="K13" s="2052"/>
      <c r="L13" s="2028"/>
      <c r="M13" s="2028"/>
      <c r="N13" s="2029"/>
      <c r="O13" s="2030"/>
      <c r="P13" s="2029"/>
      <c r="Q13" s="2029"/>
      <c r="R13" s="2029"/>
    </row>
    <row r="14" spans="1:19" ht="18" customHeight="1">
      <c r="A14" s="2072"/>
      <c r="B14" s="2073"/>
      <c r="C14" s="2074" t="s">
        <v>1799</v>
      </c>
      <c r="D14" s="1051"/>
      <c r="E14" s="1051">
        <v>40</v>
      </c>
      <c r="F14" s="1051">
        <v>40</v>
      </c>
      <c r="G14" s="1051"/>
      <c r="H14" s="1051"/>
      <c r="I14" s="1051"/>
      <c r="J14" s="2042"/>
      <c r="K14" s="2076"/>
      <c r="L14" s="2028"/>
      <c r="M14" s="2028"/>
      <c r="N14" s="2029"/>
      <c r="O14" s="2030"/>
      <c r="P14" s="2029"/>
      <c r="Q14" s="2029"/>
      <c r="R14" s="2029"/>
    </row>
    <row r="15" spans="1:19" ht="18" customHeight="1">
      <c r="A15" s="2061"/>
      <c r="B15" s="2077"/>
      <c r="C15" s="2074" t="s">
        <v>1800</v>
      </c>
      <c r="D15" s="1050" t="str">
        <f>IF(B12="出让",IF(D13="","",ROUNDDOWN(MIN((D13-$D$3)/365,D14),2)),D14)</f>
        <v/>
      </c>
      <c r="E15" s="1050">
        <f>IF(B12="出让",IF(E13="","",ROUNDDOWN(MIN((E13-$D$3)/365,E14),2)),E14)</f>
        <v>35.22</v>
      </c>
      <c r="F15" s="1050">
        <f>IF(B12="出让",IF(F13="","",ROUNDDOWN(MIN((F13-$D$3)/365,F14),2)),F14)</f>
        <v>35.22</v>
      </c>
      <c r="G15" s="1050" t="str">
        <f>IF(B12="出让",IF(G13="","",ROUNDDOWN(MIN((G13-$D$3)/365,G14),2)),G14)</f>
        <v/>
      </c>
      <c r="H15" s="1050" t="str">
        <f>IF(B12="出让",IF(H13="","",ROUNDDOWN(MIN((H13-$D$3)/365,H14),2)),H14)</f>
        <v/>
      </c>
      <c r="I15" s="1050" t="str">
        <f>IF(B12="出让",IF(I13="","",ROUNDDOWN(MIN((I13-$D$3)/365,I14),2)),I14)</f>
        <v/>
      </c>
      <c r="J15" s="2042"/>
      <c r="K15" s="2078"/>
      <c r="L15" s="2079"/>
      <c r="M15" s="2079"/>
      <c r="N15" s="2080"/>
      <c r="O15" s="2079"/>
      <c r="P15" s="2080"/>
      <c r="Q15" s="2029"/>
      <c r="R15" s="2029"/>
    </row>
    <row r="16" spans="1:19" ht="30.75" customHeight="1">
      <c r="A16" s="2063" t="s">
        <v>1801</v>
      </c>
      <c r="B16" s="3025"/>
      <c r="C16" s="3026"/>
      <c r="D16" s="3027"/>
      <c r="E16" s="2081" t="s">
        <v>1802</v>
      </c>
      <c r="F16" s="3028"/>
      <c r="G16" s="3029"/>
      <c r="H16" s="3029"/>
      <c r="I16" s="3030"/>
      <c r="J16" s="2029"/>
      <c r="K16" s="2078"/>
      <c r="L16" s="2079"/>
      <c r="M16" s="2079"/>
      <c r="N16" s="2080"/>
      <c r="O16" s="2079"/>
      <c r="P16" s="2080"/>
      <c r="Q16" s="2029"/>
      <c r="R16" s="2029"/>
    </row>
    <row r="17" spans="1:22" ht="18" customHeight="1">
      <c r="A17" s="2082" t="s">
        <v>1803</v>
      </c>
      <c r="B17" s="2035" t="s">
        <v>1804</v>
      </c>
      <c r="C17" s="1055">
        <f>'数据-汇总表'!E3</f>
        <v>1368.3300000000163</v>
      </c>
      <c r="D17" s="2083" t="s">
        <v>1805</v>
      </c>
      <c r="E17" s="3031" t="s">
        <v>1806</v>
      </c>
      <c r="F17" s="3032"/>
      <c r="G17" s="3032"/>
      <c r="H17" s="3032"/>
      <c r="I17" s="3033"/>
      <c r="J17" s="2029"/>
      <c r="K17" s="2084"/>
      <c r="L17" s="2079"/>
      <c r="M17" s="2079"/>
      <c r="N17" s="2080"/>
      <c r="O17" s="2079"/>
      <c r="P17" s="2080"/>
      <c r="Q17" s="2029"/>
      <c r="R17" s="2029"/>
      <c r="S17" s="2029"/>
      <c r="T17" s="2029"/>
      <c r="U17" s="2029"/>
      <c r="V17" s="2029"/>
    </row>
    <row r="18" spans="1:22" ht="36" customHeight="1" thickBot="1">
      <c r="A18" s="2085" t="s">
        <v>1807</v>
      </c>
      <c r="B18" s="2038" t="s">
        <v>1808</v>
      </c>
      <c r="C18" s="1444">
        <f>'数据-汇总表'!D3</f>
        <v>73.69</v>
      </c>
      <c r="D18" s="2086" t="s">
        <v>1805</v>
      </c>
      <c r="E18" s="3034" t="s">
        <v>1809</v>
      </c>
      <c r="F18" s="3035"/>
      <c r="G18" s="3035"/>
      <c r="H18" s="3035"/>
      <c r="I18" s="3036"/>
      <c r="J18" s="2029"/>
      <c r="K18" s="2084"/>
      <c r="L18" s="2079"/>
      <c r="M18" s="2079"/>
      <c r="N18" s="2080"/>
      <c r="O18" s="2079"/>
      <c r="P18" s="2080"/>
      <c r="Q18" s="2029"/>
      <c r="R18" s="2029"/>
      <c r="S18" s="2029"/>
      <c r="T18" s="2029"/>
      <c r="U18" s="2029"/>
      <c r="V18" s="2029"/>
    </row>
    <row r="19" spans="1:22" ht="37.5" customHeight="1" thickTop="1" thickBot="1">
      <c r="A19" s="372" t="s">
        <v>1810</v>
      </c>
      <c r="B19" s="351" t="s">
        <v>1811</v>
      </c>
      <c r="C19" s="2087"/>
      <c r="D19" s="2088" t="s">
        <v>1812</v>
      </c>
      <c r="E19" s="2089"/>
      <c r="F19" s="2090" t="str">
        <f>IF(AND(C19="是",E19="否"),"是否提供他项权证或相关说明","")</f>
        <v/>
      </c>
      <c r="G19" s="2091"/>
      <c r="H19" s="2042"/>
      <c r="I19" s="2042"/>
      <c r="J19" s="2042"/>
      <c r="K19" s="2052"/>
      <c r="L19" s="2028"/>
      <c r="M19" s="2028"/>
      <c r="N19" s="2080"/>
      <c r="O19" s="2079"/>
      <c r="P19" s="2080"/>
      <c r="Q19" s="2029"/>
      <c r="R19" s="2029"/>
      <c r="S19" s="2029"/>
      <c r="T19" s="2029"/>
      <c r="U19" s="2029"/>
      <c r="V19" s="2029"/>
    </row>
    <row r="20" spans="1:22" ht="18" customHeight="1">
      <c r="A20" s="2092" t="s">
        <v>1813</v>
      </c>
      <c r="B20" s="3021" t="s">
        <v>1814</v>
      </c>
      <c r="C20" s="3022"/>
      <c r="D20" s="3023" t="s">
        <v>1815</v>
      </c>
      <c r="E20" s="3024"/>
      <c r="F20" s="2093" t="s">
        <v>1816</v>
      </c>
      <c r="G20" s="2042"/>
      <c r="H20" s="2042"/>
      <c r="I20" s="2042"/>
      <c r="J20" s="2042"/>
      <c r="K20" s="3020"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0"/>
      <c r="O20" s="2079"/>
      <c r="P20" s="2080"/>
      <c r="Q20" s="2029"/>
      <c r="R20" s="2029"/>
      <c r="S20" s="2029"/>
      <c r="T20" s="2029"/>
      <c r="U20" s="2029"/>
      <c r="V20" s="2029"/>
    </row>
    <row r="21" spans="1:22" ht="24.75" customHeight="1">
      <c r="A21" s="2092"/>
      <c r="B21" s="2094" t="s">
        <v>1818</v>
      </c>
      <c r="C21" s="2095" t="s">
        <v>1819</v>
      </c>
      <c r="D21" s="2096" t="s">
        <v>1820</v>
      </c>
      <c r="E21" s="2097" t="s">
        <v>1819</v>
      </c>
      <c r="F21" s="2098"/>
      <c r="G21" s="2042"/>
      <c r="H21" s="2042"/>
      <c r="I21" s="2042"/>
      <c r="J21" s="2042"/>
      <c r="K21" s="302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0"/>
      <c r="O21" s="2079"/>
      <c r="P21" s="2080"/>
      <c r="Q21" s="2029"/>
      <c r="R21" s="2029"/>
      <c r="S21" s="2029"/>
      <c r="T21" s="2029"/>
      <c r="U21" s="2029"/>
      <c r="V21" s="2029"/>
    </row>
    <row r="22" spans="1:22" ht="24.75" customHeight="1" thickBot="1">
      <c r="A22" s="2092"/>
      <c r="B22" s="2099" t="s">
        <v>1821</v>
      </c>
      <c r="C22" s="2095" t="s">
        <v>1822</v>
      </c>
      <c r="D22" s="2026"/>
      <c r="E22" s="2026"/>
      <c r="F22" s="2100"/>
      <c r="G22" s="2042"/>
      <c r="H22" s="2042"/>
      <c r="I22" s="2042"/>
      <c r="J22" s="2042"/>
      <c r="K22" s="302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0"/>
      <c r="O22" s="2079"/>
      <c r="P22" s="2080"/>
      <c r="Q22" s="2029"/>
      <c r="R22" s="2029"/>
      <c r="S22" s="2029"/>
      <c r="T22" s="2029"/>
      <c r="U22" s="2029"/>
      <c r="V22" s="2029"/>
    </row>
    <row r="23" spans="1:22" ht="18" customHeight="1">
      <c r="A23" s="2101" t="s">
        <v>1823</v>
      </c>
      <c r="B23" s="182" t="s">
        <v>1824</v>
      </c>
      <c r="C23" s="2102"/>
      <c r="D23" s="2103" t="s">
        <v>1824</v>
      </c>
      <c r="E23" s="2104"/>
      <c r="F23" s="2100"/>
      <c r="G23" s="2042"/>
      <c r="H23" s="2042"/>
      <c r="I23" s="2042"/>
      <c r="J23" s="2042"/>
      <c r="K23" s="2105"/>
      <c r="L23" s="746"/>
      <c r="M23" s="2028"/>
      <c r="N23" s="2080"/>
      <c r="O23" s="2079"/>
      <c r="P23" s="2080"/>
      <c r="Q23" s="2029"/>
      <c r="R23" s="2029"/>
      <c r="S23" s="2029"/>
      <c r="T23" s="2029"/>
      <c r="U23" s="2029"/>
      <c r="V23" s="2029"/>
    </row>
    <row r="24" spans="1:22" ht="18" customHeight="1">
      <c r="A24" s="2106"/>
      <c r="B24" s="182" t="s">
        <v>1825</v>
      </c>
      <c r="C24" s="2107"/>
      <c r="D24" s="2101" t="s">
        <v>1825</v>
      </c>
      <c r="E24" s="2108"/>
      <c r="F24" s="2100"/>
      <c r="G24" s="2042"/>
      <c r="H24" s="2042"/>
      <c r="I24" s="2042"/>
      <c r="J24" s="2042"/>
      <c r="K24" s="2105"/>
      <c r="L24" s="746"/>
      <c r="M24" s="2028"/>
      <c r="N24" s="2080"/>
      <c r="O24" s="2079"/>
      <c r="P24" s="2080"/>
      <c r="Q24" s="2029"/>
      <c r="R24" s="2029"/>
      <c r="S24" s="2029"/>
      <c r="T24" s="2029"/>
      <c r="U24" s="2029"/>
      <c r="V24" s="2029"/>
    </row>
    <row r="25" spans="1:22" ht="18" customHeight="1">
      <c r="A25" s="2106"/>
      <c r="B25" s="182" t="s">
        <v>1826</v>
      </c>
      <c r="C25" s="2107"/>
      <c r="D25" s="2101" t="s">
        <v>1826</v>
      </c>
      <c r="E25" s="2108"/>
      <c r="F25" s="2100"/>
      <c r="G25" s="2042"/>
      <c r="H25" s="2042"/>
      <c r="I25" s="2042"/>
      <c r="J25" s="2042"/>
      <c r="K25" s="2052"/>
      <c r="L25" s="2028"/>
      <c r="M25" s="2028"/>
      <c r="N25" s="2080"/>
      <c r="O25" s="2079"/>
      <c r="P25" s="2080"/>
      <c r="Q25" s="2029"/>
      <c r="R25" s="2029"/>
      <c r="S25" s="2029"/>
      <c r="T25" s="2029"/>
      <c r="U25" s="2029"/>
      <c r="V25" s="2029"/>
    </row>
    <row r="26" spans="1:22" ht="18" customHeight="1" thickBot="1">
      <c r="A26" s="2109"/>
      <c r="B26" s="2110" t="s">
        <v>1827</v>
      </c>
      <c r="C26" s="2111"/>
      <c r="D26" s="2112" t="s">
        <v>1828</v>
      </c>
      <c r="E26" s="2113"/>
      <c r="F26" s="2114"/>
      <c r="G26" s="2060"/>
      <c r="H26" s="2060"/>
      <c r="I26" s="2060"/>
      <c r="J26" s="2042"/>
      <c r="K26" s="2052"/>
      <c r="L26" s="2028"/>
      <c r="M26" s="2028"/>
      <c r="N26" s="2080"/>
      <c r="O26" s="2079"/>
      <c r="P26" s="2080"/>
      <c r="Q26" s="2029"/>
      <c r="R26" s="2029"/>
      <c r="S26" s="2029"/>
      <c r="T26" s="2029"/>
      <c r="U26" s="2029"/>
      <c r="V26" s="2029"/>
    </row>
    <row r="27" spans="1:22" ht="18" customHeight="1" thickTop="1">
      <c r="A27" s="3038" t="s">
        <v>1829</v>
      </c>
      <c r="B27" s="2061" t="s">
        <v>1830</v>
      </c>
      <c r="C27" s="2115"/>
      <c r="D27" s="2116"/>
      <c r="E27" s="2042"/>
      <c r="F27" s="2042"/>
      <c r="G27" s="2042"/>
      <c r="H27" s="2042"/>
      <c r="I27" s="2042"/>
      <c r="J27" s="2029"/>
      <c r="K27" s="2078"/>
      <c r="L27" s="2079"/>
      <c r="M27" s="2079"/>
      <c r="N27" s="2080"/>
      <c r="O27" s="2079"/>
      <c r="P27" s="2080"/>
      <c r="Q27" s="2029"/>
      <c r="R27" s="2029"/>
      <c r="S27" s="2029"/>
      <c r="T27" s="2029"/>
      <c r="U27" s="2029"/>
      <c r="V27" s="2029"/>
    </row>
    <row r="28" spans="1:22" ht="18" customHeight="1">
      <c r="A28" s="3038"/>
      <c r="B28" s="2035" t="s">
        <v>1831</v>
      </c>
      <c r="C28" s="2117"/>
      <c r="D28" s="2118"/>
      <c r="E28" s="2042"/>
      <c r="F28" s="2042"/>
      <c r="G28" s="2042"/>
      <c r="H28" s="2042"/>
      <c r="I28" s="2042"/>
      <c r="J28" s="2029"/>
      <c r="K28" s="2119"/>
      <c r="L28" s="2028"/>
      <c r="M28" s="2028"/>
      <c r="N28" s="2029"/>
      <c r="O28" s="2030"/>
      <c r="P28" s="2029"/>
      <c r="Q28" s="2029"/>
      <c r="R28" s="2029"/>
      <c r="S28" s="2029"/>
      <c r="T28" s="2029"/>
      <c r="U28" s="2029"/>
      <c r="V28" s="2029"/>
    </row>
    <row r="29" spans="1:22" ht="18" customHeight="1">
      <c r="A29" s="3038"/>
      <c r="B29" s="2035" t="s">
        <v>1832</v>
      </c>
      <c r="C29" s="2120"/>
      <c r="D29" s="2121"/>
      <c r="E29" s="2042"/>
      <c r="F29" s="2042"/>
      <c r="G29" s="2042"/>
      <c r="H29" s="2042"/>
      <c r="I29" s="2042"/>
      <c r="J29" s="2029"/>
      <c r="K29" s="2119"/>
      <c r="L29" s="2028"/>
      <c r="M29" s="2028"/>
      <c r="N29" s="2029"/>
      <c r="O29" s="2030"/>
      <c r="P29" s="2029"/>
      <c r="Q29" s="2029"/>
      <c r="R29" s="2029"/>
      <c r="S29" s="2029"/>
      <c r="T29" s="2029"/>
      <c r="U29" s="2029"/>
      <c r="V29" s="2029"/>
    </row>
    <row r="30" spans="1:22" ht="18" customHeight="1">
      <c r="A30" s="3039"/>
      <c r="B30" s="2035" t="s">
        <v>1833</v>
      </c>
      <c r="C30" s="3040"/>
      <c r="D30" s="3041"/>
      <c r="E30" s="2042"/>
      <c r="F30" s="2042"/>
      <c r="G30" s="2042"/>
      <c r="H30" s="2042"/>
      <c r="I30" s="2042"/>
      <c r="J30" s="2029"/>
      <c r="K30" s="2119"/>
      <c r="L30" s="2028"/>
      <c r="M30" s="2028"/>
      <c r="N30" s="2029"/>
      <c r="O30" s="2030"/>
      <c r="P30" s="2029"/>
      <c r="Q30" s="2029"/>
      <c r="R30" s="2029"/>
      <c r="S30" s="2029"/>
      <c r="T30" s="2029"/>
      <c r="U30" s="2029"/>
      <c r="V30" s="2029"/>
    </row>
    <row r="31" spans="1:22" ht="18" customHeight="1">
      <c r="A31" s="3042" t="s">
        <v>1834</v>
      </c>
      <c r="B31" s="2122"/>
      <c r="C31" s="2123" t="str">
        <f>IF(B31="现房","成新及维护状况正常否",IF(B31="在建","工程状态是否正常",IF(B31="土地","是否闲置","-")))</f>
        <v>-</v>
      </c>
      <c r="D31" s="2124"/>
      <c r="E31" s="2125"/>
      <c r="F31" s="2042"/>
      <c r="G31" s="2042"/>
      <c r="H31" s="2042"/>
      <c r="I31" s="2042"/>
      <c r="J31" s="2042"/>
      <c r="K31" s="2050"/>
      <c r="L31" s="2028"/>
      <c r="M31" s="2028"/>
      <c r="N31" s="2029"/>
      <c r="O31" s="2030"/>
      <c r="P31" s="2029"/>
      <c r="Q31" s="2029"/>
      <c r="R31" s="2029"/>
      <c r="S31" s="2029"/>
      <c r="T31" s="2029"/>
      <c r="U31" s="2029"/>
      <c r="V31" s="2029"/>
    </row>
    <row r="32" spans="1:22" ht="18" customHeight="1">
      <c r="A32" s="3043"/>
      <c r="B32" s="2122"/>
      <c r="C32" s="2123" t="str">
        <f>IF(B32="现房","成新及维护状况是否正常",IF(B32="在建","工程状态是否正常",IF(B32="土地","是否闲置","-")))</f>
        <v>-</v>
      </c>
      <c r="D32" s="2124"/>
      <c r="E32" s="2125"/>
      <c r="F32" s="2042"/>
      <c r="G32" s="2042"/>
      <c r="H32" s="2042"/>
      <c r="I32" s="2042"/>
      <c r="J32" s="2042"/>
      <c r="K32" s="2052"/>
      <c r="L32" s="2028"/>
      <c r="M32" s="2028"/>
      <c r="N32" s="2029"/>
      <c r="O32" s="2030"/>
      <c r="P32" s="2029"/>
      <c r="Q32" s="2029"/>
      <c r="R32" s="2029"/>
      <c r="S32" s="2029"/>
      <c r="T32" s="2029"/>
      <c r="U32" s="2029"/>
      <c r="V32" s="2029"/>
    </row>
    <row r="33" spans="1:22" ht="18" customHeight="1">
      <c r="A33" s="3043"/>
      <c r="B33" s="2126"/>
      <c r="C33" s="2066" t="str">
        <f>IF(B33="现房","成新及维护状况是否正常",IF(B33="在建","工程状态是否正常",IF(B33="土地","是否闲置","-")))</f>
        <v>-</v>
      </c>
      <c r="D33" s="2127"/>
      <c r="E33" s="2128"/>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1835</v>
      </c>
      <c r="B34" s="2129" t="s">
        <v>3120</v>
      </c>
      <c r="C34" s="2129" t="s">
        <v>3121</v>
      </c>
      <c r="D34" s="2129" t="s">
        <v>3122</v>
      </c>
      <c r="E34" s="2129" t="s">
        <v>3123</v>
      </c>
      <c r="F34" s="2129" t="s">
        <v>3124</v>
      </c>
      <c r="G34" s="2129" t="s">
        <v>3125</v>
      </c>
      <c r="H34" s="2129" t="s">
        <v>70</v>
      </c>
      <c r="I34" s="2042"/>
      <c r="J34" s="2042"/>
      <c r="K34" s="1795">
        <f>COUNTIF(B34:H34,"——")</f>
        <v>1</v>
      </c>
      <c r="L34" s="2070" t="s">
        <v>1836</v>
      </c>
      <c r="M34" s="2070" t="s">
        <v>1837</v>
      </c>
      <c r="N34" s="2070" t="s">
        <v>1838</v>
      </c>
      <c r="O34" s="2070" t="s">
        <v>1839</v>
      </c>
      <c r="P34" s="2070" t="s">
        <v>1840</v>
      </c>
      <c r="Q34" s="2070" t="s">
        <v>1841</v>
      </c>
      <c r="R34" s="2070" t="s">
        <v>1842</v>
      </c>
      <c r="S34" s="3037" t="s">
        <v>1843</v>
      </c>
      <c r="T34" s="2130" t="str">
        <f>NUMBERSTRING(7-K34,1)&amp;"通"</f>
        <v>六通</v>
      </c>
      <c r="U34" s="2029"/>
      <c r="V34" s="2029"/>
    </row>
    <row r="35" spans="1:22" ht="18" customHeight="1">
      <c r="A35" s="2131"/>
      <c r="B35" s="3044" t="s">
        <v>1844</v>
      </c>
      <c r="C35" s="3044"/>
      <c r="D35" s="3044"/>
      <c r="E35" s="3044"/>
      <c r="F35" s="2132" t="str">
        <f>C10</f>
        <v>湖北省武汉市</v>
      </c>
      <c r="G35" s="2042"/>
      <c r="H35" s="2042"/>
      <c r="I35" s="2042"/>
      <c r="J35" s="2042"/>
      <c r="K35" s="2070"/>
      <c r="L35" s="2070"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037"/>
      <c r="T35" s="47" t="str">
        <f>IF(T34="一通",L35,IF(T34="二通",M35,IF(T34="三通",N35,IF(T34="四通",O35,IF(T34="五通",P35,IF(T34="六通",Q35,R35))))))</f>
        <v>通路、通电、通讯、通上水、通下水、燃气</v>
      </c>
      <c r="U35" s="2029"/>
      <c r="V35" s="2029"/>
    </row>
    <row r="36" spans="1:22" ht="18" customHeight="1">
      <c r="A36" s="2133"/>
      <c r="B36" s="2132" t="s">
        <v>1845</v>
      </c>
      <c r="C36" s="2132" t="s">
        <v>1846</v>
      </c>
      <c r="D36" s="2132" t="s">
        <v>1847</v>
      </c>
      <c r="E36" s="2132" t="s">
        <v>1848</v>
      </c>
      <c r="F36" s="2134"/>
      <c r="G36" s="2042"/>
      <c r="H36" s="2042"/>
      <c r="I36" s="2042"/>
      <c r="J36" s="2042"/>
      <c r="K36" s="2052"/>
      <c r="L36" s="2028"/>
      <c r="M36" s="2028"/>
      <c r="N36" s="2029"/>
      <c r="O36" s="2030"/>
      <c r="P36" s="2029"/>
      <c r="Q36" s="2029"/>
      <c r="R36" s="2029"/>
      <c r="S36" s="2029"/>
      <c r="T36" s="2029"/>
      <c r="U36" s="2029"/>
      <c r="V36" s="2029"/>
    </row>
    <row r="37" spans="1:22" ht="18" customHeight="1">
      <c r="A37" s="2135" t="s">
        <v>1849</v>
      </c>
      <c r="B37" s="2136"/>
      <c r="C37" s="2136"/>
      <c r="D37" s="2136"/>
      <c r="E37" s="2136"/>
      <c r="F37" s="2134"/>
      <c r="G37" s="2042"/>
      <c r="H37" s="2042"/>
      <c r="I37" s="2042"/>
      <c r="J37" s="2042"/>
      <c r="K37" s="2052"/>
      <c r="L37" s="2028"/>
      <c r="M37" s="2028"/>
      <c r="N37" s="2029"/>
      <c r="O37" s="2030"/>
      <c r="P37" s="2029"/>
      <c r="Q37" s="2029"/>
      <c r="R37" s="2029"/>
      <c r="S37" s="2029"/>
      <c r="T37" s="2029"/>
      <c r="U37" s="2029"/>
      <c r="V37" s="2029"/>
    </row>
    <row r="38" spans="1:22" ht="18" customHeight="1" thickBot="1">
      <c r="A38" s="2137" t="s">
        <v>1850</v>
      </c>
      <c r="B38" s="2138"/>
      <c r="C38" s="2138"/>
      <c r="D38" s="2138"/>
      <c r="E38" s="2138"/>
      <c r="F38" s="2139"/>
      <c r="G38" s="2060"/>
      <c r="H38" s="2060"/>
      <c r="I38" s="2060"/>
      <c r="J38" s="2042"/>
      <c r="K38" s="2052"/>
      <c r="L38" s="2028"/>
      <c r="M38" s="2028"/>
      <c r="N38" s="2029"/>
      <c r="O38" s="2030"/>
      <c r="P38" s="2029"/>
      <c r="Q38" s="2029"/>
      <c r="R38" s="2029"/>
      <c r="S38" s="2029"/>
      <c r="T38" s="2029"/>
      <c r="U38" s="2029"/>
      <c r="V38" s="2029"/>
    </row>
    <row r="39" spans="1:22" s="2144" customFormat="1" ht="18" customHeight="1" thickTop="1" thickBot="1">
      <c r="A39" s="2140" t="s">
        <v>1851</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0"/>
      <c r="K40" s="665"/>
      <c r="L40" s="2079"/>
      <c r="M40" s="2079"/>
      <c r="N40" s="2080"/>
      <c r="O40" s="2079"/>
      <c r="P40" s="2029"/>
      <c r="Q40" s="2029"/>
      <c r="R40" s="2029"/>
      <c r="S40" s="2029"/>
      <c r="T40" s="2029"/>
      <c r="U40" s="2029"/>
      <c r="V40" s="2029"/>
    </row>
    <row r="41" spans="1:22" ht="18" customHeight="1">
      <c r="A41" s="8" t="s">
        <v>1852</v>
      </c>
      <c r="B41" s="2146"/>
      <c r="C41" s="2147"/>
      <c r="D41" s="2029"/>
      <c r="E41" s="2029"/>
      <c r="F41" s="2029"/>
      <c r="G41" s="2029"/>
      <c r="H41" s="2029"/>
      <c r="I41" s="2030"/>
      <c r="J41" s="2029"/>
      <c r="K41" s="2119"/>
      <c r="L41" s="2028"/>
      <c r="M41" s="2028"/>
      <c r="N41" s="2029"/>
      <c r="O41" s="2030"/>
      <c r="P41" s="2029"/>
      <c r="Q41" s="2029"/>
      <c r="R41" s="2029"/>
      <c r="S41" s="2029"/>
      <c r="T41" s="2029"/>
      <c r="U41" s="2029"/>
      <c r="V41" s="2029"/>
    </row>
    <row r="42" spans="1:22" ht="18" customHeight="1">
      <c r="A42" s="2070" t="s">
        <v>1853</v>
      </c>
      <c r="B42" s="1795" t="s">
        <v>1854</v>
      </c>
      <c r="C42" s="1795" t="s">
        <v>1855</v>
      </c>
      <c r="D42" s="1795" t="s">
        <v>1856</v>
      </c>
      <c r="E42" s="1795" t="s">
        <v>1857</v>
      </c>
      <c r="F42" s="1795" t="s">
        <v>1858</v>
      </c>
      <c r="G42" s="1795" t="s">
        <v>1859</v>
      </c>
      <c r="H42" s="1795" t="s">
        <v>1860</v>
      </c>
      <c r="I42" s="1795" t="s">
        <v>1861</v>
      </c>
      <c r="J42" s="2148" t="s">
        <v>1862</v>
      </c>
      <c r="K42" s="2071" t="s">
        <v>1863</v>
      </c>
      <c r="L42" s="2071" t="s">
        <v>1864</v>
      </c>
      <c r="M42" s="2071" t="s">
        <v>1865</v>
      </c>
      <c r="N42" s="1795" t="s">
        <v>1866</v>
      </c>
      <c r="O42" s="1795" t="s">
        <v>1867</v>
      </c>
      <c r="P42" s="1795" t="s">
        <v>1868</v>
      </c>
      <c r="Q42" s="2070" t="s">
        <v>1869</v>
      </c>
      <c r="R42" s="2070" t="s">
        <v>1870</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2" width="9.5" style="2155" customWidth="1"/>
    <col min="13"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1873</v>
      </c>
      <c r="B2" s="11" t="s">
        <v>1874</v>
      </c>
      <c r="C2" s="11" t="s">
        <v>1875</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1876</v>
      </c>
      <c r="AZ2" s="1270" t="s">
        <v>1877</v>
      </c>
      <c r="BA2" s="11" t="s">
        <v>1878</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3298">
        <v>1950.57</v>
      </c>
      <c r="B3" s="13">
        <f>IF(C3="否",G5-AT5,G5)</f>
        <v>36217.18</v>
      </c>
      <c r="C3" s="2164" t="s">
        <v>1879</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4" t="s">
        <v>1880</v>
      </c>
      <c r="B5" s="1803"/>
      <c r="C5" s="1803"/>
      <c r="D5" s="1806"/>
      <c r="E5" s="15" t="s">
        <v>1</v>
      </c>
      <c r="F5" s="15">
        <f>SUM(F13:F587)</f>
        <v>0</v>
      </c>
      <c r="G5" s="15">
        <f>SUM(G13:G587)</f>
        <v>36217.18</v>
      </c>
      <c r="H5" s="15">
        <f t="shared" ref="H5:AT5" si="0">SUM(H13:H656)</f>
        <v>36079.160000000003</v>
      </c>
      <c r="I5" s="15">
        <f t="shared" si="0"/>
        <v>31472.47</v>
      </c>
      <c r="J5" s="15">
        <f t="shared" si="0"/>
        <v>0</v>
      </c>
      <c r="K5" s="15">
        <f t="shared" si="0"/>
        <v>4606.6899999999996</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138.01999999999998</v>
      </c>
      <c r="AD5" s="15">
        <f t="shared" si="0"/>
        <v>0</v>
      </c>
      <c r="AE5" s="15">
        <f t="shared" si="0"/>
        <v>0</v>
      </c>
      <c r="AF5" s="15">
        <f t="shared" si="0"/>
        <v>0</v>
      </c>
      <c r="AG5" s="15">
        <f t="shared" si="0"/>
        <v>0</v>
      </c>
      <c r="AH5" s="15">
        <f t="shared" si="0"/>
        <v>0</v>
      </c>
      <c r="AI5" s="15">
        <f t="shared" si="0"/>
        <v>0</v>
      </c>
      <c r="AJ5" s="15">
        <f t="shared" si="0"/>
        <v>0</v>
      </c>
      <c r="AK5" s="15">
        <f t="shared" si="0"/>
        <v>0</v>
      </c>
      <c r="AL5" s="15">
        <f t="shared" si="0"/>
        <v>138.01999999999998</v>
      </c>
      <c r="AM5" s="15">
        <f t="shared" si="0"/>
        <v>0</v>
      </c>
      <c r="AN5" s="15">
        <f t="shared" si="0"/>
        <v>0</v>
      </c>
      <c r="AO5" s="15">
        <f t="shared" si="0"/>
        <v>0</v>
      </c>
      <c r="AP5" s="15">
        <f t="shared" si="0"/>
        <v>0</v>
      </c>
      <c r="AQ5" s="15">
        <f t="shared" si="0"/>
        <v>0</v>
      </c>
      <c r="AR5" s="15">
        <f t="shared" si="0"/>
        <v>0</v>
      </c>
      <c r="AS5" s="15">
        <f t="shared" si="0"/>
        <v>0</v>
      </c>
      <c r="AT5" s="15">
        <f t="shared" si="0"/>
        <v>0</v>
      </c>
      <c r="AU5" s="1802"/>
      <c r="AV5" s="14" t="s">
        <v>1880</v>
      </c>
      <c r="AW5" s="1803"/>
      <c r="AX5" s="1803"/>
      <c r="AY5" s="16" t="s">
        <v>3</v>
      </c>
      <c r="AZ5" s="17">
        <f t="shared" ref="AZ5:BT5" si="1">SUM(AZ13:AZ656)</f>
        <v>1368.3300000000163</v>
      </c>
      <c r="BA5" s="17">
        <f t="shared" si="1"/>
        <v>1368.3300000000163</v>
      </c>
      <c r="BB5" s="17">
        <f t="shared" si="1"/>
        <v>1368.3300000000163</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3" customFormat="1" ht="12.75">
      <c r="A6" s="14" t="s">
        <v>1881</v>
      </c>
      <c r="B6" s="2170"/>
      <c r="C6" s="2170"/>
      <c r="D6" s="2171"/>
      <c r="E6" s="15">
        <f>H6+AC6+AT6</f>
        <v>1950.57</v>
      </c>
      <c r="F6" s="15" t="s">
        <v>1</v>
      </c>
      <c r="G6" s="15" t="s">
        <v>2</v>
      </c>
      <c r="H6" s="19">
        <f>SUMIF(I$12:AB$12,"总值",I6:AB6)</f>
        <v>1943.1399999999999</v>
      </c>
      <c r="I6" s="15">
        <f t="shared" ref="I6:AB6" si="2">ROUND($A$3*I5/$B$3,2)</f>
        <v>1695.03</v>
      </c>
      <c r="J6" s="15">
        <f t="shared" si="2"/>
        <v>0</v>
      </c>
      <c r="K6" s="15">
        <f t="shared" si="2"/>
        <v>248.11</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7.43</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7.43</v>
      </c>
      <c r="AM6" s="15">
        <f t="shared" si="3"/>
        <v>0</v>
      </c>
      <c r="AN6" s="15">
        <f t="shared" si="3"/>
        <v>0</v>
      </c>
      <c r="AO6" s="15">
        <f t="shared" si="3"/>
        <v>0</v>
      </c>
      <c r="AP6" s="15">
        <f t="shared" si="3"/>
        <v>0</v>
      </c>
      <c r="AQ6" s="15">
        <f t="shared" si="3"/>
        <v>0</v>
      </c>
      <c r="AR6" s="15">
        <f t="shared" si="3"/>
        <v>0</v>
      </c>
      <c r="AS6" s="15">
        <f t="shared" si="3"/>
        <v>0</v>
      </c>
      <c r="AT6" s="19">
        <f>IF(C3="是",ROUND($A$3*AT5/$B$3,2),0)</f>
        <v>0</v>
      </c>
      <c r="AU6" s="2172"/>
      <c r="AV6" s="14" t="s">
        <v>1881</v>
      </c>
      <c r="AW6" s="2170"/>
      <c r="AX6" s="2170"/>
      <c r="AY6" s="20">
        <f>IF(AY3&gt;0,AY3,ROUND($A$3*AZ5/$B$3,2))</f>
        <v>73.69</v>
      </c>
      <c r="AZ6" s="15" t="s">
        <v>3</v>
      </c>
      <c r="BA6" s="15">
        <f>ROUND($AY$6*BA5/$AZ$5,2)</f>
        <v>73.69</v>
      </c>
      <c r="BB6" s="15">
        <f>ROUND($AY$6*BB5/$AZ$5,2)</f>
        <v>73.69</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3" customFormat="1" ht="24.75">
      <c r="A7" s="2105" t="s">
        <v>1882</v>
      </c>
      <c r="B7" s="2105" t="s">
        <v>1883</v>
      </c>
      <c r="C7" s="2105" t="s">
        <v>1884</v>
      </c>
      <c r="D7" s="2105" t="s">
        <v>1885</v>
      </c>
      <c r="E7" s="2105" t="s">
        <v>1886</v>
      </c>
      <c r="F7" s="2105" t="s">
        <v>1887</v>
      </c>
      <c r="G7" s="2174" t="s">
        <v>1888</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1889</v>
      </c>
      <c r="AV7" s="22" t="s">
        <v>1890</v>
      </c>
      <c r="AW7" s="2162" t="s">
        <v>1891</v>
      </c>
      <c r="AX7" s="22" t="s">
        <v>1884</v>
      </c>
      <c r="AY7" s="1803" t="s">
        <v>1892</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1893</v>
      </c>
      <c r="H8" s="2180" t="s">
        <v>1894</v>
      </c>
      <c r="I8" s="2181"/>
      <c r="J8" s="1818"/>
      <c r="K8" s="1818"/>
      <c r="L8" s="1818"/>
      <c r="M8" s="1818"/>
      <c r="N8" s="1818"/>
      <c r="O8" s="1818"/>
      <c r="P8" s="1818"/>
      <c r="Q8" s="1818"/>
      <c r="R8" s="1818"/>
      <c r="S8" s="1818"/>
      <c r="T8" s="1818"/>
      <c r="U8" s="1818"/>
      <c r="V8" s="2182"/>
      <c r="W8" s="1818"/>
      <c r="X8" s="1818"/>
      <c r="Y8" s="1818"/>
      <c r="Z8" s="1818"/>
      <c r="AA8" s="2182"/>
      <c r="AB8" s="2183"/>
      <c r="AC8" s="982" t="s">
        <v>1895</v>
      </c>
      <c r="AD8" s="2184"/>
      <c r="AE8" s="2176"/>
      <c r="AF8" s="1818"/>
      <c r="AG8" s="1818"/>
      <c r="AH8" s="1818"/>
      <c r="AI8" s="1818"/>
      <c r="AJ8" s="1818"/>
      <c r="AK8" s="1818"/>
      <c r="AL8" s="1818"/>
      <c r="AM8" s="1818"/>
      <c r="AN8" s="1818"/>
      <c r="AO8" s="1818"/>
      <c r="AP8" s="1818"/>
      <c r="AQ8" s="1818"/>
      <c r="AR8" s="1818"/>
      <c r="AS8" s="1818"/>
      <c r="AT8" s="1292" t="s">
        <v>1896</v>
      </c>
      <c r="AU8" s="2178" t="s">
        <v>1897</v>
      </c>
      <c r="AV8" s="1292"/>
      <c r="AW8" s="2161"/>
      <c r="AX8" s="1292"/>
      <c r="AY8" s="2162"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5" customFormat="1" ht="12.75">
      <c r="A9" s="2178"/>
      <c r="B9" s="2178"/>
      <c r="C9" s="2178"/>
      <c r="D9" s="2178"/>
      <c r="E9" s="2178"/>
      <c r="F9" s="2178"/>
      <c r="G9" s="1292"/>
      <c r="H9" s="2186" t="s">
        <v>1900</v>
      </c>
      <c r="I9" s="2187" t="s">
        <v>3058</v>
      </c>
      <c r="J9" s="982"/>
      <c r="K9" s="2187" t="s">
        <v>3058</v>
      </c>
      <c r="L9" s="982"/>
      <c r="M9" s="2187"/>
      <c r="N9" s="982"/>
      <c r="O9" s="2187"/>
      <c r="P9" s="982"/>
      <c r="Q9" s="2187"/>
      <c r="R9" s="982"/>
      <c r="S9" s="2187"/>
      <c r="T9" s="982"/>
      <c r="U9" s="2187"/>
      <c r="V9" s="982"/>
      <c r="W9" s="2187"/>
      <c r="X9" s="2188"/>
      <c r="Y9" s="2187"/>
      <c r="Z9" s="982"/>
      <c r="AA9" s="2187"/>
      <c r="AB9" s="982"/>
      <c r="AC9" s="2179" t="s">
        <v>1900</v>
      </c>
      <c r="AD9" s="14" t="s">
        <v>1901</v>
      </c>
      <c r="AE9" s="1298"/>
      <c r="AF9" s="14" t="s">
        <v>1902</v>
      </c>
      <c r="AG9" s="1298"/>
      <c r="AH9" s="14" t="s">
        <v>1901</v>
      </c>
      <c r="AI9" s="1298"/>
      <c r="AJ9" s="14" t="s">
        <v>1902</v>
      </c>
      <c r="AK9" s="1298"/>
      <c r="AL9" s="14" t="s">
        <v>1901</v>
      </c>
      <c r="AM9" s="1298"/>
      <c r="AN9" s="14" t="s">
        <v>1902</v>
      </c>
      <c r="AO9" s="1298"/>
      <c r="AP9" s="14" t="s">
        <v>1901</v>
      </c>
      <c r="AQ9" s="1298"/>
      <c r="AR9" s="14" t="s">
        <v>1902</v>
      </c>
      <c r="AS9" s="2189"/>
      <c r="AT9" s="2178"/>
      <c r="AU9" s="2178" t="s">
        <v>1903</v>
      </c>
      <c r="AV9" s="1292"/>
      <c r="AW9" s="2161"/>
      <c r="AX9" s="1292"/>
      <c r="AY9" s="27"/>
      <c r="AZ9" s="27" t="s">
        <v>1893</v>
      </c>
      <c r="BA9" s="2190" t="s">
        <v>1904</v>
      </c>
      <c r="BB9" s="2191"/>
      <c r="BC9" s="1338"/>
      <c r="BD9" s="1338"/>
      <c r="BE9" s="1338"/>
      <c r="BF9" s="1338"/>
      <c r="BG9" s="1338"/>
      <c r="BH9" s="1338"/>
      <c r="BI9" s="1338"/>
      <c r="BJ9" s="1338"/>
      <c r="BK9" s="2192"/>
      <c r="BL9" s="14" t="s">
        <v>1905</v>
      </c>
      <c r="BM9" s="1818"/>
      <c r="BN9" s="2181"/>
      <c r="BO9" s="1818"/>
      <c r="BP9" s="1818"/>
      <c r="BQ9" s="1818"/>
      <c r="BR9" s="1818"/>
      <c r="BS9" s="1818"/>
      <c r="BT9" s="25"/>
    </row>
    <row r="10" spans="1:72" s="2185" customFormat="1" ht="12.75">
      <c r="A10" s="2178"/>
      <c r="B10" s="2178"/>
      <c r="C10" s="2178"/>
      <c r="D10" s="2178"/>
      <c r="E10" s="2178"/>
      <c r="F10" s="2178"/>
      <c r="G10" s="1292"/>
      <c r="H10" s="27"/>
      <c r="I10" s="2187" t="s">
        <v>1377</v>
      </c>
      <c r="J10" s="982"/>
      <c r="K10" s="2193" t="s">
        <v>1377</v>
      </c>
      <c r="L10" s="982"/>
      <c r="M10" s="2193"/>
      <c r="N10" s="982"/>
      <c r="O10" s="2193"/>
      <c r="P10" s="982"/>
      <c r="Q10" s="2193"/>
      <c r="R10" s="982"/>
      <c r="S10" s="2193"/>
      <c r="T10" s="982"/>
      <c r="U10" s="2193"/>
      <c r="V10" s="982"/>
      <c r="W10" s="2193"/>
      <c r="X10" s="982"/>
      <c r="Y10" s="2193"/>
      <c r="Z10" s="982"/>
      <c r="AA10" s="2193"/>
      <c r="AB10" s="982"/>
      <c r="AC10" s="1292"/>
      <c r="AD10" s="14" t="s">
        <v>1906</v>
      </c>
      <c r="AE10" s="2194"/>
      <c r="AF10" s="14" t="s">
        <v>1906</v>
      </c>
      <c r="AG10" s="2194"/>
      <c r="AH10" s="14" t="s">
        <v>1907</v>
      </c>
      <c r="AI10" s="2194"/>
      <c r="AJ10" s="14" t="s">
        <v>1907</v>
      </c>
      <c r="AK10" s="2194"/>
      <c r="AL10" s="14" t="s">
        <v>1908</v>
      </c>
      <c r="AM10" s="1298"/>
      <c r="AN10" s="14" t="s">
        <v>1908</v>
      </c>
      <c r="AO10" s="1298"/>
      <c r="AP10" s="14" t="s">
        <v>1909</v>
      </c>
      <c r="AQ10" s="1298"/>
      <c r="AR10" s="14" t="s">
        <v>1909</v>
      </c>
      <c r="AS10" s="1298"/>
      <c r="AT10" s="2178"/>
      <c r="AU10" s="2178"/>
      <c r="AV10" s="1292"/>
      <c r="AW10" s="2161"/>
      <c r="AX10" s="1292"/>
      <c r="AY10" s="27"/>
      <c r="AZ10" s="27"/>
      <c r="BA10" s="2195" t="s">
        <v>1900</v>
      </c>
      <c r="BB10" s="2196" t="str">
        <f>I9</f>
        <v>地上</v>
      </c>
      <c r="BC10" s="28" t="str">
        <f>K9</f>
        <v>地上</v>
      </c>
      <c r="BD10" s="28">
        <f>M9</f>
        <v>0</v>
      </c>
      <c r="BE10" s="28">
        <f>O9</f>
        <v>0</v>
      </c>
      <c r="BF10" s="28">
        <f>Q9</f>
        <v>0</v>
      </c>
      <c r="BG10" s="28">
        <f>S9</f>
        <v>0</v>
      </c>
      <c r="BH10" s="28">
        <f>U9</f>
        <v>0</v>
      </c>
      <c r="BI10" s="28">
        <f>W9</f>
        <v>0</v>
      </c>
      <c r="BJ10" s="28">
        <f>Y9</f>
        <v>0</v>
      </c>
      <c r="BK10" s="28">
        <f>AA9</f>
        <v>0</v>
      </c>
      <c r="BL10" s="24" t="s">
        <v>1900</v>
      </c>
      <c r="BM10" s="1817" t="str">
        <f>AD9</f>
        <v>地上</v>
      </c>
      <c r="BN10" s="28" t="str">
        <f>AF9</f>
        <v>地下</v>
      </c>
      <c r="BO10" s="1817" t="str">
        <f>AH9</f>
        <v>地上</v>
      </c>
      <c r="BP10" s="28" t="str">
        <f>AJ9</f>
        <v>地下</v>
      </c>
      <c r="BQ10" s="1817" t="str">
        <f>AL9</f>
        <v>地上</v>
      </c>
      <c r="BR10" s="28" t="str">
        <f>AN9</f>
        <v>地下</v>
      </c>
      <c r="BS10" s="1817" t="str">
        <f>AP9</f>
        <v>地上</v>
      </c>
      <c r="BT10" s="2197" t="str">
        <f>AR9</f>
        <v>地下</v>
      </c>
    </row>
    <row r="11" spans="1:72" s="2185" customFormat="1" ht="12.75">
      <c r="A11" s="2178"/>
      <c r="B11" s="2178"/>
      <c r="C11" s="2178"/>
      <c r="D11" s="2178"/>
      <c r="E11" s="2178"/>
      <c r="F11" s="2178"/>
      <c r="G11" s="1292"/>
      <c r="H11" s="2195"/>
      <c r="I11" s="2198" t="s">
        <v>3059</v>
      </c>
      <c r="J11" s="2199"/>
      <c r="K11" s="2198" t="s">
        <v>3060</v>
      </c>
      <c r="L11" s="2199"/>
      <c r="M11" s="2198"/>
      <c r="N11" s="2199"/>
      <c r="O11" s="2198"/>
      <c r="P11" s="2199"/>
      <c r="Q11" s="2198"/>
      <c r="R11" s="2199"/>
      <c r="S11" s="2198"/>
      <c r="T11" s="2199"/>
      <c r="U11" s="2198"/>
      <c r="V11" s="2199"/>
      <c r="W11" s="2198"/>
      <c r="X11" s="2199"/>
      <c r="Y11" s="2198"/>
      <c r="Z11" s="2199"/>
      <c r="AA11" s="2198"/>
      <c r="AB11" s="2199"/>
      <c r="AC11" s="1292"/>
      <c r="AD11" s="2200" t="s">
        <v>1910</v>
      </c>
      <c r="AE11" s="1819"/>
      <c r="AF11" s="2200" t="s">
        <v>1910</v>
      </c>
      <c r="AG11" s="1819"/>
      <c r="AH11" s="2200" t="s">
        <v>1911</v>
      </c>
      <c r="AI11" s="2201"/>
      <c r="AJ11" s="2200" t="s">
        <v>1911</v>
      </c>
      <c r="AK11" s="1819"/>
      <c r="AL11" s="1817"/>
      <c r="AM11" s="1819"/>
      <c r="AN11" s="1817"/>
      <c r="AO11" s="1819"/>
      <c r="AP11" s="1817"/>
      <c r="AQ11" s="1819"/>
      <c r="AR11" s="1817"/>
      <c r="AS11" s="1819"/>
      <c r="AT11" s="2161"/>
      <c r="AU11" s="2178"/>
      <c r="AV11" s="1292"/>
      <c r="AW11" s="2161"/>
      <c r="AX11" s="1292"/>
      <c r="AY11" s="27"/>
      <c r="AZ11" s="27"/>
      <c r="BA11" s="27"/>
      <c r="BB11" s="2183" t="str">
        <f>I10</f>
        <v>商业</v>
      </c>
      <c r="BC11" s="2183" t="str">
        <f>K10</f>
        <v>商业</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2" t="str">
        <f>AR10</f>
        <v>未注明</v>
      </c>
    </row>
    <row r="12" spans="1:72" s="2163" customFormat="1" ht="12.75">
      <c r="A12" s="2203"/>
      <c r="B12" s="2203"/>
      <c r="C12" s="2203"/>
      <c r="D12" s="2203"/>
      <c r="E12" s="2203"/>
      <c r="F12" s="2203"/>
      <c r="G12" s="29"/>
      <c r="H12" s="2204"/>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05"/>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29" t="s">
        <v>1912</v>
      </c>
      <c r="AS12" s="2203" t="s">
        <v>1913</v>
      </c>
      <c r="AT12" s="2206"/>
      <c r="AU12" s="2203"/>
      <c r="AV12" s="30"/>
      <c r="AW12" s="2162"/>
      <c r="AX12" s="30"/>
      <c r="AY12" s="2207"/>
      <c r="AZ12" s="27"/>
      <c r="BA12" s="2195"/>
      <c r="BB12" s="23" t="str">
        <f>I11</f>
        <v>办公楼</v>
      </c>
      <c r="BC12" s="2208" t="str">
        <f>K11</f>
        <v>底商</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3" t="str">
        <f>AH11</f>
        <v>（住宅、计出让金）</v>
      </c>
      <c r="BP12" s="23" t="str">
        <f>AJ11</f>
        <v>（住宅、计出让金）</v>
      </c>
      <c r="BQ12" s="23">
        <f>AL11</f>
        <v>0</v>
      </c>
      <c r="BR12" s="23">
        <f>AN11</f>
        <v>0</v>
      </c>
      <c r="BS12" s="24">
        <f>AP11</f>
        <v>0</v>
      </c>
      <c r="BT12" s="2202">
        <f>AR11</f>
        <v>0</v>
      </c>
    </row>
    <row r="13" spans="1:72" s="2163" customFormat="1" ht="12.75">
      <c r="A13" s="1272"/>
      <c r="B13" s="1272"/>
      <c r="C13" s="2940" t="s">
        <v>3053</v>
      </c>
      <c r="D13" s="2209" t="s">
        <v>3061</v>
      </c>
      <c r="E13" s="15">
        <f>IF($C$3="是",ROUND($A$3*G13/$B$3,2),ROUND($A$3*(G13-AT13)/$B$3,2))</f>
        <v>73.69</v>
      </c>
      <c r="F13" s="31"/>
      <c r="G13" s="32">
        <f>H13+AC13+AT13</f>
        <v>1368.3300000000163</v>
      </c>
      <c r="H13" s="19">
        <f>SUMIF(I$12:AB$12,"总值",I13:AB13)</f>
        <v>1368.3300000000163</v>
      </c>
      <c r="I13" s="2210">
        <f>Sheet1!C5</f>
        <v>1368.3300000000163</v>
      </c>
      <c r="J13" s="2210"/>
      <c r="K13" s="2210"/>
      <c r="L13" s="2210"/>
      <c r="M13" s="2210"/>
      <c r="N13" s="2210"/>
      <c r="O13" s="2210"/>
      <c r="P13" s="2210"/>
      <c r="Q13" s="2210"/>
      <c r="R13" s="2210"/>
      <c r="S13" s="2210"/>
      <c r="T13" s="2210"/>
      <c r="U13" s="2210"/>
      <c r="V13" s="2210"/>
      <c r="W13" s="2210"/>
      <c r="X13" s="2210"/>
      <c r="Y13" s="2210"/>
      <c r="Z13" s="2210"/>
      <c r="AA13" s="2210"/>
      <c r="AB13" s="2210"/>
      <c r="AC13" s="15">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办公抵押</v>
      </c>
      <c r="AY13" s="1806">
        <f>ROUND($AY$6*AZ13/$AZ$5,2)</f>
        <v>73.69</v>
      </c>
      <c r="AZ13" s="15">
        <f>BA13+BL13</f>
        <v>1368.3300000000163</v>
      </c>
      <c r="BA13" s="15">
        <f>SUM(BB13:BK13)</f>
        <v>1368.3300000000163</v>
      </c>
      <c r="BB13" s="15">
        <f>IF($D13="是",I13-J13,0)</f>
        <v>1368.3300000000163</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3" customFormat="1" ht="12.75">
      <c r="A14" s="1272"/>
      <c r="B14" s="1272"/>
      <c r="C14" s="2941" t="s">
        <v>3054</v>
      </c>
      <c r="D14" s="2942" t="s">
        <v>3062</v>
      </c>
      <c r="E14" s="15">
        <f>IF($C$3="是",ROUND($A$3*G14/$B$3,2),ROUND($A$3*(G14-AT14)/$B$3,2))</f>
        <v>1621.34</v>
      </c>
      <c r="F14" s="31"/>
      <c r="G14" s="32">
        <f>H14+AC14+AT14</f>
        <v>30104.139999999985</v>
      </c>
      <c r="H14" s="19">
        <f>SUMIF(I$12:AB$12,"总值",I14:AB14)</f>
        <v>30104.139999999985</v>
      </c>
      <c r="I14" s="2210">
        <f>Sheet1!C6</f>
        <v>30104.139999999985</v>
      </c>
      <c r="J14" s="2210"/>
      <c r="K14" s="2210"/>
      <c r="L14" s="2210"/>
      <c r="M14" s="2210"/>
      <c r="N14" s="2210"/>
      <c r="O14" s="2210"/>
      <c r="P14" s="2210"/>
      <c r="Q14" s="2210"/>
      <c r="R14" s="2210"/>
      <c r="S14" s="2210"/>
      <c r="T14" s="2210"/>
      <c r="U14" s="2210"/>
      <c r="V14" s="2210"/>
      <c r="W14" s="2210"/>
      <c r="X14" s="2210"/>
      <c r="Y14" s="2210"/>
      <c r="Z14" s="2210"/>
      <c r="AA14" s="2210"/>
      <c r="AB14" s="2210"/>
      <c r="AC14" s="15">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办公不抵押</v>
      </c>
      <c r="AY14" s="180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3" customFormat="1" ht="12.75">
      <c r="A15" s="1272"/>
      <c r="B15" s="1272"/>
      <c r="C15" s="2941" t="s">
        <v>3055</v>
      </c>
      <c r="D15" s="2942" t="s">
        <v>3062</v>
      </c>
      <c r="E15" s="15">
        <f>IF($C$3="是",ROUND($A$3*G15/$B$3,2),ROUND($A$3*(G15-AT15)/$B$3,2))</f>
        <v>248.11</v>
      </c>
      <c r="F15" s="31"/>
      <c r="G15" s="32">
        <f>H15+AC15+AT15</f>
        <v>4606.6899999999996</v>
      </c>
      <c r="H15" s="19">
        <f>SUMIF(I$12:AB$12,"总值",I15:AB15)</f>
        <v>4606.6899999999996</v>
      </c>
      <c r="I15" s="2210"/>
      <c r="J15" s="2210"/>
      <c r="K15" s="2210">
        <v>4606.6899999999996</v>
      </c>
      <c r="L15" s="2210"/>
      <c r="M15" s="2210"/>
      <c r="N15" s="2210"/>
      <c r="O15" s="2210"/>
      <c r="P15" s="2210"/>
      <c r="Q15" s="2210"/>
      <c r="R15" s="2210"/>
      <c r="S15" s="2210"/>
      <c r="T15" s="2210"/>
      <c r="U15" s="2210"/>
      <c r="V15" s="2210"/>
      <c r="W15" s="2210"/>
      <c r="X15" s="2210"/>
      <c r="Y15" s="2210"/>
      <c r="Z15" s="2210"/>
      <c r="AA15" s="2210"/>
      <c r="AB15" s="2210"/>
      <c r="AC15" s="15">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t="str">
        <f t="shared" si="6"/>
        <v>商业</v>
      </c>
      <c r="AY15" s="180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3" customFormat="1" ht="12.75">
      <c r="A16" s="1272"/>
      <c r="B16" s="1272"/>
      <c r="C16" s="2941" t="s">
        <v>3056</v>
      </c>
      <c r="D16" s="2942" t="s">
        <v>3062</v>
      </c>
      <c r="E16" s="15">
        <f>IF($C$3="是",ROUND($A$3*G16/$B$3,2),ROUND($A$3*(G16-AT16)/$B$3,2))</f>
        <v>2.77</v>
      </c>
      <c r="F16" s="31"/>
      <c r="G16" s="32">
        <f>H16+AC16+AT16</f>
        <v>51.5</v>
      </c>
      <c r="H16" s="19">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5">
        <f>SUMIF(AD$12:AS$12,"总值",AD16:AS16)</f>
        <v>51.5</v>
      </c>
      <c r="AD16" s="2211"/>
      <c r="AE16" s="2211"/>
      <c r="AF16" s="2211"/>
      <c r="AG16" s="2211"/>
      <c r="AH16" s="2211"/>
      <c r="AI16" s="2211"/>
      <c r="AJ16" s="2211"/>
      <c r="AK16" s="2211"/>
      <c r="AL16" s="2211">
        <v>51.5</v>
      </c>
      <c r="AM16" s="2211"/>
      <c r="AN16" s="2211"/>
      <c r="AO16" s="2211"/>
      <c r="AP16" s="2211"/>
      <c r="AQ16" s="2211"/>
      <c r="AR16" s="2211"/>
      <c r="AS16" s="2211"/>
      <c r="AT16" s="2212"/>
      <c r="AU16" s="2213"/>
      <c r="AV16" s="11">
        <f t="shared" si="6"/>
        <v>0</v>
      </c>
      <c r="AW16" s="11">
        <f t="shared" si="6"/>
        <v>0</v>
      </c>
      <c r="AX16" s="11" t="str">
        <f t="shared" si="6"/>
        <v>物业</v>
      </c>
      <c r="AY16" s="180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3" customFormat="1" ht="12.75">
      <c r="A17" s="1272"/>
      <c r="B17" s="1272"/>
      <c r="C17" s="2941" t="s">
        <v>3057</v>
      </c>
      <c r="D17" s="2942" t="s">
        <v>3062</v>
      </c>
      <c r="E17" s="15">
        <f>IF($C$3="是",ROUND($A$3*G17/$B$3,2),ROUND($A$3*(G17-AT17)/$B$3,2))</f>
        <v>4.66</v>
      </c>
      <c r="F17" s="31"/>
      <c r="G17" s="32">
        <f>H17+AC17+AT17</f>
        <v>86.52</v>
      </c>
      <c r="H17" s="19">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5">
        <f>SUMIF(AD$12:AS$12,"总值",AD17:AS17)</f>
        <v>86.52</v>
      </c>
      <c r="AD17" s="2211"/>
      <c r="AE17" s="2211"/>
      <c r="AF17" s="2211"/>
      <c r="AG17" s="2211"/>
      <c r="AH17" s="2211"/>
      <c r="AI17" s="2211"/>
      <c r="AJ17" s="2211"/>
      <c r="AK17" s="2211"/>
      <c r="AL17" s="2211">
        <v>86.52</v>
      </c>
      <c r="AM17" s="2211"/>
      <c r="AN17" s="2211"/>
      <c r="AO17" s="2211"/>
      <c r="AP17" s="2211"/>
      <c r="AQ17" s="2211"/>
      <c r="AR17" s="2211"/>
      <c r="AS17" s="2211"/>
      <c r="AT17" s="2212"/>
      <c r="AU17" s="2213"/>
      <c r="AV17" s="11">
        <f t="shared" si="6"/>
        <v>0</v>
      </c>
      <c r="AW17" s="11">
        <f t="shared" si="6"/>
        <v>0</v>
      </c>
      <c r="AX17" s="11" t="str">
        <f t="shared" si="6"/>
        <v>消防</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5"/>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5"/>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5"/>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5"/>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5"/>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5"/>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5"/>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5"/>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5"/>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5"/>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5"/>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5"/>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5"/>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5"/>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5"/>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5"/>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5"/>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5"/>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5"/>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5"/>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5"/>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5"/>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5"/>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5"/>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5"/>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5"/>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5"/>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5"/>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5"/>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5"/>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5"/>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5"/>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5"/>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5"/>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5"/>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5"/>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5"/>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5"/>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5"/>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5"/>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5"/>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5"/>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5"/>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5"/>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5"/>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5"/>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5"/>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5"/>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5"/>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5"/>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5"/>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5"/>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5"/>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5"/>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5"/>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5"/>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5"/>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5"/>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5"/>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5"/>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5"/>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5"/>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5"/>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5"/>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5"/>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5"/>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5"/>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5"/>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5"/>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5"/>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5"/>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5"/>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5"/>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5"/>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5"/>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5"/>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5"/>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5"/>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5"/>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5"/>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5"/>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5"/>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5"/>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5"/>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5"/>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5"/>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5"/>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5"/>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5"/>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5"/>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5"/>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5"/>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0"/>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0"/>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0"/>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5"/>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5"/>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5"/>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5"/>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5"/>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5"/>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5"/>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5"/>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5"/>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5"/>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5"/>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5"/>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5"/>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5"/>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5"/>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5"/>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5"/>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5"/>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5"/>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5"/>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5"/>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5"/>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5"/>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5"/>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5"/>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5"/>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5"/>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5"/>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5"/>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5"/>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5"/>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5"/>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5"/>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5"/>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5"/>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5"/>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5"/>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5"/>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5"/>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5"/>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5"/>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5"/>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5"/>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5"/>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5"/>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5"/>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5"/>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5"/>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5"/>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5"/>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5"/>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5"/>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5"/>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5"/>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5"/>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5"/>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5"/>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5"/>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5"/>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5"/>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5"/>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5"/>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5"/>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5"/>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5"/>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5"/>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5"/>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5"/>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5"/>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5"/>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5"/>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5"/>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5"/>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5"/>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5"/>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5"/>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5"/>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5"/>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5"/>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5"/>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5"/>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5"/>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5"/>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5"/>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5"/>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5"/>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5"/>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5"/>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5"/>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5"/>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5"/>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5"/>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0"/>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0"/>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0"/>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5"/>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5"/>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5"/>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5"/>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5"/>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5"/>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5"/>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5"/>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5"/>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5"/>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5"/>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5"/>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5"/>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5"/>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5"/>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5"/>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5"/>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5"/>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5"/>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5"/>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5"/>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5"/>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5"/>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5"/>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5"/>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5"/>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5"/>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5"/>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5"/>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5"/>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5"/>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5"/>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5"/>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5"/>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5"/>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5"/>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5"/>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5"/>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5"/>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5"/>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5"/>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5"/>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5"/>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5"/>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5"/>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5"/>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5"/>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5"/>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5"/>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5"/>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5"/>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5"/>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5"/>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5"/>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5"/>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5"/>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5"/>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5"/>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5"/>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5"/>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5"/>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5"/>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5"/>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5"/>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5"/>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5"/>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5"/>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5"/>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5"/>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5"/>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5"/>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5"/>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5"/>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5"/>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5"/>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5"/>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5"/>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5"/>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5"/>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5"/>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5"/>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5"/>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5"/>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5"/>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5"/>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5"/>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5"/>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5"/>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5"/>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5"/>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5"/>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5"/>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0"/>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0"/>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0"/>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5"/>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5"/>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5"/>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5"/>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5"/>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5"/>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5"/>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5"/>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5"/>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5"/>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5"/>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5"/>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5"/>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5"/>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5"/>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5"/>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5"/>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5"/>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5"/>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5"/>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5"/>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5"/>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5"/>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5"/>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5"/>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5"/>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5"/>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5"/>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5"/>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5"/>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5"/>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5"/>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5"/>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5"/>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5"/>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5"/>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5"/>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5"/>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5"/>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5"/>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5"/>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5"/>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5"/>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5"/>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5"/>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5"/>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5"/>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5"/>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5"/>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5"/>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5"/>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5"/>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5"/>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5"/>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5"/>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5"/>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5"/>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5"/>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5"/>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5"/>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5"/>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5"/>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5"/>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5"/>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5"/>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5"/>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5"/>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5"/>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5"/>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5"/>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5"/>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5"/>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5"/>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5"/>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5"/>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5"/>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5"/>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5"/>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5"/>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5"/>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5"/>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5"/>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5"/>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5"/>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5"/>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5"/>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5"/>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5"/>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5"/>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5"/>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5"/>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5"/>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0"/>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0"/>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0"/>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5"/>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5"/>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5"/>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5"/>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5"/>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5"/>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5"/>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5"/>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5"/>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5"/>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5"/>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5"/>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5"/>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5"/>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5"/>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5"/>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5"/>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5"/>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5"/>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5"/>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5"/>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5"/>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5"/>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5"/>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5"/>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5"/>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5"/>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5"/>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5"/>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5"/>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5"/>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5"/>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5"/>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5"/>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5"/>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5"/>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5"/>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5"/>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5"/>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5"/>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5"/>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5"/>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5"/>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5"/>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5"/>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5"/>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5"/>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5"/>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5"/>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5"/>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5"/>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5"/>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5"/>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5"/>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5"/>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5"/>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5"/>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5"/>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5"/>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5"/>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5"/>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5"/>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5"/>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5"/>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5"/>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5"/>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5"/>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5"/>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5"/>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5"/>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5"/>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5"/>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5"/>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5"/>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5"/>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5"/>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5"/>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5"/>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5"/>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5"/>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5"/>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5"/>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5"/>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5"/>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5"/>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5"/>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5"/>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5"/>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5"/>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5"/>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5"/>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5"/>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0"/>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0"/>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0"/>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5"/>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5"/>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5"/>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5"/>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5"/>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5"/>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5"/>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5"/>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5"/>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5"/>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5"/>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5"/>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5"/>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5"/>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5"/>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5"/>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5"/>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5"/>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5"/>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5"/>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5"/>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5"/>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5"/>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5"/>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5"/>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5"/>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5"/>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5"/>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5"/>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5"/>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5"/>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5"/>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5"/>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5"/>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5"/>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5"/>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5"/>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5"/>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5"/>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5"/>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5"/>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5"/>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5"/>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5"/>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5"/>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5"/>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5"/>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5"/>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5"/>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5"/>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5"/>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5"/>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5"/>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5"/>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5"/>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5"/>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5"/>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5"/>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5"/>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5"/>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5"/>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5"/>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5"/>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5"/>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5"/>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5"/>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5"/>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5"/>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5"/>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5"/>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5"/>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5"/>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5"/>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5"/>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5"/>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5"/>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5"/>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5"/>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5"/>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5"/>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5"/>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5"/>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5"/>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5"/>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5"/>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5"/>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5"/>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5"/>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5"/>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5"/>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5"/>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5"/>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0"/>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0"/>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0"/>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1" sqref="K11"/>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1939</v>
      </c>
      <c r="B1" s="1392"/>
      <c r="C1" s="1392"/>
      <c r="D1" s="1392"/>
      <c r="E1" s="1392"/>
      <c r="F1" s="1392"/>
      <c r="G1" s="1392"/>
      <c r="H1" s="1392"/>
      <c r="I1" s="1392"/>
      <c r="J1" s="1392"/>
      <c r="K1" s="1392"/>
      <c r="L1" s="1392"/>
      <c r="M1" s="1392"/>
      <c r="N1" s="1392"/>
      <c r="O1" s="1392"/>
      <c r="P1" s="1392"/>
    </row>
    <row r="2" spans="1:16" ht="15">
      <c r="A2" s="3056" t="s">
        <v>1940</v>
      </c>
      <c r="B2" s="3056"/>
      <c r="C2" s="3056"/>
      <c r="D2" s="968" t="s">
        <v>1916</v>
      </c>
      <c r="E2" s="2223" t="s">
        <v>1917</v>
      </c>
      <c r="F2" s="1392"/>
      <c r="G2" s="2224"/>
      <c r="H2" s="2225"/>
      <c r="I2" s="2226" t="s">
        <v>1941</v>
      </c>
      <c r="J2" s="1392"/>
      <c r="K2" s="1392"/>
      <c r="L2" s="1392"/>
      <c r="M2" s="1392"/>
      <c r="N2" s="1427"/>
      <c r="O2" s="1392"/>
      <c r="P2" s="1392"/>
    </row>
    <row r="3" spans="1:16" ht="15.75" thickBot="1">
      <c r="A3" s="3057" t="s">
        <v>1914</v>
      </c>
      <c r="B3" s="3057"/>
      <c r="C3" s="3057"/>
      <c r="D3" s="45">
        <f>'数据-基础表'!AY6</f>
        <v>73.69</v>
      </c>
      <c r="E3" s="45">
        <f>'数据-基础表'!AZ5</f>
        <v>1368.3300000000163</v>
      </c>
      <c r="F3" s="1392"/>
      <c r="G3" s="1399"/>
      <c r="H3" s="1247" t="s">
        <v>1915</v>
      </c>
      <c r="I3" s="54">
        <f>ROUND('数据-基础表'!B3/'数据-基础表'!A3,2)</f>
        <v>18.57</v>
      </c>
      <c r="J3" s="1392"/>
      <c r="K3" s="1392"/>
      <c r="L3" s="1392"/>
      <c r="M3" s="1392"/>
      <c r="N3" s="1427"/>
      <c r="O3" s="1392"/>
      <c r="P3" s="1392"/>
    </row>
    <row r="4" spans="1:16" ht="15">
      <c r="A4" s="3058"/>
      <c r="B4" s="3059"/>
      <c r="C4" s="3060"/>
      <c r="D4" s="2227" t="s">
        <v>1916</v>
      </c>
      <c r="E4" s="2228" t="s">
        <v>1917</v>
      </c>
      <c r="F4" s="1392"/>
      <c r="G4" s="2229" t="s">
        <v>1942</v>
      </c>
      <c r="H4" s="1247" t="s">
        <v>1922</v>
      </c>
      <c r="I4" s="54">
        <f>ROUND(SUMIF('数据-基础表'!I9:AS9,"地上",'数据-基础表'!I5:AS5)/'数据-基础表'!A3,2)</f>
        <v>18.57</v>
      </c>
      <c r="J4" s="1392"/>
      <c r="K4" s="1392"/>
      <c r="L4" s="1392"/>
      <c r="M4" s="1392"/>
      <c r="N4" s="1427"/>
      <c r="O4" s="1392"/>
      <c r="P4" s="1392"/>
    </row>
    <row r="5" spans="1:16">
      <c r="A5" s="46" t="s">
        <v>1918</v>
      </c>
      <c r="B5" s="3061" t="s">
        <v>1919</v>
      </c>
      <c r="C5" s="3061"/>
      <c r="D5" s="47">
        <f>ROUND($D$3*E5/$E$3,2)</f>
        <v>0</v>
      </c>
      <c r="E5" s="48">
        <f>SUMIF('数据-基础表'!$11:$11,"住宅",'数据-基础表'!$5:$5)</f>
        <v>0</v>
      </c>
      <c r="F5" s="1392"/>
      <c r="G5" s="1399"/>
      <c r="H5" s="1247" t="s">
        <v>1915</v>
      </c>
      <c r="I5" s="54">
        <f>ROUND(E31/D31,2)</f>
        <v>18.57</v>
      </c>
      <c r="J5" s="1392"/>
      <c r="K5" s="1392"/>
      <c r="L5" s="1392"/>
      <c r="M5" s="1392"/>
      <c r="N5" s="1392"/>
      <c r="O5" s="1392"/>
      <c r="P5" s="1392"/>
    </row>
    <row r="6" spans="1:16" ht="15" thickBot="1">
      <c r="A6" s="2230"/>
      <c r="B6" s="3061" t="s">
        <v>1920</v>
      </c>
      <c r="C6" s="3061"/>
      <c r="D6" s="47">
        <f>ROUND($D$3*E6/$E$3,2)</f>
        <v>73.69</v>
      </c>
      <c r="E6" s="48">
        <f>E3-E5</f>
        <v>1368.3300000000163</v>
      </c>
      <c r="F6" s="1392"/>
      <c r="G6" s="2231" t="s">
        <v>1921</v>
      </c>
      <c r="H6" s="1399" t="s">
        <v>1922</v>
      </c>
      <c r="I6" s="940">
        <f>ROUND(F31/D31,2)</f>
        <v>18.57</v>
      </c>
      <c r="J6" s="1392"/>
      <c r="K6" s="1392"/>
      <c r="L6" s="1392"/>
      <c r="M6" s="1392"/>
      <c r="N6" s="1392"/>
      <c r="O6" s="1392"/>
      <c r="P6" s="1392"/>
    </row>
    <row r="7" spans="1:16" ht="15">
      <c r="A7" s="3053"/>
      <c r="B7" s="3054"/>
      <c r="C7" s="3055"/>
      <c r="D7" s="2227" t="s">
        <v>1916</v>
      </c>
      <c r="E7" s="2232" t="s">
        <v>1923</v>
      </c>
      <c r="F7" s="1392"/>
      <c r="G7" s="2224" t="s">
        <v>1924</v>
      </c>
      <c r="H7" s="63"/>
      <c r="I7" s="419"/>
      <c r="J7" s="1392"/>
      <c r="K7" s="1392"/>
      <c r="L7" s="1392"/>
      <c r="M7" s="1392"/>
      <c r="N7" s="1392"/>
      <c r="O7" s="1392"/>
      <c r="P7" s="1392"/>
    </row>
    <row r="8" spans="1:16">
      <c r="A8" s="46" t="s">
        <v>1925</v>
      </c>
      <c r="B8" s="49" t="s">
        <v>1926</v>
      </c>
      <c r="C8" s="47" t="s">
        <v>1927</v>
      </c>
      <c r="D8" s="47">
        <f t="shared" ref="D8:D15" si="0">ROUND($D$3*E8/$E$3,2)</f>
        <v>73.69</v>
      </c>
      <c r="E8" s="50">
        <f>SUMIF('数据-基础表'!BB10:BK10,"地上",'数据-基础表'!BB5:BK5)</f>
        <v>1368.3300000000163</v>
      </c>
      <c r="F8" s="1392"/>
      <c r="G8" s="2233"/>
      <c r="H8" s="2233"/>
      <c r="I8" s="1392"/>
      <c r="J8" s="1392"/>
      <c r="K8" s="1392"/>
      <c r="L8" s="1392"/>
      <c r="M8" s="1392"/>
      <c r="N8" s="1392"/>
      <c r="O8" s="1392"/>
      <c r="P8" s="1392"/>
    </row>
    <row r="9" spans="1:16">
      <c r="A9" s="2234"/>
      <c r="B9" s="2235"/>
      <c r="C9" s="47" t="s">
        <v>1928</v>
      </c>
      <c r="D9" s="47">
        <f t="shared" si="0"/>
        <v>0</v>
      </c>
      <c r="E9" s="51">
        <v>0</v>
      </c>
      <c r="F9" s="1392"/>
      <c r="G9" s="2233"/>
      <c r="H9" s="2233"/>
      <c r="I9" s="1392"/>
      <c r="J9" s="1392"/>
      <c r="K9" s="1392"/>
      <c r="L9" s="1392"/>
      <c r="M9" s="1392"/>
      <c r="N9" s="1392"/>
      <c r="O9" s="1392"/>
      <c r="P9" s="1392"/>
    </row>
    <row r="10" spans="1:16">
      <c r="A10" s="2234"/>
      <c r="B10" s="2235"/>
      <c r="C10" s="47" t="s">
        <v>1937</v>
      </c>
      <c r="D10" s="47">
        <f t="shared" si="0"/>
        <v>0</v>
      </c>
      <c r="E10" s="50">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7" t="s">
        <v>1929</v>
      </c>
      <c r="D11" s="47">
        <f t="shared" si="0"/>
        <v>0</v>
      </c>
      <c r="E11" s="50">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7" t="s">
        <v>1930</v>
      </c>
      <c r="D12" s="47">
        <f t="shared" si="0"/>
        <v>0</v>
      </c>
      <c r="E12" s="50">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7" t="s">
        <v>1931</v>
      </c>
      <c r="D13" s="47">
        <f t="shared" si="0"/>
        <v>0</v>
      </c>
      <c r="E13" s="50">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7" t="s">
        <v>1943</v>
      </c>
      <c r="D14" s="47">
        <f t="shared" si="0"/>
        <v>0</v>
      </c>
      <c r="E14" s="50">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7" t="s">
        <v>1938</v>
      </c>
      <c r="D15" s="47">
        <f t="shared" si="0"/>
        <v>0</v>
      </c>
      <c r="E15" s="50">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49" t="s">
        <v>1932</v>
      </c>
      <c r="D16" s="49">
        <f>SUM(D8:D15)</f>
        <v>73.69</v>
      </c>
      <c r="E16" s="52">
        <f>SUM(E8:E15)</f>
        <v>1368.3300000000163</v>
      </c>
      <c r="F16" s="1392"/>
      <c r="G16" s="2233"/>
      <c r="H16" s="2236" t="s">
        <v>1944</v>
      </c>
      <c r="I16" s="2237"/>
      <c r="J16" s="1392"/>
      <c r="K16" s="3050" t="s">
        <v>1944</v>
      </c>
      <c r="L16" s="3051"/>
      <c r="M16" s="3051"/>
      <c r="N16" s="3051"/>
      <c r="O16" s="3051"/>
      <c r="P16" s="3052"/>
    </row>
    <row r="17" spans="1:19" ht="15">
      <c r="A17" s="2238" t="s">
        <v>1945</v>
      </c>
      <c r="B17" s="2239" t="s">
        <v>1946</v>
      </c>
      <c r="C17" s="2240" t="s">
        <v>1947</v>
      </c>
      <c r="D17" s="2241" t="s">
        <v>1935</v>
      </c>
      <c r="E17" s="2242" t="s">
        <v>1936</v>
      </c>
      <c r="F17" s="2243"/>
      <c r="G17" s="2244"/>
      <c r="H17" s="2245" t="s">
        <v>1948</v>
      </c>
      <c r="I17" s="2246" t="s">
        <v>1933</v>
      </c>
      <c r="J17" s="1392"/>
      <c r="K17" s="3047" t="s">
        <v>1949</v>
      </c>
      <c r="L17" s="3048"/>
      <c r="M17" s="3049"/>
      <c r="N17" s="3047" t="s">
        <v>1950</v>
      </c>
      <c r="O17" s="3048"/>
      <c r="P17" s="3049"/>
      <c r="R17" s="2224" t="s">
        <v>1951</v>
      </c>
      <c r="S17" s="63"/>
    </row>
    <row r="18" spans="1:19" ht="15">
      <c r="A18" s="2234"/>
      <c r="B18" s="2247"/>
      <c r="C18" s="2248"/>
      <c r="D18" s="2249"/>
      <c r="E18" s="2250" t="s">
        <v>1952</v>
      </c>
      <c r="F18" s="2251" t="s">
        <v>1953</v>
      </c>
      <c r="G18" s="2252" t="s">
        <v>1954</v>
      </c>
      <c r="H18" s="1262" t="s">
        <v>1955</v>
      </c>
      <c r="I18" s="2253" t="s">
        <v>1956</v>
      </c>
      <c r="J18" s="1392"/>
      <c r="K18" s="1262" t="s">
        <v>1957</v>
      </c>
      <c r="L18" s="2254" t="s">
        <v>1958</v>
      </c>
      <c r="M18" s="1047" t="s">
        <v>1959</v>
      </c>
      <c r="N18" s="1262" t="s">
        <v>1957</v>
      </c>
      <c r="O18" s="2254" t="s">
        <v>1958</v>
      </c>
      <c r="P18" s="1047" t="s">
        <v>1959</v>
      </c>
      <c r="R18" s="1247" t="s">
        <v>1960</v>
      </c>
      <c r="S18" s="1247" t="s">
        <v>1961</v>
      </c>
    </row>
    <row r="19" spans="1:19">
      <c r="A19" s="2255"/>
      <c r="B19" s="49" t="s">
        <v>1934</v>
      </c>
      <c r="C19" s="2943" t="s">
        <v>3063</v>
      </c>
      <c r="D19" s="47">
        <f>ROUND($D$3*E19/$E$3,2)</f>
        <v>73.69</v>
      </c>
      <c r="E19" s="55">
        <f t="shared" ref="E19:E26" si="1">SUM(F19:G19)</f>
        <v>1368.3300000000163</v>
      </c>
      <c r="F19" s="56">
        <f>'数据-基础表'!I13</f>
        <v>1368.3300000000163</v>
      </c>
      <c r="G19" s="57"/>
      <c r="H19" s="721">
        <f>ROUND($D$3*I19/$E$3,2)</f>
        <v>0</v>
      </c>
      <c r="I19" s="50">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73.69</v>
      </c>
      <c r="S19" s="1248">
        <f t="shared" si="5"/>
        <v>1368.3300000000163</v>
      </c>
    </row>
    <row r="20" spans="1:19">
      <c r="A20" s="2259"/>
      <c r="B20" s="49" t="s">
        <v>1962</v>
      </c>
      <c r="C20" s="2256"/>
      <c r="D20" s="47">
        <f t="shared" ref="D20:D26" si="6">ROUND($D$3*E20/$E$3,2)</f>
        <v>0</v>
      </c>
      <c r="E20" s="55">
        <f t="shared" si="1"/>
        <v>0</v>
      </c>
      <c r="F20" s="56"/>
      <c r="G20" s="57"/>
      <c r="H20" s="721">
        <f t="shared" ref="H20:H26" si="7">ROUND($D$3*I20/$E$3,2)</f>
        <v>0</v>
      </c>
      <c r="I20" s="50">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49" t="s">
        <v>1962</v>
      </c>
      <c r="C21" s="2256"/>
      <c r="D21" s="47">
        <f t="shared" si="6"/>
        <v>0</v>
      </c>
      <c r="E21" s="55">
        <f t="shared" si="1"/>
        <v>0</v>
      </c>
      <c r="F21" s="56"/>
      <c r="G21" s="57"/>
      <c r="H21" s="721">
        <f t="shared" si="7"/>
        <v>0</v>
      </c>
      <c r="I21" s="50">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49" t="s">
        <v>1962</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49" t="s">
        <v>1962</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49" t="s">
        <v>1962</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49" t="s">
        <v>1962</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49" t="s">
        <v>1962</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0"/>
      <c r="O26" s="2261"/>
      <c r="P26" s="66">
        <f t="shared" si="9"/>
        <v>0</v>
      </c>
      <c r="R26" s="1247">
        <f t="shared" si="5"/>
        <v>0</v>
      </c>
      <c r="S26" s="1248">
        <f t="shared" si="5"/>
        <v>0</v>
      </c>
    </row>
    <row r="27" spans="1:19" ht="15.75" thickBot="1">
      <c r="A27" s="2259"/>
      <c r="B27" s="47"/>
      <c r="C27" s="2262" t="s">
        <v>1963</v>
      </c>
      <c r="D27" s="1393">
        <f>SUM(D19:D26)</f>
        <v>73.69</v>
      </c>
      <c r="E27" s="1394">
        <f>IF(SUM(E19:E26)='数据-基础表'!BA5,SUM(E19:E26),IF(F27="地上面积有误","面积有误","地下面积有误"))</f>
        <v>1368.3300000000163</v>
      </c>
      <c r="F27" s="1393">
        <f>IF(SUM(F19:F26)=E8,SUM(F19:F26),"地上面积有误")</f>
        <v>1368.3300000000163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73.69</v>
      </c>
      <c r="S27" s="1247">
        <f>IF(SUM(S19:S26)=$E$3,SUM(S19:S26),SUM(S19:S26)&amp;"误差"&amp;ROUND(SUM(S19:S26)-E3,2))</f>
        <v>1368.3300000000163</v>
      </c>
    </row>
    <row r="28" spans="1:19">
      <c r="A28" s="2259"/>
      <c r="B28" s="49" t="s">
        <v>1964</v>
      </c>
      <c r="C28" s="1259" t="s">
        <v>1965</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59"/>
      <c r="B29" s="49" t="s">
        <v>1964</v>
      </c>
      <c r="C29" s="2263" t="s">
        <v>1966</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59"/>
      <c r="B30" s="49"/>
      <c r="C30" s="2264" t="s">
        <v>1963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8" t="s">
        <v>1967</v>
      </c>
      <c r="D31" s="727">
        <f>D27+D30</f>
        <v>73.69</v>
      </c>
      <c r="E31" s="727">
        <f>E27+E30</f>
        <v>1368.3300000000163</v>
      </c>
      <c r="F31" s="728">
        <f>F27+F30</f>
        <v>1368.3300000000163</v>
      </c>
      <c r="G31" s="729">
        <f>G27+G30</f>
        <v>0</v>
      </c>
      <c r="H31" s="1392"/>
      <c r="I31" s="1392"/>
      <c r="J31" s="1392"/>
      <c r="K31" s="1392"/>
      <c r="L31" s="1392"/>
      <c r="M31" s="1392"/>
      <c r="N31" s="1392"/>
      <c r="O31" s="1392"/>
      <c r="P31" s="1392"/>
    </row>
    <row r="32" spans="1:19">
      <c r="A32" s="2229"/>
      <c r="B32" s="2229" t="s">
        <v>1968</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27" sqref="F2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1969</v>
      </c>
      <c r="B1" s="730"/>
      <c r="C1" s="1581"/>
      <c r="D1" s="2269"/>
      <c r="E1" s="1581"/>
      <c r="F1" s="1581"/>
      <c r="G1" s="1581"/>
      <c r="H1" s="1581"/>
      <c r="I1" s="1581"/>
      <c r="J1" s="1581"/>
      <c r="K1" s="167"/>
      <c r="L1" s="167"/>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1970</v>
      </c>
      <c r="B2" s="1266">
        <f>项目基本情况!D3</f>
        <v>43432</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7" t="s">
        <v>1971</v>
      </c>
      <c r="B4" s="2277"/>
      <c r="C4" s="2278"/>
      <c r="D4" s="2279"/>
      <c r="E4" s="2278" t="s">
        <v>1972</v>
      </c>
      <c r="F4" s="2278"/>
      <c r="G4" s="2278"/>
      <c r="H4" s="2278"/>
      <c r="I4" s="2278"/>
      <c r="J4" s="2280"/>
      <c r="K4" s="2281"/>
      <c r="L4" s="2282"/>
      <c r="M4" s="2278"/>
      <c r="N4" s="2278" t="s">
        <v>1973</v>
      </c>
      <c r="O4" s="2278"/>
      <c r="P4" s="2278"/>
      <c r="Q4" s="2278"/>
      <c r="R4" s="2278"/>
      <c r="S4" s="2280"/>
      <c r="T4" s="2283" t="str">
        <f>'数据-汇总表'!I17</f>
        <v>按面积比例</v>
      </c>
      <c r="U4" s="2277" t="s">
        <v>1974</v>
      </c>
      <c r="V4" s="2278"/>
      <c r="W4" s="2278"/>
      <c r="X4" s="2278"/>
      <c r="Y4" s="2280"/>
      <c r="Z4" s="2240" t="s">
        <v>1975</v>
      </c>
      <c r="AA4" s="2240"/>
      <c r="AB4" s="2240"/>
      <c r="AC4" s="2240"/>
      <c r="AD4" s="2240"/>
      <c r="AE4" s="2238" t="s">
        <v>1976</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1977</v>
      </c>
      <c r="B5" s="2286" t="s">
        <v>1978</v>
      </c>
      <c r="C5" s="2287" t="s">
        <v>1979</v>
      </c>
      <c r="D5" s="2288" t="s">
        <v>1980</v>
      </c>
      <c r="E5" s="1268" t="s">
        <v>1981</v>
      </c>
      <c r="F5" s="2289" t="s">
        <v>1982</v>
      </c>
      <c r="G5" s="1268" t="s">
        <v>1983</v>
      </c>
      <c r="H5" s="1268" t="s">
        <v>1984</v>
      </c>
      <c r="I5" s="1268" t="s">
        <v>1985</v>
      </c>
      <c r="J5" s="2290" t="s">
        <v>1986</v>
      </c>
      <c r="K5" s="2291" t="s">
        <v>1987</v>
      </c>
      <c r="L5" s="2292" t="s">
        <v>1988</v>
      </c>
      <c r="M5" s="2293" t="s">
        <v>1989</v>
      </c>
      <c r="N5" s="2294" t="s">
        <v>3064</v>
      </c>
      <c r="O5" s="2292" t="s">
        <v>1990</v>
      </c>
      <c r="P5" s="2295" t="s">
        <v>1991</v>
      </c>
      <c r="Q5" s="68" t="s">
        <v>1992</v>
      </c>
      <c r="R5" s="2296" t="s">
        <v>1993</v>
      </c>
      <c r="S5" s="2297" t="s">
        <v>1994</v>
      </c>
      <c r="T5" s="2298" t="s">
        <v>1995</v>
      </c>
      <c r="U5" s="1267" t="s">
        <v>1996</v>
      </c>
      <c r="V5" s="1268" t="s">
        <v>1997</v>
      </c>
      <c r="W5" s="1268" t="s">
        <v>1998</v>
      </c>
      <c r="X5" s="70"/>
      <c r="Y5" s="69" t="s">
        <v>1999</v>
      </c>
      <c r="Z5" s="2299" t="s">
        <v>1996</v>
      </c>
      <c r="AA5" s="1268" t="s">
        <v>1997</v>
      </c>
      <c r="AB5" s="1268" t="s">
        <v>1998</v>
      </c>
      <c r="AC5" s="70"/>
      <c r="AD5" s="70" t="s">
        <v>1999</v>
      </c>
      <c r="AE5" s="1267" t="s">
        <v>2000</v>
      </c>
      <c r="AF5" s="1268" t="s">
        <v>2001</v>
      </c>
      <c r="AG5" s="69" t="s">
        <v>2002</v>
      </c>
      <c r="AH5" s="1267" t="s">
        <v>2003</v>
      </c>
      <c r="AI5" s="2299" t="s">
        <v>2004</v>
      </c>
      <c r="AJ5" s="2299" t="s">
        <v>2005</v>
      </c>
      <c r="AK5" s="1268" t="s">
        <v>2006</v>
      </c>
      <c r="AL5" s="1268" t="s">
        <v>2007</v>
      </c>
      <c r="AM5" s="69" t="s">
        <v>2008</v>
      </c>
      <c r="AN5" s="2300" t="s">
        <v>2009</v>
      </c>
      <c r="AO5" s="2070" t="s">
        <v>2010</v>
      </c>
      <c r="AP5" s="1249" t="s">
        <v>2011</v>
      </c>
      <c r="AQ5" s="2301" t="s">
        <v>2012</v>
      </c>
      <c r="AR5" s="2301" t="s">
        <v>2013</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办公</v>
      </c>
      <c r="B6" s="2303" t="str">
        <f>IF(A6=0,"","经营性")</f>
        <v>经营性</v>
      </c>
      <c r="C6" s="2304" t="s">
        <v>27</v>
      </c>
      <c r="D6" s="1052">
        <f>SUMIF(项目基本情况!D$12:I$12,C6,项目基本情况!D$14:I$14)</f>
        <v>40</v>
      </c>
      <c r="E6" s="1049">
        <f>IF(B6="","",SUMIF(项目基本情况!D$12:I$12,C6,项目基本情况!D$13:I$13))</f>
        <v>56289</v>
      </c>
      <c r="F6" s="71">
        <f>SUMIF(项目基本情况!D$12:I$12,C6,项目基本情况!D$15:I$15)</f>
        <v>35.22</v>
      </c>
      <c r="G6" s="72">
        <f>IF(ISERROR(ROUND(POWER(1+H6,D6-F6)*(POWER(1+H6,F6)-1)/(POWER(1+H6,D6)-1),3)),0,ROUND(POWER(1+H6,D6-F6)*(POWER(1+H6,F6)-1)/(POWER(1+H6,D6)-1),3))</f>
        <v>0.95699999999999996</v>
      </c>
      <c r="H6" s="800">
        <v>0.05</v>
      </c>
      <c r="I6" s="800">
        <v>5.5E-2</v>
      </c>
      <c r="J6" s="73">
        <v>0.08</v>
      </c>
      <c r="K6" s="1251">
        <f>SUMIF('数据-汇总表'!C$19:C$33,A6,'数据-汇总表'!E$19:E$33)</f>
        <v>1368.3300000000163</v>
      </c>
      <c r="L6" s="801">
        <v>2600</v>
      </c>
      <c r="M6" s="74">
        <f t="shared" ref="M6:M14" si="0">ROUND(K6*L6/10000,0)</f>
        <v>356</v>
      </c>
      <c r="N6" s="799">
        <v>1</v>
      </c>
      <c r="O6" s="74" t="str">
        <f>IF($N$5="成新度","——",ROUND(M6*N6,0))</f>
        <v>——</v>
      </c>
      <c r="P6" s="75" t="str">
        <f>IF($N$5="成新度","——",M6-O6)</f>
        <v>——</v>
      </c>
      <c r="Q6" s="802">
        <v>0.2</v>
      </c>
      <c r="R6" s="76">
        <f ca="1">SUMIF('数据-汇总表'!C$19:C$33,A6,'数据-汇总表'!R$19:R$27)</f>
        <v>73.69</v>
      </c>
      <c r="S6" s="53">
        <f>IF('数据-汇总表'!$I$17="按面积比例",SUMIF('数据-汇总表'!C$19:C$33,A6,'数据-汇总表'!K$19:K$33),SUMIF('数据-汇总表'!C$19:C$33,A6,'数据-汇总表'!N$19:N$33))</f>
        <v>0</v>
      </c>
      <c r="T6" s="1443">
        <f>ROUND($L$14*S6/10000,0)</f>
        <v>0</v>
      </c>
      <c r="U6" s="77">
        <v>2.5</v>
      </c>
      <c r="V6" s="78">
        <v>2.5000000000000001E-2</v>
      </c>
      <c r="W6" s="78">
        <v>0.1</v>
      </c>
      <c r="X6" s="1261"/>
      <c r="Y6" s="79">
        <v>1</v>
      </c>
      <c r="Z6" s="80"/>
      <c r="AA6" s="73"/>
      <c r="AB6" s="73"/>
      <c r="AC6" s="1261"/>
      <c r="AD6" s="81"/>
      <c r="AE6" s="1262">
        <f ca="1">IF(AN6="",0,SUMIF(INDIRECT("'"&amp;AN6&amp;"'"&amp;"!E:E"),$AE$5,INDIRECT("'"&amp;AN6&amp;"'"&amp;"!F:F")))</f>
        <v>35.22</v>
      </c>
      <c r="AF6" s="1804"/>
      <c r="AG6" s="146">
        <f>IF(AF6="",0,AE6-AF6)</f>
        <v>0</v>
      </c>
      <c r="AH6" s="82"/>
      <c r="AI6" s="84">
        <v>365</v>
      </c>
      <c r="AJ6" s="85"/>
      <c r="AK6" s="86">
        <v>1.4999999999999999E-2</v>
      </c>
      <c r="AL6" s="87">
        <v>1.5E-3</v>
      </c>
      <c r="AM6" s="88">
        <v>0.02</v>
      </c>
      <c r="AN6" s="2305" t="s">
        <v>3065</v>
      </c>
      <c r="AO6" s="54">
        <f ca="1">SUMIF(INDIRECT("'"&amp;AN6&amp;"'"&amp;"!A:A"),"总价",INDIRECT("'"&amp;AN6&amp;"'"&amp;"!B:B"))</f>
        <v>1914</v>
      </c>
      <c r="AP6" s="2306">
        <f>IF(C6="住宅",K6*L6,0)</f>
        <v>0</v>
      </c>
      <c r="AQ6" s="54">
        <f>ROUND($L$14*$N$14*S6/10000,0)</f>
        <v>0</v>
      </c>
      <c r="AR6" s="54">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0"/>
      <c r="I7" s="800"/>
      <c r="J7" s="73"/>
      <c r="K7" s="1251">
        <f>SUMIF('数据-汇总表'!C$19:C$33,A7,'数据-汇总表'!E$19:E$33)</f>
        <v>0</v>
      </c>
      <c r="L7" s="801"/>
      <c r="M7" s="74">
        <f t="shared" si="0"/>
        <v>0</v>
      </c>
      <c r="N7" s="799"/>
      <c r="O7" s="74" t="str">
        <f t="shared" ref="O7:O14" si="3">IF($N$5="成新度","——",ROUND(M7*N7,0))</f>
        <v>——</v>
      </c>
      <c r="P7" s="75" t="str">
        <f t="shared" ref="P7:P14" si="4">IF($N$5="成新度","——",M7-O7)</f>
        <v>——</v>
      </c>
      <c r="Q7" s="802"/>
      <c r="R7" s="76">
        <f ca="1">SUMIF('数据-汇总表'!C$19:C$33,A7,'数据-汇总表'!R$19:R$27)</f>
        <v>0</v>
      </c>
      <c r="S7" s="53">
        <f>IF('数据-汇总表'!$I$17="按面积比例",SUMIF('数据-汇总表'!C$19:C$33,A7,'数据-汇总表'!K$19:K$33),SUMIF('数据-汇总表'!C$19:C$33,A7,'数据-汇总表'!N$19:N$33))</f>
        <v>0</v>
      </c>
      <c r="T7" s="1443">
        <f t="shared" ref="T7:T13" si="5">ROUND($L$14*S7/10000,0)</f>
        <v>0</v>
      </c>
      <c r="U7" s="77"/>
      <c r="V7" s="78"/>
      <c r="W7" s="78"/>
      <c r="X7" s="1261"/>
      <c r="Y7" s="79"/>
      <c r="Z7" s="80"/>
      <c r="AA7" s="73"/>
      <c r="AB7" s="73"/>
      <c r="AC7" s="1261"/>
      <c r="AD7" s="81"/>
      <c r="AE7" s="1262">
        <f t="shared" ref="AE7:AE13" ca="1" si="6">IF(AN7="",0,SUMIF(INDIRECT("'"&amp;AN7&amp;"'"&amp;"!E:E"),$AE$5,INDIRECT("'"&amp;AN7&amp;"'"&amp;"!F:F")))</f>
        <v>0</v>
      </c>
      <c r="AF7" s="1804"/>
      <c r="AG7" s="146">
        <f t="shared" ref="AG7:AG13" si="7">IF(AF7="",0,AE7-AF7)</f>
        <v>0</v>
      </c>
      <c r="AH7" s="82"/>
      <c r="AI7" s="84"/>
      <c r="AJ7" s="85"/>
      <c r="AK7" s="86"/>
      <c r="AL7" s="87"/>
      <c r="AM7" s="88"/>
      <c r="AN7" s="2305"/>
      <c r="AO7" s="54" t="e">
        <f t="shared" ref="AO7:AO13" ca="1" si="8">SUMIF(INDIRECT("'"&amp;AN7&amp;"'"&amp;"!A:A"),"总价",INDIRECT("'"&amp;AN7&amp;"'"&amp;"!B:B"))</f>
        <v>#REF!</v>
      </c>
      <c r="AP7" s="2306">
        <f t="shared" ref="AP7:AP13" si="9">IF(C7="住宅",K7*L7,0)</f>
        <v>0</v>
      </c>
      <c r="AQ7" s="54">
        <f t="shared" ref="AQ7:AQ13" si="10">ROUND($L$14*$N$14*S7/10000,0)</f>
        <v>0</v>
      </c>
      <c r="AR7" s="54">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1">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3">
        <f t="shared" si="5"/>
        <v>0</v>
      </c>
      <c r="U8" s="803"/>
      <c r="V8" s="804"/>
      <c r="W8" s="804"/>
      <c r="X8" s="1261"/>
      <c r="Y8" s="805"/>
      <c r="Z8" s="80"/>
      <c r="AA8" s="73"/>
      <c r="AB8" s="73"/>
      <c r="AC8" s="1261"/>
      <c r="AD8" s="81"/>
      <c r="AE8" s="1262">
        <f t="shared" ca="1" si="6"/>
        <v>0</v>
      </c>
      <c r="AF8" s="1804"/>
      <c r="AG8" s="146">
        <f t="shared" si="7"/>
        <v>0</v>
      </c>
      <c r="AH8" s="806"/>
      <c r="AI8" s="84"/>
      <c r="AJ8" s="85"/>
      <c r="AK8" s="807"/>
      <c r="AL8" s="808"/>
      <c r="AM8" s="809"/>
      <c r="AN8" s="2305"/>
      <c r="AO8" s="54" t="e">
        <f t="shared" ca="1" si="8"/>
        <v>#REF!</v>
      </c>
      <c r="AP8" s="2306">
        <f t="shared" si="9"/>
        <v>0</v>
      </c>
      <c r="AQ8" s="54">
        <f t="shared" si="10"/>
        <v>0</v>
      </c>
      <c r="AR8" s="54">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4"/>
      <c r="AG9" s="146">
        <f t="shared" si="7"/>
        <v>0</v>
      </c>
      <c r="AH9" s="82"/>
      <c r="AI9" s="84"/>
      <c r="AJ9" s="85"/>
      <c r="AK9" s="86"/>
      <c r="AL9" s="87"/>
      <c r="AM9" s="88"/>
      <c r="AN9" s="2305"/>
      <c r="AO9" s="54" t="e">
        <f t="shared" ca="1" si="8"/>
        <v>#REF!</v>
      </c>
      <c r="AP9" s="2306">
        <f t="shared" si="9"/>
        <v>0</v>
      </c>
      <c r="AQ9" s="54">
        <f t="shared" si="10"/>
        <v>0</v>
      </c>
      <c r="AR9" s="54">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4"/>
      <c r="AG10" s="146">
        <f t="shared" si="7"/>
        <v>0</v>
      </c>
      <c r="AH10" s="82"/>
      <c r="AI10" s="84"/>
      <c r="AJ10" s="85"/>
      <c r="AK10" s="86"/>
      <c r="AL10" s="87"/>
      <c r="AM10" s="88"/>
      <c r="AN10" s="2305"/>
      <c r="AO10" s="54" t="e">
        <f t="shared" ca="1" si="8"/>
        <v>#REF!</v>
      </c>
      <c r="AP10" s="2306">
        <f t="shared" si="9"/>
        <v>0</v>
      </c>
      <c r="AQ10" s="54">
        <f t="shared" si="10"/>
        <v>0</v>
      </c>
      <c r="AR10" s="54">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4"/>
      <c r="AG11" s="146">
        <f t="shared" si="7"/>
        <v>0</v>
      </c>
      <c r="AH11" s="82"/>
      <c r="AI11" s="84"/>
      <c r="AJ11" s="85"/>
      <c r="AK11" s="93"/>
      <c r="AL11" s="94"/>
      <c r="AM11" s="95"/>
      <c r="AN11" s="2305"/>
      <c r="AO11" s="54" t="e">
        <f t="shared" ca="1" si="8"/>
        <v>#REF!</v>
      </c>
      <c r="AP11" s="2306">
        <f t="shared" si="9"/>
        <v>0</v>
      </c>
      <c r="AQ11" s="54">
        <f t="shared" si="10"/>
        <v>0</v>
      </c>
      <c r="AR11" s="54">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4"/>
      <c r="AG12" s="146">
        <f t="shared" si="7"/>
        <v>0</v>
      </c>
      <c r="AH12" s="82"/>
      <c r="AI12" s="84"/>
      <c r="AJ12" s="85"/>
      <c r="AK12" s="93"/>
      <c r="AL12" s="94"/>
      <c r="AM12" s="95"/>
      <c r="AN12" s="2305"/>
      <c r="AO12" s="54" t="e">
        <f t="shared" ca="1" si="8"/>
        <v>#REF!</v>
      </c>
      <c r="AP12" s="2306">
        <f t="shared" si="9"/>
        <v>0</v>
      </c>
      <c r="AQ12" s="54">
        <f t="shared" si="10"/>
        <v>0</v>
      </c>
      <c r="AR12" s="54">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4"/>
      <c r="AG13" s="146">
        <f t="shared" si="7"/>
        <v>0</v>
      </c>
      <c r="AH13" s="82"/>
      <c r="AI13" s="84"/>
      <c r="AJ13" s="85"/>
      <c r="AK13" s="86"/>
      <c r="AL13" s="87"/>
      <c r="AM13" s="88"/>
      <c r="AN13" s="2305"/>
      <c r="AO13" s="54" t="e">
        <f t="shared" ca="1" si="8"/>
        <v>#REF!</v>
      </c>
      <c r="AP13" s="2306">
        <f t="shared" si="9"/>
        <v>0</v>
      </c>
      <c r="AQ13" s="54">
        <f t="shared" si="10"/>
        <v>0</v>
      </c>
      <c r="AR13" s="54">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2014</v>
      </c>
      <c r="B14" s="2303" t="s">
        <v>2015</v>
      </c>
      <c r="C14" s="2308" t="s">
        <v>2014</v>
      </c>
      <c r="D14" s="1052"/>
      <c r="E14" s="1049"/>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1"/>
      <c r="V14" s="1256"/>
      <c r="W14" s="1256"/>
      <c r="X14" s="1257"/>
      <c r="Y14" s="1258"/>
      <c r="Z14" s="1259"/>
      <c r="AA14" s="1260"/>
      <c r="AB14" s="1260"/>
      <c r="AC14" s="1261"/>
      <c r="AD14" s="1257"/>
      <c r="AE14" s="1262"/>
      <c r="AF14" s="54"/>
      <c r="AG14" s="146"/>
      <c r="AH14" s="1262"/>
      <c r="AI14" s="1815"/>
      <c r="AJ14" s="771"/>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2016</v>
      </c>
      <c r="B15" s="2303" t="s">
        <v>2015</v>
      </c>
      <c r="C15" s="2308" t="s">
        <v>2017</v>
      </c>
      <c r="D15" s="1052"/>
      <c r="E15" s="1049"/>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6"/>
      <c r="AH15" s="1262"/>
      <c r="AI15" s="1815"/>
      <c r="AJ15" s="771"/>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2018</v>
      </c>
      <c r="B16" s="96"/>
      <c r="C16" s="1006"/>
      <c r="D16" s="2310"/>
      <c r="E16" s="96"/>
      <c r="F16" s="96"/>
      <c r="G16" s="97">
        <f>ROUND(SUMPRODUCT(G6:G13,K6:K13)/SUMPRODUCT((G6:G13&gt;0)*(K6:K13)),3)</f>
        <v>0.95699999999999996</v>
      </c>
      <c r="H16" s="98">
        <f>ROUND(SUMPRODUCT(H6:H13,K6:K13)/SUMPRODUCT((H6:H13&gt;0)*(K6:K13)),3)</f>
        <v>0.05</v>
      </c>
      <c r="I16" s="99"/>
      <c r="J16" s="99"/>
      <c r="K16" s="100">
        <f>SUM(K6:K15)</f>
        <v>1368.3300000000163</v>
      </c>
      <c r="L16" s="101">
        <f>ROUND(M16*10000/SUM(K6:K14),0)</f>
        <v>2602</v>
      </c>
      <c r="M16" s="101">
        <f>SUM(M6:M14)</f>
        <v>356</v>
      </c>
      <c r="N16" s="102">
        <f>ROUND(SUMPRODUCT(M6:M14,N6:N14)/M16,3)</f>
        <v>1</v>
      </c>
      <c r="O16" s="101">
        <f>SUM(O6:O14)</f>
        <v>0</v>
      </c>
      <c r="P16" s="101">
        <f>SUM(P6:P14)</f>
        <v>0</v>
      </c>
      <c r="Q16" s="103">
        <f>ROUND(SUMPRODUCT(Q6:Q13,K6:K13)/SUMPRODUCT((Q6:Q13&gt;0)*(K6:K13)),2)</f>
        <v>0.2</v>
      </c>
      <c r="R16" s="1255">
        <f ca="1">SUM(R6:R13)</f>
        <v>73.69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0"/>
      <c r="C17" s="1581"/>
      <c r="D17" s="2269"/>
      <c r="E17" s="2269"/>
      <c r="F17" s="1581"/>
      <c r="G17" s="1581"/>
      <c r="H17" s="1581"/>
      <c r="I17" s="1581"/>
      <c r="J17" s="1581"/>
      <c r="K17" s="167"/>
      <c r="L17" s="167"/>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2019</v>
      </c>
      <c r="B18" s="2276"/>
      <c r="C18" s="2273"/>
      <c r="D18" s="2274"/>
      <c r="E18" s="2273"/>
      <c r="F18" s="2273"/>
      <c r="G18" s="2273"/>
      <c r="H18" s="2273"/>
      <c r="I18" s="2273"/>
      <c r="J18" s="2273"/>
      <c r="K18" s="167"/>
      <c r="L18" s="167"/>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2020</v>
      </c>
      <c r="B19" s="111">
        <v>0</v>
      </c>
      <c r="C19" s="2273" t="s">
        <v>2021</v>
      </c>
      <c r="D19" s="2274"/>
      <c r="E19" s="2273"/>
      <c r="F19" s="2273"/>
      <c r="G19" s="2273"/>
      <c r="H19" s="2273"/>
      <c r="I19" s="2273"/>
      <c r="J19" s="2273"/>
      <c r="K19" s="167"/>
      <c r="L19" s="167"/>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2022</v>
      </c>
      <c r="B20" s="112">
        <v>2</v>
      </c>
      <c r="C20" s="2273" t="s">
        <v>2023</v>
      </c>
      <c r="D20" s="2274"/>
      <c r="E20" s="2273"/>
      <c r="F20" s="2273"/>
      <c r="G20" s="2273"/>
      <c r="H20" s="2273"/>
      <c r="I20" s="2273"/>
      <c r="J20" s="2273"/>
      <c r="K20" s="167"/>
      <c r="L20" s="167"/>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2024</v>
      </c>
      <c r="B21" s="112">
        <v>2</v>
      </c>
      <c r="C21" s="2273"/>
      <c r="D21" s="2274"/>
      <c r="E21" s="2273"/>
      <c r="F21" s="2273"/>
      <c r="G21" s="2273"/>
      <c r="H21" s="2273"/>
      <c r="I21" s="2273"/>
      <c r="J21" s="2273"/>
      <c r="K21" s="167"/>
      <c r="L21" s="167"/>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2025</v>
      </c>
      <c r="B22" s="113">
        <f>B19+B20</f>
        <v>2</v>
      </c>
      <c r="C22" s="2273"/>
      <c r="D22" s="2274"/>
      <c r="E22" s="2273"/>
      <c r="F22" s="2273"/>
      <c r="G22" s="2273"/>
      <c r="H22" s="2273"/>
      <c r="I22" s="2273"/>
      <c r="J22" s="2273"/>
      <c r="K22" s="167"/>
      <c r="L22" s="167"/>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2026</v>
      </c>
      <c r="B23" s="113">
        <f>B19+B21</f>
        <v>2</v>
      </c>
      <c r="C23" s="2273"/>
      <c r="D23" s="2274"/>
      <c r="E23" s="2273"/>
      <c r="F23" s="2273"/>
      <c r="G23" s="2273"/>
      <c r="H23" s="2273"/>
      <c r="I23" s="2273"/>
      <c r="J23" s="2273"/>
      <c r="K23" s="167"/>
      <c r="L23" s="167"/>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2027</v>
      </c>
      <c r="B24" s="114">
        <f>B20-B21</f>
        <v>0</v>
      </c>
      <c r="C24" s="2273"/>
      <c r="D24" s="2274"/>
      <c r="E24" s="2273"/>
      <c r="F24" s="2273"/>
      <c r="G24" s="2273"/>
      <c r="H24" s="2273"/>
      <c r="I24" s="2273"/>
      <c r="J24" s="2273"/>
      <c r="K24" s="167"/>
      <c r="L24" s="167"/>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7"/>
      <c r="L25" s="167"/>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2028</v>
      </c>
      <c r="B26" s="2316" t="s">
        <v>2029</v>
      </c>
      <c r="C26" s="2317" t="s">
        <v>2030</v>
      </c>
      <c r="D26" s="2274"/>
      <c r="E26" s="2273"/>
      <c r="F26" s="2273"/>
      <c r="G26" s="2273"/>
      <c r="H26" s="2273"/>
      <c r="I26" s="2273"/>
      <c r="J26" s="2273"/>
      <c r="K26" s="167"/>
      <c r="L26" s="167"/>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2031</v>
      </c>
      <c r="B27" s="115">
        <v>120</v>
      </c>
      <c r="C27" s="1764" t="s">
        <v>2032</v>
      </c>
      <c r="D27" s="2319"/>
      <c r="E27" s="1427"/>
      <c r="F27" s="1427"/>
      <c r="G27" s="2273"/>
      <c r="H27" s="2273"/>
      <c r="I27" s="2273"/>
      <c r="J27" s="2273"/>
      <c r="K27" s="167"/>
      <c r="L27" s="167"/>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2033</v>
      </c>
      <c r="B28" s="118">
        <v>120</v>
      </c>
      <c r="C28" s="2322"/>
      <c r="D28" s="2319"/>
      <c r="E28" s="1427"/>
      <c r="F28" s="1427"/>
      <c r="G28" s="2273"/>
      <c r="H28" s="2273"/>
      <c r="I28" s="2273"/>
      <c r="J28" s="2273"/>
      <c r="K28" s="167"/>
      <c r="L28" s="167"/>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2034</v>
      </c>
      <c r="B29" s="120"/>
      <c r="C29" s="1764" t="s">
        <v>2035</v>
      </c>
      <c r="D29" s="2319"/>
      <c r="E29" s="1427"/>
      <c r="F29" s="1427"/>
      <c r="G29" s="2273"/>
      <c r="H29" s="2273"/>
      <c r="I29" s="2273"/>
      <c r="J29" s="2273"/>
      <c r="K29" s="167"/>
      <c r="L29" s="167"/>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2036</v>
      </c>
      <c r="B30" s="722">
        <v>200</v>
      </c>
      <c r="C30" s="2322"/>
      <c r="D30" s="2319"/>
      <c r="E30" s="1427"/>
      <c r="F30" s="1427"/>
      <c r="G30" s="2273"/>
      <c r="H30" s="2273"/>
      <c r="I30" s="2273"/>
      <c r="J30" s="2273"/>
      <c r="K30" s="167"/>
      <c r="L30" s="167"/>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2037</v>
      </c>
      <c r="B31" s="119">
        <f>B30-B32</f>
        <v>200</v>
      </c>
      <c r="C31" s="1764"/>
      <c r="D31" s="2319"/>
      <c r="E31" s="1427"/>
      <c r="F31" s="1427"/>
      <c r="G31" s="2273"/>
      <c r="H31" s="2273"/>
      <c r="I31" s="2273"/>
      <c r="J31" s="2273"/>
      <c r="K31" s="167"/>
      <c r="L31" s="167"/>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2038</v>
      </c>
      <c r="B32" s="723">
        <v>0</v>
      </c>
      <c r="C32" s="2322"/>
      <c r="D32" s="2274"/>
      <c r="E32" s="2273"/>
      <c r="F32" s="2273"/>
      <c r="G32" s="2273"/>
      <c r="H32" s="2273"/>
      <c r="I32" s="2273"/>
      <c r="J32" s="2273"/>
      <c r="K32" s="167"/>
      <c r="L32" s="167"/>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2039</v>
      </c>
      <c r="B33" s="724">
        <v>0.03</v>
      </c>
      <c r="C33" s="1763" t="s">
        <v>2040</v>
      </c>
      <c r="D33" s="2274"/>
      <c r="E33" s="2273"/>
      <c r="F33" s="2273"/>
      <c r="G33" s="2273"/>
      <c r="H33" s="2273"/>
      <c r="I33" s="2273"/>
      <c r="J33" s="2273"/>
      <c r="K33" s="167"/>
      <c r="L33" s="167"/>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2041</v>
      </c>
      <c r="B34" s="121">
        <v>0.05</v>
      </c>
      <c r="C34" s="1763" t="s">
        <v>2042</v>
      </c>
      <c r="D34" s="2274" t="s">
        <v>2043</v>
      </c>
      <c r="E34" s="730"/>
      <c r="F34" s="2273"/>
      <c r="G34" s="2273"/>
      <c r="H34" s="2273"/>
      <c r="I34" s="2273"/>
      <c r="J34" s="2273"/>
      <c r="K34" s="167"/>
      <c r="L34" s="167"/>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2044</v>
      </c>
      <c r="B35" s="118">
        <v>200</v>
      </c>
      <c r="C35" s="1763" t="s">
        <v>2045</v>
      </c>
      <c r="D35" s="2319"/>
      <c r="E35" s="1427"/>
      <c r="F35" s="1427"/>
      <c r="G35" s="2273"/>
      <c r="H35" s="2273"/>
      <c r="I35" s="2273"/>
      <c r="J35" s="2273"/>
      <c r="K35" s="167"/>
      <c r="L35" s="167"/>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2046</v>
      </c>
      <c r="B36" s="122">
        <v>1.4999999999999999E-2</v>
      </c>
      <c r="C36" s="1763" t="s">
        <v>2047</v>
      </c>
      <c r="D36" s="2274"/>
      <c r="E36" s="2273"/>
      <c r="F36" s="2273"/>
      <c r="G36" s="2273"/>
      <c r="H36" s="2273"/>
      <c r="I36" s="2273"/>
      <c r="J36" s="2273"/>
      <c r="K36" s="167"/>
      <c r="L36" s="167"/>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2048</v>
      </c>
      <c r="B37" s="123">
        <v>0.02</v>
      </c>
      <c r="C37" s="1763" t="s">
        <v>2049</v>
      </c>
      <c r="D37" s="2274"/>
      <c r="E37" s="2273"/>
      <c r="F37" s="2273"/>
      <c r="G37" s="2273"/>
      <c r="H37" s="2273"/>
      <c r="I37" s="2273"/>
      <c r="J37" s="2273"/>
      <c r="K37" s="167"/>
      <c r="L37" s="167"/>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2050</v>
      </c>
      <c r="B38" s="121">
        <v>0.02</v>
      </c>
      <c r="C38" s="1763" t="s">
        <v>2049</v>
      </c>
      <c r="D38" s="2274"/>
      <c r="E38" s="2273"/>
      <c r="F38" s="2273"/>
      <c r="G38" s="2273"/>
      <c r="H38" s="2273"/>
      <c r="I38" s="2273"/>
      <c r="J38" s="2273"/>
      <c r="K38" s="167"/>
      <c r="L38" s="167"/>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2051</v>
      </c>
      <c r="B39" s="361">
        <f ca="1">存贷款利率!I1</f>
        <v>1.4999999999999999E-2</v>
      </c>
      <c r="C39" s="1763"/>
      <c r="D39" s="2274"/>
      <c r="E39" s="2273"/>
      <c r="F39" s="2273"/>
      <c r="G39" s="2273"/>
      <c r="H39" s="2273"/>
      <c r="I39" s="2273"/>
      <c r="J39" s="2273"/>
      <c r="K39" s="167"/>
      <c r="L39" s="167"/>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2052</v>
      </c>
      <c r="B40" s="1300">
        <f ca="1">存贷款利率!G1</f>
        <v>4.7500000000000001E-2</v>
      </c>
      <c r="C40" s="1763" t="s">
        <v>2053</v>
      </c>
      <c r="D40" s="1581"/>
      <c r="E40" s="2274"/>
      <c r="F40" s="2273"/>
      <c r="G40" s="2273"/>
      <c r="H40" s="2273"/>
      <c r="I40" s="2273"/>
      <c r="J40" s="2273"/>
      <c r="K40" s="167"/>
      <c r="L40" s="167"/>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2054</v>
      </c>
      <c r="B41" s="124">
        <f>B42+B43</f>
        <v>5.6000000000000001E-2</v>
      </c>
      <c r="C41" s="1764"/>
      <c r="D41" s="1581"/>
      <c r="E41" s="2274"/>
      <c r="F41" s="2273"/>
      <c r="G41" s="2273"/>
      <c r="H41" s="2273"/>
      <c r="I41" s="2273"/>
      <c r="J41" s="2273"/>
      <c r="K41" s="167"/>
      <c r="L41" s="167"/>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2055</v>
      </c>
      <c r="B42" s="125">
        <v>0.05</v>
      </c>
      <c r="C42" s="2327">
        <f>IF(B2&lt;DATE(2016,5,1),0,B42)</f>
        <v>0.05</v>
      </c>
      <c r="D42" s="2274"/>
      <c r="E42" s="2273"/>
      <c r="F42" s="2273"/>
      <c r="G42" s="2273"/>
      <c r="H42" s="2273"/>
      <c r="I42" s="2273"/>
      <c r="J42" s="2273"/>
      <c r="K42" s="167"/>
      <c r="L42" s="167"/>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2056</v>
      </c>
      <c r="B43" s="126">
        <f>B42*(B44+B45+B46)+B47</f>
        <v>6.000000000000001E-3</v>
      </c>
      <c r="C43" s="1764"/>
      <c r="D43" s="2274"/>
      <c r="E43" s="2273"/>
      <c r="F43" s="2273"/>
      <c r="G43" s="2273"/>
      <c r="H43" s="2273"/>
      <c r="I43" s="2273"/>
      <c r="J43" s="2273"/>
      <c r="K43" s="167"/>
      <c r="L43" s="167"/>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2057</v>
      </c>
      <c r="B44" s="127">
        <v>7.0000000000000007E-2</v>
      </c>
      <c r="C44" s="1763" t="s">
        <v>2058</v>
      </c>
      <c r="D44" s="2274"/>
      <c r="E44" s="2273"/>
      <c r="F44" s="2273"/>
      <c r="G44" s="2273"/>
      <c r="H44" s="2273"/>
      <c r="I44" s="2273"/>
      <c r="J44" s="2273"/>
      <c r="K44" s="167"/>
      <c r="L44" s="167"/>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2059</v>
      </c>
      <c r="B45" s="125">
        <v>0.03</v>
      </c>
      <c r="C45" s="1764" t="s">
        <v>2060</v>
      </c>
      <c r="D45" s="2274"/>
      <c r="E45" s="2273"/>
      <c r="F45" s="2273"/>
      <c r="G45" s="2273"/>
      <c r="H45" s="2273"/>
      <c r="I45" s="2273"/>
      <c r="J45" s="2273"/>
      <c r="K45" s="167"/>
      <c r="L45" s="167"/>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2061</v>
      </c>
      <c r="B46" s="125">
        <v>0.02</v>
      </c>
      <c r="C46" s="1764" t="s">
        <v>2062</v>
      </c>
      <c r="D46" s="2274"/>
      <c r="E46" s="2273"/>
      <c r="F46" s="2273"/>
      <c r="G46" s="2273"/>
      <c r="H46" s="2273"/>
      <c r="I46" s="2273"/>
      <c r="J46" s="2273"/>
      <c r="K46" s="167"/>
      <c r="L46" s="167"/>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2063</v>
      </c>
      <c r="B47" s="128"/>
      <c r="C47" s="1764" t="s">
        <v>2064</v>
      </c>
      <c r="D47" s="2274"/>
      <c r="E47" s="2273"/>
      <c r="F47" s="2273"/>
      <c r="G47" s="2273"/>
      <c r="H47" s="2273"/>
      <c r="I47" s="2273"/>
      <c r="J47" s="2273"/>
      <c r="K47" s="167"/>
      <c r="L47" s="167"/>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2065</v>
      </c>
      <c r="B48" s="129">
        <v>0.03</v>
      </c>
      <c r="C48" s="1771" t="s">
        <v>2066</v>
      </c>
      <c r="D48" s="2274"/>
      <c r="E48" s="2273"/>
      <c r="F48" s="2273"/>
      <c r="G48" s="2273"/>
      <c r="H48" s="2273"/>
      <c r="I48" s="2273"/>
      <c r="J48" s="2273"/>
      <c r="K48" s="167"/>
      <c r="L48" s="167"/>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2067</v>
      </c>
      <c r="B49" s="125">
        <v>5.0000000000000001E-4</v>
      </c>
      <c r="C49" s="1771" t="s">
        <v>2068</v>
      </c>
      <c r="D49" s="2274"/>
      <c r="E49" s="2273"/>
      <c r="F49" s="2273"/>
      <c r="G49" s="2273"/>
      <c r="H49" s="2273"/>
      <c r="I49" s="2273"/>
      <c r="J49" s="2273"/>
      <c r="K49" s="167"/>
      <c r="L49" s="167"/>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2069</v>
      </c>
      <c r="B50" s="130">
        <v>1.2E-2</v>
      </c>
      <c r="C50" s="1427"/>
      <c r="D50" s="2274"/>
      <c r="E50" s="2273"/>
      <c r="F50" s="2273"/>
      <c r="G50" s="2273"/>
      <c r="H50" s="2273"/>
      <c r="I50" s="2273"/>
      <c r="J50" s="2273"/>
      <c r="K50" s="167"/>
      <c r="L50" s="167"/>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2070</v>
      </c>
      <c r="B51" s="131">
        <v>0.12</v>
      </c>
      <c r="C51" s="1427"/>
      <c r="D51" s="2274"/>
      <c r="E51" s="2273"/>
      <c r="F51" s="2273"/>
      <c r="G51" s="2273"/>
      <c r="H51" s="2273"/>
      <c r="I51" s="2273"/>
      <c r="J51" s="2273"/>
      <c r="K51" s="167"/>
      <c r="L51" s="167"/>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2071</v>
      </c>
      <c r="B52" s="132">
        <f>SUMIF(A54:A63,B53,B54:B63)</f>
        <v>16</v>
      </c>
      <c r="C52" s="1427"/>
      <c r="D52" s="2274"/>
      <c r="E52" s="2273"/>
      <c r="F52" s="2273"/>
      <c r="G52" s="2273"/>
      <c r="H52" s="2273"/>
      <c r="I52" s="2273"/>
      <c r="J52" s="2273"/>
      <c r="K52" s="167"/>
      <c r="L52" s="167"/>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2072</v>
      </c>
      <c r="B53" s="2332" t="s">
        <v>212</v>
      </c>
      <c r="C53" s="1427" t="s">
        <v>2073</v>
      </c>
      <c r="D53" s="2333" t="s">
        <v>2074</v>
      </c>
      <c r="E53" s="2273"/>
      <c r="F53" s="2273"/>
      <c r="G53" s="2273"/>
      <c r="H53" s="2273"/>
      <c r="I53" s="2273"/>
      <c r="J53" s="2273"/>
      <c r="K53" s="167"/>
      <c r="L53" s="167"/>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2075</v>
      </c>
      <c r="B54" s="83">
        <v>16</v>
      </c>
      <c r="C54" s="1427">
        <v>30</v>
      </c>
      <c r="D54" s="2274"/>
      <c r="E54" s="2273"/>
      <c r="F54" s="2273"/>
      <c r="G54" s="2273"/>
      <c r="H54" s="2273"/>
      <c r="I54" s="2273"/>
      <c r="J54" s="2273"/>
      <c r="K54" s="167"/>
      <c r="L54" s="167"/>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2076</v>
      </c>
      <c r="B55" s="83"/>
      <c r="C55" s="1427">
        <v>24</v>
      </c>
      <c r="D55" s="2274"/>
      <c r="E55" s="2273"/>
      <c r="F55" s="2273"/>
      <c r="G55" s="2273"/>
      <c r="H55" s="2273"/>
      <c r="I55" s="2335"/>
      <c r="J55" s="2273"/>
      <c r="K55" s="167"/>
      <c r="L55" s="167"/>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2077</v>
      </c>
      <c r="B56" s="83"/>
      <c r="C56" s="1427">
        <v>18</v>
      </c>
      <c r="D56" s="2274"/>
      <c r="E56" s="2273"/>
      <c r="F56" s="2273"/>
      <c r="G56" s="2273"/>
      <c r="H56" s="2273"/>
      <c r="I56" s="2273"/>
      <c r="J56" s="2273"/>
      <c r="K56" s="167"/>
      <c r="L56" s="167"/>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2078</v>
      </c>
      <c r="B57" s="83"/>
      <c r="C57" s="1427">
        <v>12</v>
      </c>
      <c r="D57" s="2274"/>
      <c r="E57" s="2273"/>
      <c r="F57" s="2273"/>
      <c r="G57" s="2273"/>
      <c r="H57" s="2273"/>
      <c r="I57" s="2273"/>
      <c r="J57" s="2273"/>
      <c r="K57" s="167"/>
      <c r="L57" s="167"/>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2079</v>
      </c>
      <c r="B58" s="83"/>
      <c r="C58" s="1427">
        <v>3</v>
      </c>
      <c r="D58" s="2274"/>
      <c r="E58" s="2273"/>
      <c r="F58" s="2273"/>
      <c r="G58" s="2273"/>
      <c r="H58" s="2273"/>
      <c r="I58" s="2273"/>
      <c r="J58" s="2273"/>
      <c r="K58" s="167"/>
      <c r="L58" s="167"/>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2080</v>
      </c>
      <c r="B59" s="83"/>
      <c r="C59" s="1427">
        <v>1.5</v>
      </c>
      <c r="D59" s="2274"/>
      <c r="E59" s="2273"/>
      <c r="F59" s="2273"/>
      <c r="G59" s="2273"/>
      <c r="H59" s="2273"/>
      <c r="I59" s="2273"/>
      <c r="J59" s="2273"/>
      <c r="K59" s="167"/>
      <c r="L59" s="167"/>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2081</v>
      </c>
      <c r="B60" s="83"/>
      <c r="C60" s="2273"/>
      <c r="D60" s="2274"/>
      <c r="E60" s="2273"/>
      <c r="F60" s="2273"/>
      <c r="G60" s="2273"/>
      <c r="H60" s="2273"/>
      <c r="I60" s="2273"/>
      <c r="J60" s="2273"/>
      <c r="K60" s="167"/>
      <c r="L60" s="167"/>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2082</v>
      </c>
      <c r="B61" s="83"/>
      <c r="C61" s="2273"/>
      <c r="D61" s="2274"/>
      <c r="E61" s="2273"/>
      <c r="F61" s="2273"/>
      <c r="G61" s="2273"/>
      <c r="H61" s="2273"/>
      <c r="I61" s="2273"/>
      <c r="J61" s="2273"/>
      <c r="K61" s="167"/>
      <c r="L61" s="167"/>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2083</v>
      </c>
      <c r="B62" s="83"/>
      <c r="C62" s="2273"/>
      <c r="D62" s="2274"/>
      <c r="E62" s="2273"/>
      <c r="F62" s="2273"/>
      <c r="G62" s="2273"/>
      <c r="H62" s="2273"/>
      <c r="I62" s="2273"/>
      <c r="J62" s="2273"/>
      <c r="K62" s="167"/>
      <c r="L62" s="167"/>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2084</v>
      </c>
      <c r="B63" s="133"/>
      <c r="C63" s="2273"/>
      <c r="D63" s="2274"/>
      <c r="E63" s="2273"/>
      <c r="F63" s="2273"/>
      <c r="G63" s="2273"/>
      <c r="H63" s="2273"/>
      <c r="I63" s="2273"/>
      <c r="J63" s="2273"/>
      <c r="K63" s="167"/>
      <c r="L63" s="167"/>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37"/>
      <c r="D64" s="2338"/>
      <c r="K64" s="796"/>
      <c r="L64" s="796"/>
    </row>
    <row r="65" spans="1:12" s="965" customFormat="1">
      <c r="A65" s="2337"/>
      <c r="D65" s="2338"/>
      <c r="K65" s="796"/>
      <c r="L65" s="796"/>
    </row>
    <row r="66" spans="1:12" s="965" customFormat="1">
      <c r="A66" s="2337"/>
      <c r="D66" s="2338"/>
      <c r="K66" s="796"/>
      <c r="L66" s="796"/>
    </row>
    <row r="67" spans="1:12" s="965" customFormat="1">
      <c r="A67" s="2337"/>
      <c r="D67" s="2338"/>
      <c r="K67" s="796"/>
      <c r="L67" s="796"/>
    </row>
    <row r="68" spans="1:12" s="965" customFormat="1">
      <c r="A68" s="2337"/>
      <c r="D68" s="2338"/>
      <c r="K68" s="796"/>
      <c r="L68" s="796"/>
    </row>
    <row r="69" spans="1:12" s="965" customFormat="1">
      <c r="A69" s="2337"/>
      <c r="D69" s="2338"/>
      <c r="K69" s="796"/>
      <c r="L69" s="796"/>
    </row>
    <row r="70" spans="1:12" s="965" customFormat="1">
      <c r="A70" s="2337"/>
      <c r="D70" s="2338"/>
      <c r="K70" s="796"/>
      <c r="L70" s="796"/>
    </row>
    <row r="71" spans="1:12" s="965" customFormat="1">
      <c r="A71" s="2337"/>
      <c r="D71" s="2338"/>
      <c r="K71" s="796"/>
      <c r="L71" s="796"/>
    </row>
    <row r="72" spans="1:12" s="965" customFormat="1">
      <c r="A72" s="2337"/>
      <c r="D72" s="2338"/>
      <c r="K72" s="796"/>
      <c r="L72" s="796"/>
    </row>
    <row r="73" spans="1:12" s="965" customFormat="1">
      <c r="A73" s="2337"/>
      <c r="D73" s="2338"/>
      <c r="K73" s="796"/>
      <c r="L73" s="796"/>
    </row>
    <row r="74" spans="1:12" s="965" customFormat="1">
      <c r="A74" s="2337"/>
      <c r="D74" s="2338"/>
      <c r="K74" s="796"/>
      <c r="L74" s="796"/>
    </row>
    <row r="75" spans="1:12" s="965" customFormat="1">
      <c r="A75" s="2337"/>
      <c r="D75" s="2338"/>
      <c r="K75" s="796"/>
      <c r="L75" s="796"/>
    </row>
    <row r="76" spans="1:12" s="965" customFormat="1">
      <c r="A76" s="2337"/>
      <c r="D76" s="2338"/>
      <c r="K76" s="796"/>
      <c r="L76" s="796"/>
    </row>
    <row r="77" spans="1:12" s="965" customFormat="1">
      <c r="A77" s="2337"/>
      <c r="D77" s="2338"/>
      <c r="K77" s="796"/>
      <c r="L77" s="796"/>
    </row>
    <row r="78" spans="1:12" s="965" customFormat="1">
      <c r="A78" s="2337"/>
      <c r="D78" s="2338"/>
      <c r="K78" s="796"/>
      <c r="L78" s="796"/>
    </row>
    <row r="79" spans="1:12" s="965" customFormat="1">
      <c r="A79" s="2337"/>
      <c r="D79" s="2338"/>
      <c r="K79" s="796"/>
      <c r="L79" s="796"/>
    </row>
    <row r="80" spans="1:12" s="965" customFormat="1">
      <c r="A80" s="2337"/>
      <c r="D80" s="2338"/>
      <c r="K80" s="796"/>
      <c r="L80" s="796"/>
    </row>
    <row r="81" spans="1:12" s="965" customFormat="1">
      <c r="A81" s="2337"/>
      <c r="D81" s="2338"/>
      <c r="K81" s="796"/>
      <c r="L81" s="796"/>
    </row>
    <row r="82" spans="1:12" s="965" customFormat="1">
      <c r="A82" s="2337"/>
      <c r="D82" s="2338"/>
      <c r="K82" s="796"/>
      <c r="L82" s="796"/>
    </row>
    <row r="83" spans="1:12" s="965" customFormat="1">
      <c r="A83" s="2337"/>
      <c r="D83" s="2338"/>
      <c r="K83" s="796"/>
      <c r="L83" s="796"/>
    </row>
    <row r="84" spans="1:12" s="965" customFormat="1">
      <c r="A84" s="2337"/>
      <c r="D84" s="2338"/>
      <c r="K84" s="796"/>
      <c r="L84" s="796"/>
    </row>
    <row r="85" spans="1:12" s="965" customFormat="1">
      <c r="A85" s="2337"/>
      <c r="D85" s="2338"/>
      <c r="K85" s="796"/>
      <c r="L85" s="796"/>
    </row>
    <row r="86" spans="1:12" s="965" customFormat="1">
      <c r="A86" s="2337"/>
      <c r="D86" s="2338"/>
      <c r="K86" s="796"/>
      <c r="L86" s="796"/>
    </row>
    <row r="87" spans="1:12" s="965" customFormat="1">
      <c r="A87" s="2337"/>
      <c r="D87" s="2338"/>
      <c r="K87" s="796"/>
      <c r="L87" s="796"/>
    </row>
    <row r="88" spans="1:12" s="965" customFormat="1">
      <c r="A88" s="2337"/>
      <c r="D88" s="2338"/>
      <c r="K88" s="796"/>
      <c r="L88" s="796"/>
    </row>
    <row r="89" spans="1:12" s="965" customFormat="1">
      <c r="A89" s="2337"/>
      <c r="D89" s="2338"/>
      <c r="K89" s="796"/>
      <c r="L89" s="796"/>
    </row>
    <row r="90" spans="1:12" s="965" customFormat="1">
      <c r="A90" s="2337"/>
      <c r="D90" s="2338"/>
      <c r="K90" s="796"/>
      <c r="L90" s="796"/>
    </row>
    <row r="91" spans="1:12" s="965" customFormat="1">
      <c r="A91" s="2337"/>
      <c r="D91" s="2338"/>
      <c r="K91" s="796"/>
      <c r="L91" s="796"/>
    </row>
    <row r="92" spans="1:12" s="965" customFormat="1">
      <c r="A92" s="2337"/>
      <c r="D92" s="2338"/>
      <c r="K92" s="796"/>
      <c r="L92" s="796"/>
    </row>
    <row r="93" spans="1:12" s="965" customFormat="1">
      <c r="A93" s="2337"/>
      <c r="D93" s="2338"/>
      <c r="K93" s="796"/>
      <c r="L93" s="796"/>
    </row>
    <row r="94" spans="1:12" s="965" customFormat="1">
      <c r="A94" s="2337"/>
      <c r="D94" s="2338"/>
      <c r="K94" s="796"/>
      <c r="L94" s="796"/>
    </row>
    <row r="95" spans="1:12" s="965" customFormat="1">
      <c r="A95" s="2337"/>
      <c r="D95" s="2338"/>
      <c r="K95" s="796"/>
      <c r="L95" s="796"/>
    </row>
    <row r="96" spans="1:12" s="965" customFormat="1">
      <c r="A96" s="2337"/>
      <c r="D96" s="2338"/>
      <c r="K96" s="796"/>
      <c r="L96" s="796"/>
    </row>
    <row r="97" spans="1:12" s="965" customFormat="1">
      <c r="A97" s="2337"/>
      <c r="D97" s="2338"/>
      <c r="K97" s="796"/>
      <c r="L97" s="796"/>
    </row>
    <row r="98" spans="1:12" s="965" customFormat="1">
      <c r="A98" s="2337"/>
      <c r="D98" s="2338"/>
      <c r="K98" s="796"/>
      <c r="L98" s="796"/>
    </row>
    <row r="99" spans="1:12" s="965" customFormat="1">
      <c r="A99" s="2337"/>
      <c r="D99" s="2338"/>
      <c r="K99" s="796"/>
      <c r="L99" s="796"/>
    </row>
    <row r="100" spans="1:12" s="965" customFormat="1">
      <c r="A100" s="2337"/>
      <c r="D100" s="2338"/>
      <c r="K100" s="796"/>
      <c r="L100" s="796"/>
    </row>
    <row r="101" spans="1:12" s="965" customFormat="1">
      <c r="A101" s="2337"/>
      <c r="D101" s="2338"/>
      <c r="K101" s="796"/>
      <c r="L101" s="796"/>
    </row>
    <row r="102" spans="1:12" s="965" customFormat="1">
      <c r="A102" s="2337"/>
      <c r="D102" s="2338"/>
      <c r="K102" s="796"/>
      <c r="L102" s="796"/>
    </row>
    <row r="103" spans="1:12" s="965" customFormat="1">
      <c r="A103" s="2337"/>
      <c r="D103" s="2338"/>
      <c r="K103" s="796"/>
      <c r="L103" s="796"/>
    </row>
    <row r="104" spans="1:12" s="965" customFormat="1">
      <c r="A104" s="2337"/>
      <c r="D104" s="2338"/>
      <c r="K104" s="796"/>
      <c r="L104" s="796"/>
    </row>
    <row r="105" spans="1:12" s="965" customFormat="1">
      <c r="A105" s="2337"/>
      <c r="D105" s="2338"/>
      <c r="K105" s="796"/>
      <c r="L105" s="796"/>
    </row>
    <row r="106" spans="1:12" s="965" customFormat="1">
      <c r="A106" s="2337"/>
      <c r="D106" s="2338"/>
      <c r="K106" s="796"/>
      <c r="L106" s="796"/>
    </row>
    <row r="107" spans="1:12" s="965" customFormat="1">
      <c r="A107" s="2337"/>
      <c r="D107" s="2338"/>
      <c r="K107" s="796"/>
      <c r="L107" s="796"/>
    </row>
    <row r="108" spans="1:12" s="965" customFormat="1">
      <c r="A108" s="2337"/>
      <c r="D108" s="2338"/>
      <c r="K108" s="796"/>
      <c r="L108" s="796"/>
    </row>
    <row r="109" spans="1:12" s="965" customFormat="1">
      <c r="A109" s="2337"/>
      <c r="D109" s="2338"/>
      <c r="K109" s="796"/>
      <c r="L109" s="796"/>
    </row>
    <row r="110" spans="1:12" s="965" customFormat="1">
      <c r="A110" s="2337"/>
      <c r="D110" s="2338"/>
      <c r="K110" s="796"/>
      <c r="L110" s="796"/>
    </row>
    <row r="111" spans="1:12" s="965" customFormat="1">
      <c r="A111" s="2337"/>
      <c r="D111" s="2338"/>
      <c r="K111" s="796"/>
      <c r="L111" s="796"/>
    </row>
    <row r="112" spans="1:12" s="965" customFormat="1">
      <c r="A112" s="2337"/>
      <c r="D112" s="2338"/>
      <c r="K112" s="796"/>
      <c r="L112" s="796"/>
    </row>
    <row r="113" spans="1:12" s="965" customFormat="1">
      <c r="A113" s="2337"/>
      <c r="D113" s="2338"/>
      <c r="K113" s="796"/>
      <c r="L113" s="796"/>
    </row>
    <row r="114" spans="1:12" s="965" customFormat="1">
      <c r="A114" s="2337"/>
      <c r="D114" s="2338"/>
      <c r="K114" s="796"/>
      <c r="L114" s="796"/>
    </row>
    <row r="115" spans="1:12" s="965" customFormat="1">
      <c r="A115" s="2337"/>
      <c r="D115" s="2338"/>
      <c r="K115" s="796"/>
      <c r="L115" s="796"/>
    </row>
    <row r="116" spans="1:12" s="965" customFormat="1">
      <c r="A116" s="2337"/>
      <c r="D116" s="2338"/>
      <c r="K116" s="796"/>
      <c r="L116" s="796"/>
    </row>
    <row r="117" spans="1:12" s="965" customFormat="1">
      <c r="A117" s="2337"/>
      <c r="D117" s="2338"/>
      <c r="K117" s="796"/>
      <c r="L117" s="796"/>
    </row>
    <row r="118" spans="1:12" s="965" customFormat="1">
      <c r="A118" s="2337"/>
      <c r="D118" s="2338"/>
      <c r="K118" s="796"/>
      <c r="L118" s="796"/>
    </row>
    <row r="119" spans="1:12" s="965" customFormat="1">
      <c r="A119" s="2337"/>
      <c r="D119" s="2338"/>
      <c r="K119" s="796"/>
      <c r="L119" s="796"/>
    </row>
    <row r="120" spans="1:12" s="965" customFormat="1">
      <c r="A120" s="2337"/>
      <c r="D120" s="2338"/>
      <c r="K120" s="796"/>
      <c r="L120" s="796"/>
    </row>
    <row r="121" spans="1:12" s="965" customFormat="1">
      <c r="A121" s="2337"/>
      <c r="D121" s="2338"/>
      <c r="K121" s="796"/>
      <c r="L121" s="796"/>
    </row>
    <row r="122" spans="1:12" s="965" customFormat="1">
      <c r="A122" s="2337"/>
      <c r="D122" s="2338"/>
      <c r="K122" s="796"/>
      <c r="L122" s="796"/>
    </row>
    <row r="123" spans="1:12" s="965" customFormat="1">
      <c r="A123" s="2337"/>
      <c r="D123" s="2338"/>
      <c r="K123" s="796"/>
      <c r="L123" s="796"/>
    </row>
    <row r="124" spans="1:12" s="965" customFormat="1">
      <c r="A124" s="2337"/>
      <c r="D124" s="2338"/>
      <c r="K124" s="796"/>
      <c r="L124" s="796"/>
    </row>
    <row r="125" spans="1:12" s="965" customFormat="1">
      <c r="A125" s="2337"/>
      <c r="D125" s="2338"/>
      <c r="K125" s="796"/>
      <c r="L125" s="796"/>
    </row>
    <row r="126" spans="1:12" s="965" customFormat="1">
      <c r="A126" s="2337"/>
      <c r="D126" s="2338"/>
      <c r="K126" s="796"/>
      <c r="L126" s="796"/>
    </row>
    <row r="127" spans="1:12" s="965" customFormat="1">
      <c r="A127" s="2337"/>
      <c r="D127" s="2338"/>
      <c r="K127" s="796"/>
      <c r="L127" s="796"/>
    </row>
    <row r="128" spans="1:12" s="965" customFormat="1">
      <c r="A128" s="2337"/>
      <c r="D128" s="2338"/>
      <c r="K128" s="796"/>
      <c r="L128" s="796"/>
    </row>
    <row r="129" spans="1:12" s="965" customFormat="1">
      <c r="A129" s="2337"/>
      <c r="D129" s="2338"/>
      <c r="K129" s="796"/>
      <c r="L129" s="796"/>
    </row>
    <row r="130" spans="1:12" s="965" customFormat="1">
      <c r="A130" s="2337"/>
      <c r="D130" s="2338"/>
      <c r="K130" s="796"/>
      <c r="L130" s="796"/>
    </row>
    <row r="131" spans="1:12" s="965" customFormat="1">
      <c r="A131" s="2337"/>
      <c r="D131" s="2338"/>
      <c r="K131" s="796"/>
      <c r="L131" s="796"/>
    </row>
    <row r="132" spans="1:12" s="965" customFormat="1">
      <c r="A132" s="2337"/>
      <c r="D132" s="2338"/>
      <c r="K132" s="796"/>
      <c r="L132" s="796"/>
    </row>
    <row r="133" spans="1:12" s="965" customFormat="1">
      <c r="A133" s="2337"/>
      <c r="D133" s="2338"/>
      <c r="K133" s="796"/>
      <c r="L133" s="796"/>
    </row>
    <row r="134" spans="1:12" s="2270" customFormat="1">
      <c r="A134" s="2339"/>
      <c r="D134" s="2340"/>
      <c r="K134" s="26"/>
      <c r="L134" s="26"/>
    </row>
    <row r="135" spans="1:12" s="2270" customFormat="1">
      <c r="A135" s="2339"/>
      <c r="D135" s="2340"/>
      <c r="K135" s="26"/>
      <c r="L135" s="26"/>
    </row>
    <row r="136" spans="1:12" s="2270" customFormat="1">
      <c r="A136" s="2339"/>
      <c r="D136" s="2340"/>
      <c r="K136" s="26"/>
      <c r="L136" s="26"/>
    </row>
    <row r="137" spans="1:12" s="2270" customFormat="1">
      <c r="A137" s="2339"/>
      <c r="D137" s="2340"/>
      <c r="K137" s="26"/>
      <c r="L137" s="26"/>
    </row>
    <row r="138" spans="1:12" s="2270" customFormat="1">
      <c r="A138" s="2339"/>
      <c r="D138" s="2340"/>
      <c r="K138" s="26"/>
      <c r="L138" s="26"/>
    </row>
    <row r="139" spans="1:12" s="2270" customFormat="1">
      <c r="A139" s="2339"/>
      <c r="D139" s="2340"/>
      <c r="K139" s="26"/>
      <c r="L139" s="26"/>
    </row>
    <row r="140" spans="1:12" s="2270" customFormat="1">
      <c r="A140" s="2339"/>
      <c r="D140" s="2340"/>
      <c r="K140" s="26"/>
      <c r="L140" s="26"/>
    </row>
    <row r="141" spans="1:12" s="2270" customFormat="1">
      <c r="A141" s="2339"/>
      <c r="D141" s="2340"/>
      <c r="K141" s="26"/>
      <c r="L141" s="26"/>
    </row>
    <row r="142" spans="1:12" s="2270" customFormat="1">
      <c r="A142" s="2339"/>
      <c r="D142" s="2340"/>
      <c r="K142" s="26"/>
      <c r="L142" s="26"/>
    </row>
    <row r="143" spans="1:12" s="2270" customFormat="1">
      <c r="A143" s="2339"/>
      <c r="D143" s="2340"/>
      <c r="K143" s="26"/>
      <c r="L143" s="26"/>
    </row>
    <row r="144" spans="1:12" s="2270" customFormat="1">
      <c r="A144" s="2339"/>
      <c r="D144" s="2340"/>
      <c r="K144" s="26"/>
      <c r="L144" s="26"/>
    </row>
    <row r="145" spans="1:12" s="2270" customFormat="1">
      <c r="A145" s="2339"/>
      <c r="D145" s="2340"/>
      <c r="K145" s="26"/>
      <c r="L145" s="26"/>
    </row>
    <row r="146" spans="1:12" s="2270" customFormat="1">
      <c r="A146" s="2339"/>
      <c r="D146" s="2340"/>
      <c r="K146" s="26"/>
      <c r="L146" s="26"/>
    </row>
    <row r="147" spans="1:12" s="2270" customFormat="1">
      <c r="A147" s="2339"/>
      <c r="D147" s="2340"/>
      <c r="K147" s="26"/>
      <c r="L147" s="26"/>
    </row>
    <row r="148" spans="1:12" s="2270" customFormat="1">
      <c r="A148" s="2339"/>
      <c r="D148" s="2340"/>
      <c r="K148" s="26"/>
      <c r="L148" s="26"/>
    </row>
    <row r="149" spans="1:12" s="2270" customFormat="1">
      <c r="A149" s="2339"/>
      <c r="D149" s="2340"/>
      <c r="K149" s="26"/>
      <c r="L149" s="26"/>
    </row>
    <row r="150" spans="1:12" s="2270" customFormat="1">
      <c r="A150" s="2339"/>
      <c r="D150" s="2340"/>
      <c r="K150" s="26"/>
      <c r="L150" s="26"/>
    </row>
    <row r="151" spans="1:12" s="2270" customFormat="1">
      <c r="A151" s="2339"/>
      <c r="D151" s="2340"/>
      <c r="K151" s="26"/>
      <c r="L151" s="26"/>
    </row>
    <row r="152" spans="1:12" s="2270" customFormat="1">
      <c r="A152" s="2339"/>
      <c r="D152" s="2340"/>
      <c r="K152" s="26"/>
      <c r="L152" s="26"/>
    </row>
    <row r="153" spans="1:12" s="2270" customFormat="1">
      <c r="A153" s="2339"/>
      <c r="D153" s="2340"/>
      <c r="K153" s="26"/>
      <c r="L153" s="26"/>
    </row>
    <row r="154" spans="1:12" s="2270" customFormat="1">
      <c r="A154" s="2339"/>
      <c r="D154" s="2340"/>
      <c r="K154" s="26"/>
      <c r="L154" s="26"/>
    </row>
    <row r="155" spans="1:12" s="2270" customFormat="1">
      <c r="A155" s="2339"/>
      <c r="D155" s="2340"/>
      <c r="K155" s="26"/>
      <c r="L155" s="26"/>
    </row>
    <row r="156" spans="1:12" s="2270" customFormat="1">
      <c r="A156" s="2339"/>
      <c r="D156" s="2340"/>
      <c r="K156" s="26"/>
      <c r="L156" s="26"/>
    </row>
    <row r="157" spans="1:12" s="2270" customFormat="1">
      <c r="A157" s="2339"/>
      <c r="D157" s="2340"/>
      <c r="K157" s="26"/>
      <c r="L157" s="26"/>
    </row>
    <row r="158" spans="1:12" s="2270" customFormat="1">
      <c r="A158" s="2339"/>
      <c r="D158" s="2340"/>
      <c r="K158" s="26"/>
      <c r="L158" s="26"/>
    </row>
    <row r="159" spans="1:12" s="2270" customFormat="1">
      <c r="A159" s="2339"/>
      <c r="D159" s="2340"/>
      <c r="K159" s="26"/>
      <c r="L159" s="26"/>
    </row>
    <row r="160" spans="1:12" s="2270" customFormat="1">
      <c r="A160" s="2339"/>
      <c r="D160" s="2340"/>
      <c r="K160" s="26"/>
      <c r="L160" s="26"/>
    </row>
    <row r="161" spans="1:12" s="2270" customFormat="1">
      <c r="A161" s="2339"/>
      <c r="D161" s="2340"/>
      <c r="K161" s="26"/>
      <c r="L161" s="26"/>
    </row>
    <row r="162" spans="1:12" s="2270" customFormat="1">
      <c r="A162" s="2339"/>
      <c r="D162" s="2340"/>
      <c r="K162" s="26"/>
      <c r="L162" s="26"/>
    </row>
    <row r="163" spans="1:12" s="2270" customFormat="1">
      <c r="A163" s="2339"/>
      <c r="D163" s="2340"/>
      <c r="K163" s="26"/>
      <c r="L163" s="26"/>
    </row>
    <row r="164" spans="1:12" s="2270" customFormat="1">
      <c r="A164" s="2339"/>
      <c r="D164" s="2340"/>
      <c r="K164" s="26"/>
      <c r="L164" s="26"/>
    </row>
    <row r="165" spans="1:12" s="2270" customFormat="1">
      <c r="A165" s="2339"/>
      <c r="D165" s="2340"/>
      <c r="K165" s="26"/>
      <c r="L165" s="26"/>
    </row>
    <row r="166" spans="1:12" s="2270" customFormat="1">
      <c r="A166" s="2339"/>
      <c r="D166" s="2340"/>
      <c r="K166" s="26"/>
      <c r="L166" s="26"/>
    </row>
    <row r="167" spans="1:12" s="2270" customFormat="1">
      <c r="A167" s="2339"/>
      <c r="D167" s="2340"/>
      <c r="K167" s="26"/>
      <c r="L167" s="26"/>
    </row>
    <row r="168" spans="1:12" s="2270" customFormat="1">
      <c r="A168" s="2339"/>
      <c r="D168" s="2340"/>
      <c r="K168" s="26"/>
      <c r="L168" s="26"/>
    </row>
    <row r="169" spans="1:12" s="2270" customFormat="1">
      <c r="A169" s="2339"/>
      <c r="D169" s="2340"/>
      <c r="K169" s="26"/>
      <c r="L169" s="26"/>
    </row>
    <row r="170" spans="1:12" s="2270" customFormat="1">
      <c r="A170" s="2339"/>
      <c r="D170" s="2340"/>
      <c r="K170" s="26"/>
      <c r="L170" s="26"/>
    </row>
    <row r="171" spans="1:12" s="2270" customFormat="1">
      <c r="A171" s="2339"/>
      <c r="D171" s="2340"/>
      <c r="K171" s="26"/>
      <c r="L171" s="26"/>
    </row>
    <row r="172" spans="1:12" s="2270" customFormat="1">
      <c r="A172" s="2339"/>
      <c r="D172" s="2340"/>
      <c r="K172" s="26"/>
      <c r="L172" s="26"/>
    </row>
    <row r="173" spans="1:12" s="2270" customFormat="1">
      <c r="A173" s="2339"/>
      <c r="D173" s="2340"/>
      <c r="K173" s="26"/>
      <c r="L173" s="26"/>
    </row>
    <row r="174" spans="1:12" s="2270" customFormat="1">
      <c r="A174" s="2339"/>
      <c r="D174" s="2340"/>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2" t="s">
        <v>2085</v>
      </c>
      <c r="B1" s="3063"/>
      <c r="C1" s="3063"/>
      <c r="D1" s="3063"/>
      <c r="E1" s="3063"/>
      <c r="F1" s="3063"/>
      <c r="G1" s="306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2086</v>
      </c>
      <c r="D2" s="2362"/>
      <c r="E2" s="2363"/>
      <c r="F2" s="2282"/>
      <c r="G2" s="2361" t="s">
        <v>2087</v>
      </c>
      <c r="H2" s="2364"/>
      <c r="I2" s="2364"/>
      <c r="J2" s="2364"/>
      <c r="K2" s="2364"/>
      <c r="L2" s="2364"/>
      <c r="M2" s="2364"/>
      <c r="N2" s="2364"/>
      <c r="O2" s="2364"/>
      <c r="P2" s="2364"/>
      <c r="Q2" s="2364"/>
      <c r="R2" s="2364"/>
    </row>
    <row r="3" spans="1:29" ht="54">
      <c r="A3" s="414" t="s">
        <v>2088</v>
      </c>
      <c r="B3" s="1268" t="s">
        <v>2089</v>
      </c>
      <c r="C3" s="2366" t="s">
        <v>2090</v>
      </c>
      <c r="D3" s="2367"/>
      <c r="E3" s="430" t="s">
        <v>2088</v>
      </c>
      <c r="F3" s="2368" t="s">
        <v>2091</v>
      </c>
      <c r="G3" s="2369" t="s">
        <v>2092</v>
      </c>
      <c r="H3" s="2364"/>
      <c r="I3" s="2364"/>
      <c r="J3" s="2364"/>
      <c r="K3" s="2364"/>
      <c r="L3" s="2364"/>
      <c r="M3" s="2364"/>
      <c r="N3" s="2364"/>
      <c r="O3" s="2364"/>
      <c r="P3" s="2364"/>
      <c r="Q3" s="2364"/>
      <c r="R3" s="2364"/>
    </row>
    <row r="4" spans="1:29" ht="41.25">
      <c r="A4" s="430"/>
      <c r="B4" s="1795" t="s">
        <v>2093</v>
      </c>
      <c r="C4" s="2370" t="s">
        <v>2094</v>
      </c>
      <c r="D4" s="2367"/>
      <c r="E4" s="2371"/>
      <c r="F4" s="41" t="s">
        <v>2095</v>
      </c>
      <c r="G4" s="2372" t="s">
        <v>2096</v>
      </c>
      <c r="H4" s="2364"/>
      <c r="I4" s="2364"/>
      <c r="J4" s="2364"/>
      <c r="K4" s="2364"/>
      <c r="L4" s="2364"/>
      <c r="M4" s="2364"/>
      <c r="N4" s="2364"/>
      <c r="O4" s="2364"/>
      <c r="P4" s="2364"/>
      <c r="Q4" s="2364"/>
      <c r="R4" s="2364"/>
    </row>
    <row r="5" spans="1:29" ht="41.25">
      <c r="A5" s="430"/>
      <c r="B5" s="1795" t="s">
        <v>2097</v>
      </c>
      <c r="C5" s="2370" t="s">
        <v>2098</v>
      </c>
      <c r="D5" s="2367"/>
      <c r="E5" s="2371"/>
      <c r="F5" s="1795" t="s">
        <v>2099</v>
      </c>
      <c r="G5" s="2372" t="s">
        <v>2100</v>
      </c>
      <c r="H5" s="2364"/>
      <c r="I5" s="2364"/>
      <c r="J5" s="2364"/>
      <c r="K5" s="2364"/>
      <c r="L5" s="2364"/>
      <c r="M5" s="2364"/>
      <c r="N5" s="2364"/>
      <c r="O5" s="2364"/>
      <c r="P5" s="2364"/>
      <c r="Q5" s="2364"/>
      <c r="R5" s="2364"/>
    </row>
    <row r="6" spans="1:29" ht="54">
      <c r="A6" s="430"/>
      <c r="B6" s="1795" t="s">
        <v>2101</v>
      </c>
      <c r="C6" s="2372" t="s">
        <v>2096</v>
      </c>
      <c r="D6" s="2367"/>
      <c r="E6" s="2371"/>
      <c r="F6" s="1795" t="s">
        <v>2102</v>
      </c>
      <c r="G6" s="2372" t="s">
        <v>2103</v>
      </c>
      <c r="H6" s="2364"/>
      <c r="I6" s="2364"/>
      <c r="J6" s="2364"/>
      <c r="K6" s="2364"/>
      <c r="L6" s="2364"/>
      <c r="M6" s="2364"/>
      <c r="N6" s="2364"/>
      <c r="O6" s="2364"/>
      <c r="P6" s="2364"/>
      <c r="Q6" s="2364"/>
      <c r="R6" s="2364"/>
    </row>
    <row r="7" spans="1:29" ht="41.25" thickBot="1">
      <c r="A7" s="430"/>
      <c r="B7" s="1795" t="s">
        <v>2099</v>
      </c>
      <c r="C7" s="2372" t="s">
        <v>2100</v>
      </c>
      <c r="D7" s="2373"/>
      <c r="E7" s="2374"/>
      <c r="F7" s="2375" t="s">
        <v>2104</v>
      </c>
      <c r="G7" s="2376" t="s">
        <v>2105</v>
      </c>
      <c r="H7" s="2364"/>
      <c r="I7" s="2364"/>
      <c r="J7" s="2364"/>
      <c r="K7" s="2364"/>
      <c r="L7" s="2364"/>
      <c r="M7" s="2364"/>
      <c r="N7" s="2364"/>
      <c r="O7" s="2364"/>
      <c r="P7" s="2364"/>
      <c r="Q7" s="2364"/>
      <c r="R7" s="2364"/>
    </row>
    <row r="8" spans="1:29" ht="27">
      <c r="A8" s="430"/>
      <c r="B8" s="1795" t="s">
        <v>2102</v>
      </c>
      <c r="C8" s="2372" t="s">
        <v>2103</v>
      </c>
      <c r="D8" s="2373"/>
      <c r="E8" s="2373"/>
      <c r="F8" s="1134"/>
      <c r="G8" s="1134"/>
      <c r="H8" s="2364"/>
      <c r="I8" s="2364"/>
      <c r="J8" s="2364"/>
      <c r="K8" s="2364"/>
      <c r="L8" s="2364"/>
      <c r="M8" s="2364"/>
      <c r="N8" s="2364"/>
      <c r="O8" s="2364"/>
      <c r="P8" s="2364"/>
      <c r="Q8" s="2364"/>
      <c r="R8" s="2364"/>
    </row>
    <row r="9" spans="1:29" ht="27">
      <c r="A9" s="430"/>
      <c r="B9" s="1795" t="s">
        <v>2106</v>
      </c>
      <c r="C9" s="2370" t="s">
        <v>2107</v>
      </c>
      <c r="D9" s="2367"/>
      <c r="E9" s="2373"/>
      <c r="F9" s="1134"/>
      <c r="G9" s="1134"/>
      <c r="H9" s="2364"/>
      <c r="I9" s="2364"/>
      <c r="J9" s="2364"/>
      <c r="K9" s="2364"/>
      <c r="L9" s="2364"/>
      <c r="M9" s="2364"/>
      <c r="N9" s="2364"/>
      <c r="O9" s="2364"/>
      <c r="P9" s="2364"/>
      <c r="Q9" s="2364"/>
      <c r="R9" s="2364"/>
    </row>
    <row r="10" spans="1:29" s="116" customFormat="1" ht="15.75" thickBot="1">
      <c r="A10" s="2377"/>
      <c r="B10" s="2378" t="s">
        <v>2108</v>
      </c>
      <c r="C10" s="2379"/>
      <c r="D10" s="2367"/>
      <c r="E10" s="2367"/>
      <c r="F10" s="1134"/>
      <c r="G10" s="1134"/>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52"/>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2"/>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2109</v>
      </c>
      <c r="B13" s="2384"/>
      <c r="C13" s="2384"/>
      <c r="D13" s="2391"/>
      <c r="E13" s="2384"/>
      <c r="F13" s="2384"/>
      <c r="G13" s="2384"/>
    </row>
    <row r="14" spans="1:29" ht="15.75" thickBot="1">
      <c r="A14" s="2395"/>
      <c r="B14" s="2396"/>
      <c r="C14" s="2397" t="s">
        <v>2110</v>
      </c>
      <c r="D14" s="2367"/>
      <c r="E14" s="2398"/>
      <c r="F14" s="2398"/>
      <c r="G14" s="2361" t="s">
        <v>2111</v>
      </c>
    </row>
    <row r="15" spans="1:29" ht="57">
      <c r="A15" s="67" t="s">
        <v>2112</v>
      </c>
      <c r="B15" s="1267" t="s">
        <v>2089</v>
      </c>
      <c r="C15" s="2399" t="str">
        <f>C3</f>
        <v>估价对象周边居住用地比例、居住小区规模和社区发展完善程度，综合评价居住社区成熟度一般</v>
      </c>
      <c r="D15" s="2367"/>
      <c r="E15" s="2400" t="s">
        <v>2113</v>
      </c>
      <c r="F15" s="1267" t="s">
        <v>2114</v>
      </c>
      <c r="G15" s="134" t="str">
        <f>G3</f>
        <v>估价对象位于XX开发区，园区建设成熟度XX，产业集聚程度XX</v>
      </c>
    </row>
    <row r="16" spans="1:29" ht="42.75">
      <c r="A16" s="644"/>
      <c r="B16" s="2401" t="s">
        <v>2093</v>
      </c>
      <c r="C16" s="2402" t="str">
        <f>C4</f>
        <v>估价对象位于XX商圈，周边商业氛围成熟，人流量大，商业繁华度好</v>
      </c>
      <c r="D16" s="2367"/>
      <c r="E16" s="2403"/>
      <c r="F16" s="2404" t="s">
        <v>2095</v>
      </c>
      <c r="G16" s="135" t="str">
        <f>G4</f>
        <v>估价对象周边道路状况、公共交通通达情况、停车便捷程度，综合评价交通便捷度较好</v>
      </c>
    </row>
    <row r="17" spans="1:18" ht="42.75">
      <c r="A17" s="644"/>
      <c r="B17" s="2401" t="s">
        <v>2097</v>
      </c>
      <c r="C17" s="2402" t="str">
        <f>C5</f>
        <v>估价对象位于XX商圈，周边办公楼项目较多，入驻率高，办公集聚程度较好</v>
      </c>
      <c r="D17" s="2373"/>
      <c r="E17" s="2403"/>
      <c r="F17" s="2404" t="s">
        <v>2115</v>
      </c>
      <c r="G17" s="1569"/>
    </row>
    <row r="18" spans="1:18" ht="57">
      <c r="A18" s="644"/>
      <c r="B18" s="2404" t="s">
        <v>2101</v>
      </c>
      <c r="C18" s="135" t="str">
        <f>C6</f>
        <v>估价对象周边道路状况、公共交通通达情况、停车便捷程度，综合评价交通便捷度较好</v>
      </c>
      <c r="D18" s="2373"/>
      <c r="E18" s="2403"/>
      <c r="F18" s="2404" t="s">
        <v>2104</v>
      </c>
      <c r="G18" s="135" t="str">
        <f>G7</f>
        <v>该园区内是否有污染型企业，绿化情况，卫生条件，整体环境状况判断</v>
      </c>
    </row>
    <row r="19" spans="1:18" ht="28.5">
      <c r="A19" s="644"/>
      <c r="B19" s="2404" t="s">
        <v>2116</v>
      </c>
      <c r="C19" s="1569"/>
      <c r="D19" s="2367"/>
      <c r="E19" s="2403"/>
      <c r="F19" s="1795" t="s">
        <v>2099</v>
      </c>
      <c r="G19" s="135" t="str">
        <f>G5</f>
        <v>估价对象所在区域公共配套设施齐备情况</v>
      </c>
    </row>
    <row r="20" spans="1:18" ht="28.5">
      <c r="A20" s="644"/>
      <c r="B20" s="2404" t="s">
        <v>2117</v>
      </c>
      <c r="C20" s="2402" t="str">
        <f>C9</f>
        <v>区域自然环境：；人文环境；综合评价环境状况一般</v>
      </c>
      <c r="D20" s="2373"/>
      <c r="E20" s="2403"/>
      <c r="F20" s="1795" t="s">
        <v>2118</v>
      </c>
      <c r="G20" s="135" t="str">
        <f>G6</f>
        <v>估价对象所在区域基础设施水平</v>
      </c>
    </row>
    <row r="21" spans="1:18" ht="28.5">
      <c r="A21" s="644"/>
      <c r="B21" s="1795" t="s">
        <v>2099</v>
      </c>
      <c r="C21" s="135" t="str">
        <f>C7</f>
        <v>估价对象所在区域公共配套设施齐备情况</v>
      </c>
      <c r="D21" s="2367"/>
      <c r="E21" s="2403"/>
      <c r="F21" s="2404" t="s">
        <v>2119</v>
      </c>
      <c r="G21" s="2405"/>
    </row>
    <row r="22" spans="1:18" ht="13.5" customHeight="1">
      <c r="A22" s="644"/>
      <c r="B22" s="1795" t="s">
        <v>2102</v>
      </c>
      <c r="C22" s="135" t="str">
        <f>C8</f>
        <v>估价对象所在区域基础设施水平</v>
      </c>
      <c r="D22" s="2367"/>
      <c r="E22" s="2403"/>
      <c r="F22" s="2404" t="s">
        <v>2108</v>
      </c>
      <c r="G22" s="1569"/>
    </row>
    <row r="23" spans="1:18" s="2364" customFormat="1" ht="15.75" thickBot="1">
      <c r="A23" s="644"/>
      <c r="B23" s="2404" t="s">
        <v>2119</v>
      </c>
      <c r="C23" s="2405"/>
      <c r="D23" s="2392"/>
      <c r="E23" s="2406"/>
      <c r="F23" s="2407" t="s">
        <v>2120</v>
      </c>
      <c r="G23" s="2408"/>
      <c r="H23" s="2392"/>
      <c r="I23" s="2393"/>
      <c r="J23" s="2392"/>
      <c r="K23" s="2392"/>
      <c r="L23" s="2393"/>
      <c r="M23" s="2392"/>
      <c r="N23" s="2392"/>
      <c r="O23" s="2393"/>
      <c r="P23" s="2392"/>
      <c r="Q23" s="2392"/>
      <c r="R23" s="2394"/>
    </row>
    <row r="24" spans="1:18" s="2364" customFormat="1" ht="15.75" thickBot="1">
      <c r="A24" s="2409"/>
      <c r="B24" s="2407" t="s">
        <v>2121</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9" sqref="E29"/>
    </sheetView>
  </sheetViews>
  <sheetFormatPr defaultRowHeight="13.5"/>
  <cols>
    <col min="1" max="1" width="23.375" style="1738" customWidth="1"/>
    <col min="2" max="9" width="15.75" style="1738" customWidth="1"/>
    <col min="10" max="16384" width="9" style="1738"/>
  </cols>
  <sheetData>
    <row r="1" spans="1:10" ht="16.5">
      <c r="A1" s="1743" t="s">
        <v>1365</v>
      </c>
      <c r="B1" s="1743">
        <f>SUM(B14:B23)</f>
        <v>10946.920000000013</v>
      </c>
      <c r="C1" s="1742"/>
      <c r="D1" s="1742"/>
      <c r="E1" s="1742"/>
      <c r="F1" s="1742"/>
      <c r="G1" s="1740"/>
    </row>
    <row r="2" spans="1:10" ht="16.5">
      <c r="A2" s="1743" t="s">
        <v>1353</v>
      </c>
      <c r="B2" s="1743">
        <f>SUM(C14:C23)</f>
        <v>589.57000000000016</v>
      </c>
      <c r="C2" s="1742"/>
      <c r="D2" s="1742"/>
      <c r="E2" s="1742"/>
      <c r="F2" s="1742"/>
      <c r="G2" s="1740"/>
    </row>
    <row r="3" spans="1:10" ht="16.5">
      <c r="A3" s="1743" t="s">
        <v>1362</v>
      </c>
      <c r="B3" s="1744">
        <f>项目基本情况!D3</f>
        <v>43432</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18408</v>
      </c>
      <c r="C5" s="1743">
        <f ca="1">ROUND(B5*10000/$B$1,0)</f>
        <v>16816</v>
      </c>
      <c r="D5" s="1743">
        <f ca="1">ROUND(B5*10000/$B$2,0)</f>
        <v>312228</v>
      </c>
      <c r="E5" s="1742"/>
      <c r="F5" s="1740"/>
      <c r="G5" s="1740"/>
    </row>
    <row r="6" spans="1:10" ht="16.5">
      <c r="A6" s="1743" t="s">
        <v>1356</v>
      </c>
      <c r="B6" s="1743">
        <f ca="1">SUM(G14:G23)</f>
        <v>18408</v>
      </c>
      <c r="C6" s="1743">
        <f ca="1">ROUND(B6*10000/$B$1,0)</f>
        <v>16816</v>
      </c>
      <c r="D6" s="1743">
        <f ca="1">ROUND(B6*10000/$B$2,0)</f>
        <v>312228</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1368.3300000000163</v>
      </c>
      <c r="C14" s="1741">
        <f>结果表!C118</f>
        <v>73.69</v>
      </c>
      <c r="D14" s="1741">
        <f ca="1">结果表!H118</f>
        <v>2301</v>
      </c>
      <c r="E14" s="1741">
        <f ca="1">ROUND(D14*10000/B14,0)</f>
        <v>16816</v>
      </c>
      <c r="F14" s="1741">
        <f ca="1">ROUND(D14*10000/C14,0)</f>
        <v>312254</v>
      </c>
      <c r="G14" s="1741">
        <f ca="1">结果表!D122</f>
        <v>2301</v>
      </c>
      <c r="H14" s="1741" t="str">
        <f>结果表!D124</f>
        <v>——</v>
      </c>
      <c r="I14" s="1741" t="str">
        <f>结果表!D126</f>
        <v>——</v>
      </c>
      <c r="J14" s="1740"/>
    </row>
    <row r="15" spans="1:10" ht="16.5">
      <c r="A15" s="1739" t="s">
        <v>1349</v>
      </c>
      <c r="B15" s="1746">
        <f>典型户型修正!B22-典型户型修正!B24</f>
        <v>9578.5899999999965</v>
      </c>
      <c r="C15" s="1746">
        <f>Sheet1!F5-系统读取表!C14</f>
        <v>515.88000000000011</v>
      </c>
      <c r="D15" s="1746">
        <f ca="1">典型户型修正!S22-典型户型修正!S24</f>
        <v>16107</v>
      </c>
      <c r="E15" s="1741">
        <f t="shared" ref="E15:E23" ca="1" si="0">ROUND(D15*10000/B15,0)</f>
        <v>16816</v>
      </c>
      <c r="F15" s="1741">
        <f t="shared" ref="F15:F23" ca="1" si="1">ROUND(D15*10000/C15,0)</f>
        <v>312224</v>
      </c>
      <c r="G15" s="1747">
        <f ca="1">D15</f>
        <v>16107</v>
      </c>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1" zoomScaleNormal="100" zoomScaleSheetLayoutView="100" zoomScalePageLayoutView="80" workbookViewId="0">
      <selection activeCell="E109" sqref="E109:F110"/>
    </sheetView>
  </sheetViews>
  <sheetFormatPr defaultColWidth="12.625" defaultRowHeight="21.75" customHeight="1"/>
  <cols>
    <col min="1" max="2" width="12.625" style="2421"/>
    <col min="3" max="4" width="12.625" style="2421" customWidth="1"/>
    <col min="5" max="9" width="12.625" style="2421"/>
    <col min="10" max="11" width="12.625" style="793" customWidth="1"/>
    <col min="12" max="12" width="12.625" style="793"/>
    <col min="13" max="13" width="14.125" style="793" bestFit="1" customWidth="1"/>
    <col min="14" max="26" width="12.625" style="793"/>
    <col min="27" max="35" width="12.625" style="2420"/>
    <col min="36" max="16384" width="12.625" style="2421"/>
  </cols>
  <sheetData>
    <row r="1" spans="1:12" ht="21.75" customHeight="1" thickBot="1">
      <c r="A1" s="2221" t="s">
        <v>2122</v>
      </c>
      <c r="B1" s="2415"/>
      <c r="C1" s="2416"/>
      <c r="D1" s="2415"/>
      <c r="E1" s="2415"/>
      <c r="F1" s="2417" t="s">
        <v>2123</v>
      </c>
      <c r="G1" s="2067" t="s">
        <v>3111</v>
      </c>
      <c r="H1" s="2418" t="str">
        <f>IF(G1="现房","——","估价对象范围")</f>
        <v>——</v>
      </c>
      <c r="I1" s="2419"/>
    </row>
    <row r="2" spans="1:12" ht="21.75" customHeight="1" thickBot="1">
      <c r="A2" s="3136" t="str">
        <f>项目基本情况!S2</f>
        <v>湖北省武汉市江岸区解放大道与张公堤路交叉口处房地产</v>
      </c>
      <c r="B2" s="3137"/>
      <c r="C2" s="3137"/>
      <c r="D2" s="3137"/>
      <c r="E2" s="3137"/>
      <c r="F2" s="3137"/>
      <c r="G2" s="3137"/>
      <c r="H2" s="3137"/>
      <c r="I2" s="3138"/>
    </row>
    <row r="3" spans="1:12" ht="12.75">
      <c r="A3" s="3139" t="s">
        <v>2124</v>
      </c>
      <c r="B3" s="3140"/>
      <c r="C3" s="3140"/>
      <c r="D3" s="3140"/>
      <c r="E3" s="3140"/>
      <c r="F3" s="3140"/>
      <c r="G3" s="3140"/>
      <c r="H3" s="3140"/>
      <c r="I3" s="3140"/>
    </row>
    <row r="4" spans="1:12" ht="14.25">
      <c r="A4" s="2422" t="s">
        <v>2125</v>
      </c>
      <c r="B4" s="2423" t="s">
        <v>2126</v>
      </c>
      <c r="C4" s="2424" t="s">
        <v>3112</v>
      </c>
      <c r="D4" s="2424" t="s">
        <v>3065</v>
      </c>
      <c r="E4" s="3120" t="s">
        <v>2127</v>
      </c>
      <c r="F4" s="3133"/>
      <c r="G4" s="3133"/>
      <c r="H4" s="3133"/>
      <c r="I4" s="3121"/>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11" t="s">
        <v>2128</v>
      </c>
      <c r="B5" s="3037">
        <v>25</v>
      </c>
      <c r="C5" s="3141"/>
      <c r="D5" s="3129"/>
      <c r="E5" s="139" t="s">
        <v>2129</v>
      </c>
      <c r="F5" s="2426"/>
      <c r="G5" s="2426"/>
      <c r="H5" s="2426"/>
      <c r="I5" s="1831"/>
    </row>
    <row r="6" spans="1:12" ht="12.75">
      <c r="A6" s="3111"/>
      <c r="B6" s="3037"/>
      <c r="C6" s="3143"/>
      <c r="D6" s="3129"/>
      <c r="E6" s="139" t="s">
        <v>2130</v>
      </c>
      <c r="F6" s="2426"/>
      <c r="G6" s="2426"/>
      <c r="H6" s="2426"/>
      <c r="I6" s="1831"/>
    </row>
    <row r="7" spans="1:12" ht="12.75">
      <c r="A7" s="3111"/>
      <c r="B7" s="3037"/>
      <c r="C7" s="3142"/>
      <c r="D7" s="3129"/>
      <c r="E7" s="139" t="s">
        <v>2131</v>
      </c>
      <c r="F7" s="2426"/>
      <c r="G7" s="2426"/>
      <c r="H7" s="2426"/>
      <c r="I7" s="1831"/>
    </row>
    <row r="8" spans="1:12" ht="12.75">
      <c r="A8" s="3111" t="s">
        <v>2132</v>
      </c>
      <c r="B8" s="3037">
        <v>15</v>
      </c>
      <c r="C8" s="3141"/>
      <c r="D8" s="3129"/>
      <c r="E8" s="139" t="s">
        <v>2133</v>
      </c>
      <c r="F8" s="2426"/>
      <c r="G8" s="2426"/>
      <c r="H8" s="2426"/>
      <c r="I8" s="1831"/>
    </row>
    <row r="9" spans="1:12" ht="12.75">
      <c r="A9" s="3111"/>
      <c r="B9" s="3037"/>
      <c r="C9" s="3142"/>
      <c r="D9" s="3129"/>
      <c r="E9" s="139" t="s">
        <v>2134</v>
      </c>
      <c r="F9" s="2426"/>
      <c r="G9" s="2426"/>
      <c r="H9" s="2426"/>
      <c r="I9" s="1831"/>
    </row>
    <row r="10" spans="1:12" ht="12.75">
      <c r="A10" s="3111" t="s">
        <v>2135</v>
      </c>
      <c r="B10" s="3037">
        <v>15</v>
      </c>
      <c r="C10" s="3141"/>
      <c r="D10" s="3129"/>
      <c r="E10" s="139" t="s">
        <v>2136</v>
      </c>
      <c r="F10" s="2426"/>
      <c r="G10" s="2426"/>
      <c r="H10" s="2426"/>
      <c r="I10" s="1831"/>
    </row>
    <row r="11" spans="1:12" ht="12.75">
      <c r="A11" s="3111"/>
      <c r="B11" s="3037"/>
      <c r="C11" s="3142"/>
      <c r="D11" s="3129"/>
      <c r="E11" s="139" t="s">
        <v>2137</v>
      </c>
      <c r="F11" s="2426"/>
      <c r="G11" s="2426"/>
      <c r="H11" s="2426"/>
      <c r="I11" s="1831"/>
    </row>
    <row r="12" spans="1:12" ht="12.75">
      <c r="A12" s="3111" t="s">
        <v>2138</v>
      </c>
      <c r="B12" s="3037">
        <v>15</v>
      </c>
      <c r="C12" s="3141"/>
      <c r="D12" s="3129"/>
      <c r="E12" s="139" t="s">
        <v>2139</v>
      </c>
      <c r="F12" s="2426"/>
      <c r="G12" s="2426"/>
      <c r="H12" s="2426"/>
      <c r="I12" s="1831"/>
    </row>
    <row r="13" spans="1:12" ht="12.75">
      <c r="A13" s="3111"/>
      <c r="B13" s="3037"/>
      <c r="C13" s="3142"/>
      <c r="D13" s="3129"/>
      <c r="E13" s="139" t="s">
        <v>2140</v>
      </c>
      <c r="F13" s="2426"/>
      <c r="G13" s="2426"/>
      <c r="H13" s="2426"/>
      <c r="I13" s="1831"/>
    </row>
    <row r="14" spans="1:12" ht="12.75">
      <c r="A14" s="3111" t="s">
        <v>2141</v>
      </c>
      <c r="B14" s="3037">
        <v>30</v>
      </c>
      <c r="C14" s="3141">
        <v>6</v>
      </c>
      <c r="D14" s="3129">
        <v>4</v>
      </c>
      <c r="E14" s="139" t="s">
        <v>2142</v>
      </c>
      <c r="F14" s="2426"/>
      <c r="G14" s="2426"/>
      <c r="H14" s="2426"/>
      <c r="I14" s="1831"/>
    </row>
    <row r="15" spans="1:12" ht="12.75">
      <c r="A15" s="3111"/>
      <c r="B15" s="3037"/>
      <c r="C15" s="3143"/>
      <c r="D15" s="3129"/>
      <c r="E15" s="139" t="s">
        <v>2143</v>
      </c>
      <c r="F15" s="2426"/>
      <c r="G15" s="2426"/>
      <c r="H15" s="2426"/>
      <c r="I15" s="1831"/>
    </row>
    <row r="16" spans="1:12" ht="12.75">
      <c r="A16" s="3111"/>
      <c r="B16" s="3037"/>
      <c r="C16" s="3142"/>
      <c r="D16" s="3129"/>
      <c r="E16" s="139" t="s">
        <v>2144</v>
      </c>
      <c r="F16" s="2426"/>
      <c r="G16" s="2426"/>
      <c r="H16" s="2426"/>
      <c r="I16" s="1831"/>
    </row>
    <row r="17" spans="1:35" ht="15">
      <c r="A17" s="2427" t="s">
        <v>2145</v>
      </c>
      <c r="B17" s="63"/>
      <c r="C17" s="140">
        <f>SUM(C5:C16)</f>
        <v>6</v>
      </c>
      <c r="D17" s="140">
        <f>SUM(D5:D16)</f>
        <v>4</v>
      </c>
      <c r="E17" s="137"/>
      <c r="F17" s="137"/>
      <c r="G17" s="137"/>
      <c r="H17" s="137"/>
      <c r="I17" s="137"/>
      <c r="K17" s="2425"/>
      <c r="L17" s="2428" t="s">
        <v>2146</v>
      </c>
      <c r="M17" s="2428" t="s">
        <v>2147</v>
      </c>
    </row>
    <row r="18" spans="1:35" ht="15.75" thickBot="1">
      <c r="A18" s="2429" t="s">
        <v>2148</v>
      </c>
      <c r="B18" s="2430"/>
      <c r="C18" s="141">
        <f>ROUND(C17/SUM(C17:D17),2)</f>
        <v>0.6</v>
      </c>
      <c r="D18" s="141">
        <f>1-C18</f>
        <v>0.4</v>
      </c>
      <c r="E18" s="137"/>
      <c r="F18" s="137"/>
      <c r="G18" s="137"/>
      <c r="H18" s="137"/>
      <c r="I18" s="137"/>
      <c r="K18" s="2425" t="s">
        <v>2149</v>
      </c>
      <c r="L18" s="2425">
        <f>IF(C1="",'数据-汇总表'!E3,SUMIF(项目类型,C1,'数据-汇总表'!E17:E26)+SUMIF(项目类型,C1,'数据-汇总表'!I17:I26))</f>
        <v>1368.3300000000163</v>
      </c>
      <c r="M18" s="2425">
        <f>IF(C1="",'数据-汇总表'!E3,SUMIF(项目类型,C1,'数据-汇总表'!E17:E26))</f>
        <v>1368.3300000000163</v>
      </c>
    </row>
    <row r="19" spans="1:35" ht="15">
      <c r="A19" s="2431" t="s">
        <v>2150</v>
      </c>
      <c r="B19" s="2432" t="s">
        <v>2151</v>
      </c>
      <c r="C19" s="142">
        <f ca="1">SUMIF(INDIRECT("'"&amp;C4&amp;"'"&amp;"!A:A"),结果表!B19,INDIRECT("'"&amp;C4&amp;"'"&amp;"!B:B"))</f>
        <v>2559</v>
      </c>
      <c r="D19" s="143">
        <f ca="1">SUMIF(INDIRECT("'"&amp;D4&amp;"'"&amp;"!A:A"),结果表!B19,INDIRECT("'"&amp;D4&amp;"'"&amp;"!B:B"))</f>
        <v>1914</v>
      </c>
      <c r="E19" s="2431" t="s">
        <v>2152</v>
      </c>
      <c r="F19" s="2432" t="s">
        <v>2151</v>
      </c>
      <c r="G19" s="144">
        <f ca="1">ROUND(C19*$C$18+D19*$D$18,0)</f>
        <v>2301</v>
      </c>
      <c r="H19" s="2433" t="s">
        <v>2153</v>
      </c>
      <c r="I19" s="137"/>
      <c r="K19" s="2425" t="s">
        <v>2154</v>
      </c>
      <c r="L19" s="2425">
        <f>IF(C1="",'数据-汇总表'!D3,SUMIF(项目类型,C1,'数据-汇总表'!D17:D26)+SUMIF(项目类型,C1,'数据-汇总表'!H17:H27))</f>
        <v>73.69</v>
      </c>
      <c r="M19" s="2425">
        <f>IF(C1="",'数据-汇总表'!D3,SUMIF(项目类型,C1,'数据-汇总表'!D17:D26))</f>
        <v>73.69</v>
      </c>
    </row>
    <row r="20" spans="1:35" ht="15">
      <c r="A20" s="2434"/>
      <c r="B20" s="1247" t="s">
        <v>2155</v>
      </c>
      <c r="C20" s="145">
        <f ca="1">SUMIF(INDIRECT("'"&amp;C4&amp;"'"&amp;"!A:A"),结果表!B20,INDIRECT("'"&amp;C4&amp;"'"&amp;"!B:B"))</f>
        <v>18702</v>
      </c>
      <c r="D20" s="146">
        <f ca="1">SUMIF(INDIRECT("'"&amp;D4&amp;"'"&amp;"!A:A"),结果表!B20,INDIRECT("'"&amp;D4&amp;"'"&amp;"!B:B"))</f>
        <v>13988</v>
      </c>
      <c r="E20" s="2434"/>
      <c r="F20" s="1247" t="s">
        <v>2155</v>
      </c>
      <c r="G20" s="147">
        <f ca="1">ROUND(C20*$C$18+D20*$D$18,0)</f>
        <v>16816</v>
      </c>
      <c r="H20" s="981" t="s">
        <v>2156</v>
      </c>
      <c r="I20" s="137"/>
    </row>
    <row r="21" spans="1:35" ht="15" customHeight="1" thickBot="1">
      <c r="A21" s="1001"/>
      <c r="B21" s="2435" t="s">
        <v>2157</v>
      </c>
      <c r="C21" s="787">
        <f ca="1">ROUND(C19*10000/L19,0)</f>
        <v>347266</v>
      </c>
      <c r="D21" s="788">
        <f ca="1">ROUND(D19*10000/L19,0)</f>
        <v>259737</v>
      </c>
      <c r="E21" s="1001"/>
      <c r="F21" s="2435" t="s">
        <v>2157</v>
      </c>
      <c r="G21" s="148">
        <f ca="1">ROUND(G19*10000/L19,0)</f>
        <v>312254</v>
      </c>
      <c r="H21" s="2436" t="s">
        <v>2156</v>
      </c>
      <c r="I21" s="137"/>
    </row>
    <row r="22" spans="1:35" ht="15" thickBot="1">
      <c r="A22" s="2277" t="s">
        <v>2158</v>
      </c>
      <c r="B22" s="2437"/>
      <c r="C22" s="2438"/>
      <c r="D22" s="789">
        <f ca="1">IF(C19&lt;D19,D19/C19-1,C19/D19-1)</f>
        <v>0.3369905956112853</v>
      </c>
      <c r="E22" s="137"/>
      <c r="F22" s="137"/>
      <c r="G22" s="137"/>
      <c r="H22" s="137"/>
      <c r="I22" s="137"/>
    </row>
    <row r="23" spans="1:35" ht="13.5" thickBot="1">
      <c r="A23" s="2415"/>
      <c r="B23" s="2415"/>
      <c r="C23" s="2415"/>
      <c r="D23" s="2415"/>
      <c r="E23" s="137"/>
      <c r="F23" s="137"/>
      <c r="G23" s="137"/>
      <c r="H23" s="137"/>
      <c r="I23" s="137"/>
    </row>
    <row r="24" spans="1:35" ht="14.25">
      <c r="A24" s="3150" t="s">
        <v>2159</v>
      </c>
      <c r="B24" s="2432" t="s">
        <v>2151</v>
      </c>
      <c r="C24" s="144">
        <f>IF(B30=0,0,D30)</f>
        <v>0</v>
      </c>
      <c r="D24" s="2439"/>
      <c r="E24" s="137"/>
      <c r="F24" s="137"/>
      <c r="G24" s="137"/>
      <c r="H24" s="137"/>
      <c r="I24" s="137"/>
    </row>
    <row r="25" spans="1:35" ht="14.25">
      <c r="A25" s="3151"/>
      <c r="B25" s="1247" t="s">
        <v>2155</v>
      </c>
      <c r="C25" s="149">
        <f>IF(B30=0,0,C30)</f>
        <v>0</v>
      </c>
      <c r="D25" s="2440"/>
      <c r="E25" s="137"/>
      <c r="F25" s="137"/>
      <c r="G25" s="137"/>
      <c r="H25" s="137"/>
      <c r="I25" s="137"/>
    </row>
    <row r="26" spans="1:35" ht="13.5" customHeight="1">
      <c r="A26" s="2441" t="s">
        <v>2160</v>
      </c>
      <c r="B26" s="150" t="s">
        <v>2161</v>
      </c>
      <c r="C26" s="150" t="s">
        <v>2162</v>
      </c>
      <c r="D26" s="151" t="s">
        <v>2163</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2164</v>
      </c>
      <c r="B30" s="150"/>
      <c r="C30" s="150"/>
      <c r="D30" s="150"/>
      <c r="E30" s="2923" t="s">
        <v>3041</v>
      </c>
      <c r="F30" s="137"/>
      <c r="G30" s="137"/>
      <c r="H30" s="137"/>
      <c r="I30" s="137"/>
    </row>
    <row r="31" spans="1:35" s="2443" customFormat="1" ht="15" thickBot="1">
      <c r="A31" s="2442"/>
      <c r="B31" s="2442"/>
      <c r="C31" s="2442"/>
      <c r="D31" s="2442"/>
      <c r="E31" s="137"/>
      <c r="F31" s="137"/>
      <c r="G31" s="137"/>
      <c r="H31" s="137"/>
      <c r="I31" s="137"/>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75" thickBot="1">
      <c r="A32" s="2444" t="s">
        <v>2165</v>
      </c>
      <c r="B32" s="2445"/>
      <c r="C32" s="152">
        <f ca="1">IF(D32="总价",G19-C24,G20-C25)</f>
        <v>2301</v>
      </c>
      <c r="D32" s="2446" t="s">
        <v>2166</v>
      </c>
      <c r="E32" s="137"/>
      <c r="F32" s="137"/>
      <c r="G32" s="137"/>
      <c r="H32" s="137"/>
      <c r="I32" s="137"/>
    </row>
    <row r="33" spans="1:15" ht="15">
      <c r="A33" s="958" t="s">
        <v>2167</v>
      </c>
      <c r="B33" s="2447"/>
      <c r="C33" s="2448" t="s">
        <v>3129</v>
      </c>
      <c r="D33" s="2449" t="s">
        <v>3065</v>
      </c>
      <c r="E33" s="2450" t="s">
        <v>2168</v>
      </c>
      <c r="F33" s="2451" t="str">
        <f>IF(D32="楼面单价","取值（单价）","取值（总价）")</f>
        <v>取值（总价）</v>
      </c>
      <c r="G33" s="137"/>
      <c r="H33" s="137"/>
      <c r="I33" s="137"/>
    </row>
    <row r="34" spans="1:15" ht="15">
      <c r="A34" s="2452"/>
      <c r="B34" s="2453" t="s">
        <v>2169</v>
      </c>
      <c r="C34" s="156">
        <f ca="1">IF(C33="自定义",F34,C32-C35)</f>
        <v>1176</v>
      </c>
      <c r="D34" s="1056">
        <f ca="1">IF(C33="自定义",ROUND(C34/C32,3),IF(C33="收益比率",SUMIF(INDIRECT("'"&amp;D33&amp;"'"&amp;"!b:b"),"土地收益比率",INDIRECT("'"&amp;D33&amp;"'"&amp;"!c:c")),SUMIF(INDIRECT("'"&amp;D33&amp;"'"&amp;"!b:b"),"土地成本比率",INDIRECT("'"&amp;D33&amp;"'"&amp;"!c:c"))))</f>
        <v>0.51100000000000001</v>
      </c>
      <c r="E34" s="2454" t="s">
        <v>2170</v>
      </c>
      <c r="F34" s="1736"/>
      <c r="G34" s="137"/>
      <c r="H34" s="137"/>
      <c r="I34" s="137"/>
    </row>
    <row r="35" spans="1:15" ht="15.75" thickBot="1">
      <c r="A35" s="2455"/>
      <c r="B35" s="2456" t="s">
        <v>2171</v>
      </c>
      <c r="C35" s="1441">
        <f ca="1">IF(C33="自定义",F35,ROUND(C32*D35,0))</f>
        <v>1125</v>
      </c>
      <c r="D35" s="1442">
        <f ca="1">IF(C33="自定义",ROUND(C35/C32,3),IF(C33="收益比率",SUMIF(INDIRECT("'"&amp;D33&amp;"'"&amp;"!b:b"),"建筑物收益比率",INDIRECT("'"&amp;D33&amp;"'"&amp;"!c:c")),SUMIF(INDIRECT("'"&amp;D33&amp;"'"&amp;"!b:b"),"建筑物成本比率",INDIRECT("'"&amp;D33&amp;"'"&amp;"!c:c"))))</f>
        <v>0.48899999999999999</v>
      </c>
      <c r="E35" s="2457" t="s">
        <v>2172</v>
      </c>
      <c r="F35" s="162"/>
      <c r="G35" s="137"/>
      <c r="H35" s="137"/>
      <c r="I35" s="137"/>
    </row>
    <row r="36" spans="1:15" ht="15.75" thickBot="1">
      <c r="A36" s="3130" t="s">
        <v>2173</v>
      </c>
      <c r="B36" s="2458" t="s">
        <v>2174</v>
      </c>
      <c r="C36" s="153"/>
      <c r="D36" s="2459"/>
      <c r="E36" s="2460"/>
      <c r="F36" s="2461"/>
      <c r="G36" s="137"/>
      <c r="H36" s="137"/>
      <c r="I36" s="137"/>
    </row>
    <row r="37" spans="1:15" ht="15.75" thickBot="1">
      <c r="A37" s="3131"/>
      <c r="B37" s="2263" t="s">
        <v>2175</v>
      </c>
      <c r="C37" s="155"/>
      <c r="D37" s="1392"/>
      <c r="E37" s="1392"/>
      <c r="F37" s="2461"/>
      <c r="G37" s="137"/>
      <c r="H37" s="137"/>
      <c r="I37" s="137"/>
    </row>
    <row r="38" spans="1:15" ht="15.75" thickBot="1">
      <c r="A38" s="3132"/>
      <c r="B38" s="2462" t="s">
        <v>2176</v>
      </c>
      <c r="C38" s="725"/>
      <c r="D38" s="2463" t="s">
        <v>2177</v>
      </c>
      <c r="E38" s="1392"/>
      <c r="F38" s="2461"/>
      <c r="G38" s="137"/>
      <c r="H38" s="137"/>
      <c r="I38" s="137"/>
    </row>
    <row r="39" spans="1:15" ht="15">
      <c r="A39" s="2434" t="s">
        <v>2178</v>
      </c>
      <c r="B39" s="2464" t="s">
        <v>2179</v>
      </c>
      <c r="C39" s="2465" t="s">
        <v>2180</v>
      </c>
      <c r="D39" s="2465" t="s">
        <v>2181</v>
      </c>
      <c r="E39" s="2466" t="s">
        <v>2182</v>
      </c>
      <c r="F39" s="2461"/>
      <c r="G39" s="137"/>
      <c r="H39" s="137"/>
      <c r="I39" s="137"/>
    </row>
    <row r="40" spans="1:15" ht="14.25">
      <c r="A40" s="2467" t="s">
        <v>2183</v>
      </c>
      <c r="B40" s="157"/>
      <c r="C40" s="158"/>
      <c r="D40" s="158"/>
      <c r="E40" s="159"/>
      <c r="F40" s="2461"/>
      <c r="G40" s="137"/>
      <c r="H40" s="137"/>
      <c r="I40" s="137"/>
    </row>
    <row r="41" spans="1:15" ht="14.25">
      <c r="A41" s="2467" t="s">
        <v>2184</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1"/>
      <c r="B43" s="2161"/>
      <c r="C43" s="2161"/>
      <c r="D43" s="2161"/>
      <c r="E43" s="2161"/>
      <c r="F43" s="2469"/>
      <c r="G43" s="2469"/>
      <c r="H43" s="2469"/>
      <c r="I43" s="2470"/>
    </row>
    <row r="44" spans="1:15" ht="18.75">
      <c r="A44" s="2471" t="s">
        <v>2185</v>
      </c>
      <c r="B44" s="2472"/>
      <c r="C44" s="2472"/>
      <c r="D44" s="2473"/>
      <c r="E44" s="2473"/>
      <c r="F44" s="2474"/>
      <c r="G44" s="2474"/>
      <c r="H44" s="2474"/>
      <c r="I44" s="2474"/>
      <c r="J44" s="2475" t="s">
        <v>2186</v>
      </c>
      <c r="K44" s="2476"/>
      <c r="L44" s="2476"/>
      <c r="M44" s="2476"/>
      <c r="N44" s="2476"/>
      <c r="O44" s="2476"/>
    </row>
    <row r="45" spans="1:15" ht="14.25" customHeight="1" thickBot="1">
      <c r="A45" s="3147" t="s">
        <v>2187</v>
      </c>
      <c r="B45" s="3148"/>
      <c r="C45" s="3149"/>
      <c r="D45" s="163">
        <f ca="1">ROUND(H101*F45,0)</f>
        <v>2301</v>
      </c>
      <c r="E45" s="164" t="s">
        <v>2188</v>
      </c>
      <c r="F45" s="165">
        <v>1</v>
      </c>
      <c r="G45" s="166" t="s">
        <v>2189</v>
      </c>
      <c r="H45" s="137"/>
      <c r="I45" s="137"/>
      <c r="J45" s="3066" t="s">
        <v>2190</v>
      </c>
      <c r="K45" s="3066"/>
      <c r="L45" s="3066"/>
      <c r="M45" s="3066"/>
      <c r="N45" s="3066"/>
      <c r="O45" s="3066"/>
    </row>
    <row r="46" spans="1:15" ht="14.25" customHeight="1">
      <c r="A46" s="3144" t="s">
        <v>2191</v>
      </c>
      <c r="B46" s="3145"/>
      <c r="C46" s="3145"/>
      <c r="D46" s="3145"/>
      <c r="E46" s="3145"/>
      <c r="F46" s="3145"/>
      <c r="G46" s="3146"/>
      <c r="H46" s="2477"/>
      <c r="I46" s="167"/>
      <c r="J46" s="1809">
        <v>1</v>
      </c>
      <c r="K46" s="3066" t="s">
        <v>2192</v>
      </c>
      <c r="L46" s="3066"/>
      <c r="M46" s="3067"/>
      <c r="N46" s="3067"/>
      <c r="O46" s="3067"/>
    </row>
    <row r="47" spans="1:15" ht="12" customHeight="1">
      <c r="A47" s="168" t="s">
        <v>2193</v>
      </c>
      <c r="B47" s="169"/>
      <c r="C47" s="170"/>
      <c r="D47" s="171" t="s">
        <v>2194</v>
      </c>
      <c r="E47" s="23" t="s">
        <v>2195</v>
      </c>
      <c r="F47" s="172" t="s">
        <v>2196</v>
      </c>
      <c r="G47" s="173" t="s">
        <v>2197</v>
      </c>
      <c r="H47" s="2477"/>
      <c r="I47" s="167"/>
      <c r="J47" s="1809">
        <v>2</v>
      </c>
      <c r="K47" s="3066" t="s">
        <v>2198</v>
      </c>
      <c r="L47" s="3066"/>
      <c r="M47" s="3068">
        <f>'数据-取费表'!B2</f>
        <v>43432</v>
      </c>
      <c r="N47" s="3068"/>
      <c r="O47" s="3068"/>
    </row>
    <row r="48" spans="1:15" ht="25.5">
      <c r="A48" s="3134" t="s">
        <v>2199</v>
      </c>
      <c r="B48" s="3135"/>
      <c r="C48" s="3135"/>
      <c r="D48" s="139">
        <f>IF(H48="情况1",0,IF(H48="情况2",D52,IF(H48="情况3",D53,IF(H48="情况4",D54))))</f>
        <v>0</v>
      </c>
      <c r="E48" s="1798" t="str">
        <f>IF(H48="情况4","(销售额-原购置价)×税（费）率","销售额×税（费）率")</f>
        <v>销售额×税（费）率</v>
      </c>
      <c r="F48" s="174" t="str">
        <f>IF(H48="情况1","免征",'数据-取费表'!B41)</f>
        <v>免征</v>
      </c>
      <c r="G48" s="2478" t="s">
        <v>2200</v>
      </c>
      <c r="H48" s="2479" t="s">
        <v>2201</v>
      </c>
      <c r="I48" s="2477"/>
      <c r="J48" s="1809">
        <v>3</v>
      </c>
      <c r="K48" s="3066" t="s">
        <v>2202</v>
      </c>
      <c r="L48" s="3066"/>
      <c r="M48" s="3069">
        <f ca="1">H101</f>
        <v>2301</v>
      </c>
      <c r="N48" s="3069"/>
      <c r="O48" s="3069"/>
    </row>
    <row r="49" spans="1:35" ht="25.5" customHeight="1">
      <c r="A49" s="175" t="s">
        <v>2203</v>
      </c>
      <c r="B49" s="3114" t="s">
        <v>2204</v>
      </c>
      <c r="C49" s="3114"/>
      <c r="D49" s="176">
        <v>0</v>
      </c>
      <c r="E49" s="22" t="s">
        <v>2205</v>
      </c>
      <c r="F49" s="27" t="s">
        <v>34</v>
      </c>
      <c r="G49" s="3095"/>
      <c r="H49" s="137"/>
      <c r="I49" s="2480"/>
      <c r="J49" s="1809">
        <v>4</v>
      </c>
      <c r="K49" s="3066" t="str">
        <f>IF(项目基本情况!E8="房地产抵押价值","房地产抵押价值","抵押担保权已注销时的房地产抵押价值")</f>
        <v>抵押担保权已注销时的房地产抵押价值</v>
      </c>
      <c r="L49" s="3066"/>
      <c r="M49" s="3069" t="str">
        <f>IF(项目基本情况!E8="房地产抵押价值",H107,H109)</f>
        <v>——</v>
      </c>
      <c r="N49" s="3069"/>
      <c r="O49" s="3069"/>
    </row>
    <row r="50" spans="1:35" ht="25.5" customHeight="1">
      <c r="A50" s="177"/>
      <c r="B50" s="3114" t="s">
        <v>2206</v>
      </c>
      <c r="C50" s="3114"/>
      <c r="D50" s="178"/>
      <c r="E50" s="30"/>
      <c r="F50" s="179"/>
      <c r="G50" s="3096"/>
      <c r="H50" s="137"/>
      <c r="I50" s="2480"/>
      <c r="J50" s="3066" t="s">
        <v>2207</v>
      </c>
      <c r="K50" s="3066"/>
      <c r="L50" s="3066"/>
      <c r="M50" s="3066"/>
      <c r="N50" s="3066"/>
      <c r="O50" s="3066"/>
    </row>
    <row r="51" spans="1:35" ht="12" customHeight="1">
      <c r="A51" s="180"/>
      <c r="B51" s="3114" t="s">
        <v>2208</v>
      </c>
      <c r="C51" s="3114"/>
      <c r="D51" s="181"/>
      <c r="E51" s="29"/>
      <c r="F51" s="179"/>
      <c r="G51" s="3097"/>
      <c r="H51" s="137"/>
      <c r="I51" s="2480"/>
      <c r="J51" s="2481" t="s">
        <v>2209</v>
      </c>
      <c r="K51" s="3066" t="s">
        <v>2210</v>
      </c>
      <c r="L51" s="3066"/>
      <c r="M51" s="2481" t="s">
        <v>2211</v>
      </c>
      <c r="N51" s="2481" t="s">
        <v>2212</v>
      </c>
      <c r="O51" s="2481" t="s">
        <v>2213</v>
      </c>
    </row>
    <row r="52" spans="1:35" ht="24" customHeight="1">
      <c r="A52" s="182" t="s">
        <v>2214</v>
      </c>
      <c r="B52" s="3114" t="s">
        <v>2215</v>
      </c>
      <c r="C52" s="3114"/>
      <c r="D52" s="181">
        <f ca="1">ROUND(D45*'数据-取费表'!B41/(1+'数据-取费表'!C42),0)</f>
        <v>123</v>
      </c>
      <c r="E52" s="11" t="s">
        <v>2216</v>
      </c>
      <c r="F52" s="183">
        <f>'数据-取费表'!B41</f>
        <v>5.6000000000000001E-2</v>
      </c>
      <c r="G52" s="2482"/>
      <c r="H52" s="137"/>
      <c r="I52" s="2480"/>
      <c r="J52" s="1809">
        <v>1</v>
      </c>
      <c r="K52" s="3089" t="s">
        <v>2217</v>
      </c>
      <c r="L52" s="3089"/>
      <c r="M52" s="1751">
        <f>D48</f>
        <v>0</v>
      </c>
      <c r="N52" s="1809" t="str">
        <f>E48</f>
        <v>销售额×税（费）率</v>
      </c>
      <c r="O52" s="1752" t="str">
        <f>F48</f>
        <v>免征</v>
      </c>
    </row>
    <row r="53" spans="1:35" ht="12" customHeight="1">
      <c r="A53" s="182" t="s">
        <v>2218</v>
      </c>
      <c r="B53" s="3115" t="s">
        <v>2219</v>
      </c>
      <c r="C53" s="3116"/>
      <c r="D53" s="181">
        <f ca="1">ROUND(D45*'数据-取费表'!B41/(1+'数据-取费表'!C42),0)</f>
        <v>123</v>
      </c>
      <c r="E53" s="11" t="s">
        <v>2216</v>
      </c>
      <c r="F53" s="183">
        <f>'数据-取费表'!B41</f>
        <v>5.6000000000000001E-2</v>
      </c>
      <c r="G53" s="2482"/>
      <c r="H53" s="137"/>
      <c r="I53" s="2480"/>
      <c r="J53" s="1809">
        <v>2</v>
      </c>
      <c r="K53" s="3089" t="s">
        <v>2220</v>
      </c>
      <c r="L53" s="3089"/>
      <c r="M53" s="1751">
        <f t="shared" ref="M53:O54" ca="1" si="0">D55</f>
        <v>1</v>
      </c>
      <c r="N53" s="1809" t="str">
        <f t="shared" si="0"/>
        <v>销售额×税（费）率</v>
      </c>
      <c r="O53" s="1752">
        <f t="shared" si="0"/>
        <v>5.0000000000000001E-4</v>
      </c>
    </row>
    <row r="54" spans="1:35" ht="12" customHeight="1">
      <c r="A54" s="182" t="s">
        <v>2221</v>
      </c>
      <c r="B54" s="3115" t="s">
        <v>2222</v>
      </c>
      <c r="C54" s="3116"/>
      <c r="D54" s="181">
        <f ca="1">C68</f>
        <v>123</v>
      </c>
      <c r="E54" s="29" t="s">
        <v>2223</v>
      </c>
      <c r="F54" s="183">
        <f>'数据-取费表'!B41</f>
        <v>5.6000000000000001E-2</v>
      </c>
      <c r="G54" s="2482"/>
      <c r="H54" s="2483"/>
      <c r="I54" s="2480"/>
      <c r="J54" s="1809">
        <v>3</v>
      </c>
      <c r="K54" s="3089" t="s">
        <v>2224</v>
      </c>
      <c r="L54" s="3089"/>
      <c r="M54" s="1751">
        <f t="shared" ca="1" si="0"/>
        <v>1302</v>
      </c>
      <c r="N54" s="1809" t="str">
        <f t="shared" si="0"/>
        <v>增值额×税（费）率</v>
      </c>
      <c r="O54" s="1753" t="str">
        <f t="shared" si="0"/>
        <v>——</v>
      </c>
    </row>
    <row r="55" spans="1:35" ht="24" customHeight="1">
      <c r="A55" s="3153" t="s">
        <v>2225</v>
      </c>
      <c r="B55" s="3135"/>
      <c r="C55" s="3135"/>
      <c r="D55" s="184">
        <f ca="1">IF(H55="个人住宅",0,ROUND(D45*I55,0))</f>
        <v>1</v>
      </c>
      <c r="E55" s="11" t="s">
        <v>2226</v>
      </c>
      <c r="F55" s="183">
        <f>IF(H55="正常",I55,"免征")</f>
        <v>5.0000000000000001E-4</v>
      </c>
      <c r="G55" s="2482"/>
      <c r="H55" s="2479" t="s">
        <v>2227</v>
      </c>
      <c r="I55" s="185">
        <f>'数据-取费表'!B49</f>
        <v>5.0000000000000001E-4</v>
      </c>
      <c r="J55" s="1809" t="str">
        <f>IF(H59="非个人房产","",4)</f>
        <v/>
      </c>
      <c r="K55" s="3089" t="str">
        <f>IF(H59="非个人房产","——","个人所得税")</f>
        <v>——</v>
      </c>
      <c r="L55" s="3089"/>
      <c r="M55" s="1754" t="str">
        <f>D59</f>
        <v>——</v>
      </c>
      <c r="N55" s="1807" t="str">
        <f>E59</f>
        <v>——</v>
      </c>
      <c r="O55" s="1755" t="str">
        <f>F59</f>
        <v>——</v>
      </c>
    </row>
    <row r="56" spans="1:35" ht="24.75">
      <c r="A56" s="3153" t="s">
        <v>2228</v>
      </c>
      <c r="B56" s="3135"/>
      <c r="C56" s="3135"/>
      <c r="D56" s="184">
        <f ca="1">IF(H56="个人住宅",D57,D58)</f>
        <v>1302</v>
      </c>
      <c r="E56" s="11" t="s">
        <v>2229</v>
      </c>
      <c r="F56" s="183" t="str">
        <f>IF(H56="正常",F58,"免征")</f>
        <v>——</v>
      </c>
      <c r="G56" s="2484" t="s">
        <v>2230</v>
      </c>
      <c r="H56" s="2485" t="s">
        <v>2227</v>
      </c>
      <c r="I56" s="2486"/>
      <c r="J56" s="1809" t="str">
        <f>IF(项目基本情况!K6="上海银行",IF(J55="",4,J55+1),"")</f>
        <v/>
      </c>
      <c r="K56" s="3072" t="str">
        <f>IF(项目基本情况!K6="上海银行","其他处置费用","")</f>
        <v/>
      </c>
      <c r="L56" s="3073"/>
      <c r="M56" s="1751" t="str">
        <f>IF(项目基本情况!K6="上海银行",M69,"")</f>
        <v/>
      </c>
      <c r="N56" s="3075" t="str">
        <f>IF(项目基本情况!K6="上海银行","包含处置中涉及的律师、诉讼、拍卖、评估等费用","")</f>
        <v/>
      </c>
      <c r="O56" s="3076"/>
    </row>
    <row r="57" spans="1:35" ht="12.75">
      <c r="A57" s="182" t="s">
        <v>2203</v>
      </c>
      <c r="B57" s="3120" t="s">
        <v>2231</v>
      </c>
      <c r="C57" s="3121"/>
      <c r="D57" s="186">
        <v>0</v>
      </c>
      <c r="E57" s="22" t="s">
        <v>2205</v>
      </c>
      <c r="F57" s="154"/>
      <c r="G57" s="2482"/>
      <c r="H57" s="2486"/>
      <c r="I57" s="2486"/>
      <c r="J57" s="3089">
        <f>IF(AND(J55="",J56=""),4,IF(项目基本情况!K6="上海银行",结果表!J56+1,结果表!J55+1))</f>
        <v>4</v>
      </c>
      <c r="K57" s="3089" t="s">
        <v>2232</v>
      </c>
      <c r="L57" s="2487" t="s">
        <v>2233</v>
      </c>
      <c r="M57" s="1756"/>
      <c r="N57" s="1757">
        <f ca="1">SUMIF(M52:M56,"&lt;9e307")</f>
        <v>1303</v>
      </c>
      <c r="O57" s="2488"/>
      <c r="P57" s="1750" t="e">
        <f ca="1">N57/M49</f>
        <v>#VALUE!</v>
      </c>
    </row>
    <row r="58" spans="1:35" ht="24.75">
      <c r="A58" s="182" t="s">
        <v>2214</v>
      </c>
      <c r="B58" s="3120" t="s">
        <v>2234</v>
      </c>
      <c r="C58" s="3133"/>
      <c r="D58" s="184">
        <f ca="1">IF(H58="转让取得",C81,C97)</f>
        <v>1302</v>
      </c>
      <c r="E58" s="11" t="s">
        <v>2229</v>
      </c>
      <c r="F58" s="23" t="s">
        <v>34</v>
      </c>
      <c r="G58" s="2482"/>
      <c r="H58" s="2485" t="s">
        <v>2235</v>
      </c>
      <c r="I58" s="2486"/>
      <c r="J58" s="3089"/>
      <c r="K58" s="3089"/>
      <c r="L58" s="2487" t="s">
        <v>2236</v>
      </c>
      <c r="M58" s="1758"/>
      <c r="N58" s="2489" t="str">
        <f ca="1">NUMBERSTRING(INT(N57*10000),2)&amp;"元整"</f>
        <v>壹仟叁佰零叁万元整</v>
      </c>
      <c r="O58" s="2490"/>
    </row>
    <row r="59" spans="1:35" ht="24.75" thickBot="1">
      <c r="A59" s="3093" t="s">
        <v>2237</v>
      </c>
      <c r="B59" s="3094"/>
      <c r="C59" s="3094"/>
      <c r="D59" s="187" t="str">
        <f>IF(H59="非个人房产","——",IF(H59="个人住宅",0,ROUND(D45*I59,0)))</f>
        <v>——</v>
      </c>
      <c r="E59" s="188" t="str">
        <f>IF(H59="非个人房产","——","销售额×税（费）率")</f>
        <v>——</v>
      </c>
      <c r="F59" s="189" t="str">
        <f>IF(H59="非个人房产","——",IF(H59="个人住宅","免征",I59))</f>
        <v>——</v>
      </c>
      <c r="G59" s="2491" t="s">
        <v>2230</v>
      </c>
      <c r="H59" s="2485" t="s">
        <v>2238</v>
      </c>
      <c r="I59" s="190">
        <v>0.01</v>
      </c>
      <c r="J59" s="3091">
        <f>J57+1</f>
        <v>5</v>
      </c>
      <c r="K59" s="3089" t="s">
        <v>2239</v>
      </c>
      <c r="L59" s="1809" t="s">
        <v>2233</v>
      </c>
      <c r="M59" s="1759"/>
      <c r="N59" s="1760" t="e">
        <f ca="1">M49-N57</f>
        <v>#VALUE!</v>
      </c>
      <c r="O59" s="2492"/>
    </row>
    <row r="60" spans="1:35" ht="12" customHeight="1">
      <c r="A60" s="2493"/>
      <c r="B60" s="2415"/>
      <c r="C60" s="2415"/>
      <c r="D60" s="2415"/>
      <c r="E60" s="2162"/>
      <c r="F60" s="2486"/>
      <c r="G60" s="2486"/>
      <c r="H60" s="2494"/>
      <c r="I60" s="137"/>
      <c r="J60" s="3092"/>
      <c r="K60" s="3089"/>
      <c r="L60" s="2487" t="s">
        <v>2236</v>
      </c>
      <c r="M60" s="1758"/>
      <c r="N60" s="2489" t="e">
        <f ca="1">NUMBERSTRING(INT(N59*10000),2)&amp;"元整"</f>
        <v>#VALUE!</v>
      </c>
      <c r="O60" s="2490"/>
    </row>
    <row r="61" spans="1:35" ht="13.5" thickBot="1">
      <c r="A61" s="3152" t="s">
        <v>2240</v>
      </c>
      <c r="B61" s="3152"/>
      <c r="C61" s="3152"/>
      <c r="D61" s="3152"/>
      <c r="E61" s="3152"/>
      <c r="F61" s="2486"/>
      <c r="G61" s="2486"/>
      <c r="H61" s="2494"/>
      <c r="I61" s="137"/>
      <c r="J61" s="1809">
        <f>J59+1</f>
        <v>6</v>
      </c>
      <c r="K61" s="3089" t="s">
        <v>2241</v>
      </c>
      <c r="L61" s="3089"/>
      <c r="M61" s="1761"/>
      <c r="N61" s="1762" t="e">
        <f ca="1">ROUND(N59*10000/'数据-汇总表'!E3,0)</f>
        <v>#VALUE!</v>
      </c>
      <c r="O61" s="2495"/>
    </row>
    <row r="62" spans="1:35" ht="12.75">
      <c r="A62" s="3109" t="s">
        <v>2242</v>
      </c>
      <c r="B62" s="3110"/>
      <c r="C62" s="1801"/>
      <c r="D62" s="1801" t="s">
        <v>2243</v>
      </c>
      <c r="E62" s="191" t="s">
        <v>2244</v>
      </c>
      <c r="F62" s="2486"/>
      <c r="G62" s="2486"/>
      <c r="H62" s="2494"/>
      <c r="I62" s="137"/>
    </row>
    <row r="63" spans="1:35" ht="12.75">
      <c r="A63" s="202" t="s">
        <v>775</v>
      </c>
      <c r="B63" s="192" t="s">
        <v>2245</v>
      </c>
      <c r="C63" s="193">
        <f ca="1">ROUND((C64+C65)/(1+'数据-取费表'!C42),0)</f>
        <v>2191</v>
      </c>
      <c r="D63" s="194"/>
      <c r="E63" s="195"/>
      <c r="F63" s="2486"/>
      <c r="G63" s="2486"/>
      <c r="H63" s="2494"/>
      <c r="I63" s="137"/>
      <c r="J63" s="3074" t="s">
        <v>2246</v>
      </c>
      <c r="K63" s="2496" t="s">
        <v>2247</v>
      </c>
      <c r="L63" s="1749" t="e">
        <f>IF(M49&gt;10000,M49*0.5%,IF(AND(M49&gt;1000,M49&lt;=10000),M49*1%,IF(AND(M49&gt;100,M49&lt;=1000),M49*3%,IF(AND(M49&gt;10,M49&lt;=100),M49*5%,M49*8%))))</f>
        <v>#VALUE!</v>
      </c>
      <c r="M63" s="23" t="e">
        <f>ROUND(L63,1)</f>
        <v>#VALUE!</v>
      </c>
      <c r="Z63" s="2420"/>
      <c r="AI63" s="2421"/>
    </row>
    <row r="64" spans="1:35" ht="14.25" customHeight="1">
      <c r="A64" s="196" t="s">
        <v>770</v>
      </c>
      <c r="B64" s="197" t="s">
        <v>2248</v>
      </c>
      <c r="C64" s="198">
        <f ca="1">D45</f>
        <v>2301</v>
      </c>
      <c r="D64" s="199" t="s">
        <v>32</v>
      </c>
      <c r="E64" s="200"/>
      <c r="F64" s="2486"/>
      <c r="G64" s="2486"/>
      <c r="H64" s="2494"/>
      <c r="I64" s="137"/>
      <c r="J64" s="3074"/>
      <c r="K64" s="2496" t="s">
        <v>2249</v>
      </c>
      <c r="L64" s="1749"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2250</v>
      </c>
      <c r="Z64" s="2420"/>
      <c r="AI64" s="2421"/>
    </row>
    <row r="65" spans="1:35" ht="14.25" customHeight="1">
      <c r="A65" s="196" t="s">
        <v>771</v>
      </c>
      <c r="B65" s="197" t="s">
        <v>2251</v>
      </c>
      <c r="C65" s="201"/>
      <c r="D65" s="199"/>
      <c r="E65" s="200"/>
      <c r="F65" s="2486"/>
      <c r="G65" s="2486"/>
      <c r="H65" s="2494"/>
      <c r="I65" s="137"/>
      <c r="J65" s="3074"/>
      <c r="K65" s="2496" t="s">
        <v>2252</v>
      </c>
      <c r="L65" s="1749" t="e">
        <f>IF(M49&gt;1000,M49*0.1%,IF(AND(M49&gt;500,M49&lt;=1000),M49*0.5%,IF(AND(M49&gt;50,M49&lt;=500),M49*1%,IF(AND(M49&gt;1,M49&lt;=50),M49*1.5%))))</f>
        <v>#VALUE!</v>
      </c>
      <c r="M65" s="23" t="e">
        <f t="shared" si="1"/>
        <v>#VALUE!</v>
      </c>
      <c r="N65" s="137" t="s">
        <v>2250</v>
      </c>
      <c r="Z65" s="2420"/>
      <c r="AI65" s="2421"/>
    </row>
    <row r="66" spans="1:35" ht="14.25" customHeight="1">
      <c r="A66" s="202" t="s">
        <v>772</v>
      </c>
      <c r="B66" s="203" t="s">
        <v>2253</v>
      </c>
      <c r="C66" s="204"/>
      <c r="D66" s="205" t="s">
        <v>32</v>
      </c>
      <c r="E66" s="1773" t="s">
        <v>1371</v>
      </c>
      <c r="F66" s="2486"/>
      <c r="G66" s="2486"/>
      <c r="H66" s="2494"/>
      <c r="I66" s="137"/>
      <c r="J66" s="3074"/>
      <c r="K66" s="2496" t="s">
        <v>2254</v>
      </c>
      <c r="L66" s="1749" t="e">
        <f>M49*0.5%</f>
        <v>#VALUE!</v>
      </c>
      <c r="M66" s="23" t="e">
        <f>IF(L66&gt;0.5,0.5,ROUND(L66,0))</f>
        <v>#VALUE!</v>
      </c>
      <c r="N66" s="137" t="s">
        <v>2255</v>
      </c>
      <c r="Z66" s="2420"/>
      <c r="AI66" s="2421"/>
    </row>
    <row r="67" spans="1:35" ht="14.25" customHeight="1">
      <c r="A67" s="202" t="s">
        <v>773</v>
      </c>
      <c r="B67" s="203" t="s">
        <v>2256</v>
      </c>
      <c r="C67" s="206">
        <f ca="1">C63-C66</f>
        <v>2191</v>
      </c>
      <c r="D67" s="199" t="s">
        <v>32</v>
      </c>
      <c r="E67" s="200"/>
      <c r="F67" s="2486"/>
      <c r="G67" s="2486"/>
      <c r="H67" s="2494"/>
      <c r="I67" s="137"/>
      <c r="J67" s="3074"/>
      <c r="K67" s="2496" t="s">
        <v>2257</v>
      </c>
      <c r="L67" s="1749"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0"/>
      <c r="AI67" s="2421"/>
    </row>
    <row r="68" spans="1:35" ht="14.25" customHeight="1" thickBot="1">
      <c r="A68" s="207" t="s">
        <v>774</v>
      </c>
      <c r="B68" s="208" t="s">
        <v>2258</v>
      </c>
      <c r="C68" s="209">
        <f ca="1">IF(C67&lt;=0,0,ROUND(C67*D68,0))</f>
        <v>123</v>
      </c>
      <c r="D68" s="210">
        <f>'数据-取费表'!B41</f>
        <v>5.6000000000000001E-2</v>
      </c>
      <c r="E68" s="211"/>
      <c r="F68" s="2486"/>
      <c r="G68" s="2486"/>
      <c r="H68" s="2494"/>
      <c r="I68" s="137"/>
      <c r="J68" s="3074"/>
      <c r="K68" s="2496" t="s">
        <v>2259</v>
      </c>
      <c r="L68" s="1749" t="e">
        <f>IF(M49&gt;10000,M49*0.5%,IF(AND(M49&gt;5000,M49&lt;=10000),M49*1%,IF(AND(M49&gt;1000,M49&lt;=5000),M49*2%,IF(AND(M49&gt;200,M49&lt;=1000),M49*3%,M49*5%))))</f>
        <v>#VALUE!</v>
      </c>
      <c r="M68" s="23" t="e">
        <f>ROUND(L68,1)</f>
        <v>#VALUE!</v>
      </c>
      <c r="Z68" s="2420"/>
      <c r="AI68" s="2421"/>
    </row>
    <row r="69" spans="1:35" s="2443" customFormat="1" ht="16.5" customHeight="1">
      <c r="A69" s="2497"/>
      <c r="B69" s="2498"/>
      <c r="C69" s="2499"/>
      <c r="D69" s="2500"/>
      <c r="E69" s="2501"/>
      <c r="F69" s="2162"/>
      <c r="G69" s="2162"/>
      <c r="H69" s="2161"/>
      <c r="I69" s="2415"/>
      <c r="J69" s="3074"/>
      <c r="K69" s="2496" t="s">
        <v>2260</v>
      </c>
      <c r="L69" s="2502"/>
      <c r="M69" s="23" t="e">
        <f>ROUND(SUM(M63:M68),0)</f>
        <v>#VALUE!</v>
      </c>
      <c r="N69" s="1750" t="e">
        <f>M69/M49</f>
        <v>#VALUE!</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5" thickBot="1">
      <c r="A70" s="3118" t="s">
        <v>2261</v>
      </c>
      <c r="B70" s="3119"/>
      <c r="C70" s="3119"/>
      <c r="D70" s="3119"/>
      <c r="E70" s="3119"/>
      <c r="F70" s="3119"/>
      <c r="G70" s="3119"/>
      <c r="H70" s="311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09" t="s">
        <v>2242</v>
      </c>
      <c r="B71" s="3110"/>
      <c r="C71" s="1801"/>
      <c r="D71" s="1801" t="s">
        <v>2243</v>
      </c>
      <c r="E71" s="212" t="s">
        <v>2244</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2262</v>
      </c>
      <c r="C72" s="206">
        <f ca="1">ROUND(D45/(1+'数据-取费表'!C42),0)</f>
        <v>2191</v>
      </c>
      <c r="D72" s="199" t="s">
        <v>32</v>
      </c>
      <c r="E72" s="1800"/>
      <c r="F72" s="1794"/>
      <c r="G72" s="1794"/>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2263</v>
      </c>
      <c r="C73" s="206">
        <f ca="1">C74+C78</f>
        <v>13</v>
      </c>
      <c r="D73" s="199" t="s">
        <v>32</v>
      </c>
      <c r="E73" s="1800"/>
      <c r="F73" s="1794"/>
      <c r="G73" s="1794"/>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2264</v>
      </c>
      <c r="C74" s="199">
        <f>ROUND(IF(G77="2016年5月1日后购买",C75/(1+'数据-取费表'!C42)+C76+C77,C75+C76+C77),0)</f>
        <v>0</v>
      </c>
      <c r="D74" s="199" t="s">
        <v>32</v>
      </c>
      <c r="E74" s="1800"/>
      <c r="F74" s="1794"/>
      <c r="G74" s="1794"/>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2265</v>
      </c>
      <c r="C75" s="217"/>
      <c r="D75" s="199" t="s">
        <v>32</v>
      </c>
      <c r="E75" s="218" t="s">
        <v>2266</v>
      </c>
      <c r="F75" s="2508" t="s">
        <v>2267</v>
      </c>
      <c r="G75" s="218" t="s">
        <v>2268</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2269</v>
      </c>
      <c r="C76" s="199">
        <f>IF(F75="购房发票",ROUND(C75*H75*D76,0),0)</f>
        <v>0</v>
      </c>
      <c r="D76" s="221">
        <v>0.05</v>
      </c>
      <c r="E76" s="3115" t="s">
        <v>2270</v>
      </c>
      <c r="F76" s="3114"/>
      <c r="G76" s="3114"/>
      <c r="H76" s="311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2271</v>
      </c>
      <c r="C77" s="199">
        <f>ROUND(IF(G77="个人住宅",0,IF(G77="2016年5月1日前购买",C75*D77,C75*D77/(1+'数据-取费表'!C42))),0)</f>
        <v>0</v>
      </c>
      <c r="D77" s="222">
        <f>'数据-取费表'!B48+'数据-取费表'!B49</f>
        <v>3.0499999999999999E-2</v>
      </c>
      <c r="E77" s="14" t="s">
        <v>2272</v>
      </c>
      <c r="F77" s="223"/>
      <c r="G77" s="2510" t="s">
        <v>2273</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2274</v>
      </c>
      <c r="C78" s="224">
        <f ca="1">ROUND(D45*D78/(1+'数据-取费表'!C42),0)</f>
        <v>13</v>
      </c>
      <c r="D78" s="225">
        <f>'数据-取费表'!B43</f>
        <v>6.000000000000001E-3</v>
      </c>
      <c r="E78" s="3106" t="s">
        <v>2275</v>
      </c>
      <c r="F78" s="3107"/>
      <c r="G78" s="3107"/>
      <c r="H78" s="310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2276</v>
      </c>
      <c r="C79" s="206">
        <f ca="1">C72-C73</f>
        <v>2178</v>
      </c>
      <c r="D79" s="199" t="s">
        <v>32</v>
      </c>
      <c r="E79" s="1800"/>
      <c r="F79" s="1794"/>
      <c r="G79" s="1794"/>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2277</v>
      </c>
      <c r="C80" s="226">
        <f ca="1">IF(C79&lt;=0,0,C79/C73)</f>
        <v>167.53846153846155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2278</v>
      </c>
      <c r="C81" s="227">
        <f ca="1">ROUND(IF(C79&lt;=0,0,IF(C80&gt;=200%,C79*60%-C73*35%,IF(C80&gt;=100%,C79*50%-C73*15%,IF(C80&gt;=50%,C79*40%-C73*5%,IF(C80&lt;50%,C79*30%,0))))),0)</f>
        <v>1302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8" t="s">
        <v>2279</v>
      </c>
      <c r="B83" s="3119"/>
      <c r="C83" s="3119"/>
      <c r="D83" s="3119"/>
      <c r="E83" s="3119"/>
      <c r="F83" s="3119"/>
      <c r="G83" s="3119"/>
      <c r="H83" s="311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9" t="s">
        <v>2242</v>
      </c>
      <c r="B84" s="3110"/>
      <c r="C84" s="1801"/>
      <c r="D84" s="1801" t="s">
        <v>2243</v>
      </c>
      <c r="E84" s="212" t="s">
        <v>2244</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2262</v>
      </c>
      <c r="C85" s="206">
        <f ca="1">ROUND(D45/(1+'数据-取费表'!C42),0)</f>
        <v>2191</v>
      </c>
      <c r="D85" s="199" t="s">
        <v>32</v>
      </c>
      <c r="E85" s="1800"/>
      <c r="F85" s="1794"/>
      <c r="G85" s="1794"/>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2263</v>
      </c>
      <c r="C86" s="206">
        <f ca="1">IF(H88="仅含出让金",C87+C90+C91+C92+C93+C94,C87+C91+C92+C93+C94)</f>
        <v>13</v>
      </c>
      <c r="D86" s="234"/>
      <c r="E86" s="1800"/>
      <c r="F86" s="1794"/>
      <c r="G86" s="1794"/>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2280</v>
      </c>
      <c r="C87" s="224">
        <f>C88+C89</f>
        <v>0</v>
      </c>
      <c r="D87" s="225"/>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2281</v>
      </c>
      <c r="C88" s="235"/>
      <c r="D88" s="225"/>
      <c r="E88" s="236" t="s">
        <v>2282</v>
      </c>
      <c r="F88" s="1797"/>
      <c r="G88" s="237" t="s">
        <v>2283</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2271</v>
      </c>
      <c r="C89" s="224">
        <f>ROUND(C88*D89,0)</f>
        <v>0</v>
      </c>
      <c r="D89" s="225">
        <f>'数据-取费表'!B48+'数据-取费表'!B49</f>
        <v>3.0499999999999999E-2</v>
      </c>
      <c r="E89" s="236" t="s">
        <v>2284</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2285</v>
      </c>
      <c r="C90" s="235"/>
      <c r="D90" s="225"/>
      <c r="E90" s="236"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2286</v>
      </c>
      <c r="B91" s="197" t="s">
        <v>2287</v>
      </c>
      <c r="C91" s="224">
        <f>IF(H91="——",成本法!C33,I91)</f>
        <v>0</v>
      </c>
      <c r="D91" s="225"/>
      <c r="E91" s="3106" t="s">
        <v>2288</v>
      </c>
      <c r="F91" s="3107"/>
      <c r="G91" s="3107"/>
      <c r="H91" s="2515" t="s">
        <v>2289</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2290</v>
      </c>
      <c r="B92" s="197" t="s">
        <v>2291</v>
      </c>
      <c r="C92" s="224">
        <f>ROUND((C87+C90+C91)*D92,0)</f>
        <v>0</v>
      </c>
      <c r="D92" s="225">
        <v>0.1</v>
      </c>
      <c r="E92" s="3106" t="s">
        <v>2292</v>
      </c>
      <c r="F92" s="3107"/>
      <c r="G92" s="3107"/>
      <c r="H92" s="310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2293</v>
      </c>
      <c r="B93" s="197" t="s">
        <v>2274</v>
      </c>
      <c r="C93" s="224">
        <f ca="1">ROUND(D45*D93/(1+'数据-取费表'!C42),0)</f>
        <v>13</v>
      </c>
      <c r="D93" s="225">
        <f>'数据-取费表'!B43</f>
        <v>6.000000000000001E-3</v>
      </c>
      <c r="E93" s="3106" t="s">
        <v>2275</v>
      </c>
      <c r="F93" s="3107"/>
      <c r="G93" s="3107"/>
      <c r="H93" s="310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2294</v>
      </c>
      <c r="B94" s="197" t="s">
        <v>2295</v>
      </c>
      <c r="C94" s="235">
        <f>ROUND((C87+C90+C91)*D94,0)</f>
        <v>0</v>
      </c>
      <c r="D94" s="225">
        <v>0.2</v>
      </c>
      <c r="E94" s="3154" t="s">
        <v>2296</v>
      </c>
      <c r="F94" s="3155"/>
      <c r="G94" s="3155"/>
      <c r="H94" s="315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2276</v>
      </c>
      <c r="C95" s="206">
        <f ca="1">ROUND(C85-C86,0)</f>
        <v>2178</v>
      </c>
      <c r="D95" s="199" t="s">
        <v>32</v>
      </c>
      <c r="E95" s="1800"/>
      <c r="F95" s="1794"/>
      <c r="G95" s="1794"/>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2277</v>
      </c>
      <c r="C96" s="226">
        <f ca="1">IF(C95&lt;=0,0,C95/C86)</f>
        <v>167.53846153846155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2278</v>
      </c>
      <c r="C97" s="227">
        <f ca="1">ROUND(IF(C95&lt;=0,0,IF(C96&gt;=200%,C95*60%-C86*35%,IF(C96&gt;=100%,C95*50%-C86*15%,IF(C96&gt;=50%,C95*40%-C86*5%,IF(C96&lt;50%,C95*30%,0))))),0)</f>
        <v>1302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7"/>
    </row>
    <row r="99" spans="1:35" ht="21.75" customHeight="1" thickBot="1">
      <c r="A99" s="2471" t="s">
        <v>2297</v>
      </c>
      <c r="B99" s="2415"/>
      <c r="C99" s="2415"/>
      <c r="D99" s="2415"/>
      <c r="E99" s="2162"/>
      <c r="F99" s="2162"/>
      <c r="G99" s="2162"/>
      <c r="H99" s="2161"/>
      <c r="I99" s="137"/>
    </row>
    <row r="100" spans="1:35" ht="18.75" customHeight="1">
      <c r="A100" s="3058" t="s">
        <v>2298</v>
      </c>
      <c r="B100" s="3059"/>
      <c r="C100" s="3059"/>
      <c r="D100" s="3090"/>
      <c r="E100" s="3059" t="s">
        <v>2299</v>
      </c>
      <c r="F100" s="3059"/>
      <c r="G100" s="3059"/>
      <c r="H100" s="3090"/>
      <c r="I100" s="137"/>
    </row>
    <row r="101" spans="1:35" ht="18.75" customHeight="1">
      <c r="A101" s="3098" t="s">
        <v>2300</v>
      </c>
      <c r="B101" s="3099"/>
      <c r="C101" s="734" t="str">
        <f>C4</f>
        <v>比较法-办公</v>
      </c>
      <c r="D101" s="735" t="str">
        <f>D4</f>
        <v>收益法</v>
      </c>
      <c r="E101" s="3070" t="s">
        <v>2301</v>
      </c>
      <c r="F101" s="3071"/>
      <c r="G101" s="2517" t="s">
        <v>2302</v>
      </c>
      <c r="H101" s="1046">
        <f ca="1">H118</f>
        <v>2301</v>
      </c>
      <c r="I101" s="137"/>
    </row>
    <row r="102" spans="1:35" ht="18.75" customHeight="1">
      <c r="A102" s="3100" t="s">
        <v>2303</v>
      </c>
      <c r="B102" s="2517" t="s">
        <v>2302</v>
      </c>
      <c r="C102" s="734">
        <f ca="1">C19</f>
        <v>2559</v>
      </c>
      <c r="D102" s="735">
        <f ca="1">D19</f>
        <v>1914</v>
      </c>
      <c r="E102" s="3070"/>
      <c r="F102" s="3071"/>
      <c r="G102" s="2517" t="s">
        <v>2304</v>
      </c>
      <c r="H102" s="370">
        <f ca="1">I118</f>
        <v>16816</v>
      </c>
      <c r="I102" s="137"/>
    </row>
    <row r="103" spans="1:35" ht="42.75" customHeight="1">
      <c r="A103" s="3100"/>
      <c r="B103" s="2517" t="s">
        <v>2304</v>
      </c>
      <c r="C103" s="736">
        <f ca="1">C20</f>
        <v>18702</v>
      </c>
      <c r="D103" s="737">
        <f ca="1">D20</f>
        <v>13988</v>
      </c>
      <c r="E103" s="3064" t="s">
        <v>2305</v>
      </c>
      <c r="F103" s="3065"/>
      <c r="G103" s="2518" t="s">
        <v>2306</v>
      </c>
      <c r="H103" s="1046">
        <f>IF(D36="正常操作",H104+H105+H106,H105+H106)</f>
        <v>0</v>
      </c>
      <c r="I103" s="137"/>
    </row>
    <row r="104" spans="1:35" ht="18.75" customHeight="1">
      <c r="A104" s="3100" t="s">
        <v>2307</v>
      </c>
      <c r="B104" s="2519" t="s">
        <v>2302</v>
      </c>
      <c r="C104" s="738">
        <f ca="1">H118</f>
        <v>2301</v>
      </c>
      <c r="D104" s="739"/>
      <c r="E104" s="2263" t="s">
        <v>2308</v>
      </c>
      <c r="F104" s="2254"/>
      <c r="G104" s="2518" t="s">
        <v>2306</v>
      </c>
      <c r="H104" s="1047">
        <f>IF(D36="同一抵押权人同一抵押物续贷",C36&amp;"（未扣减，详见特别提示）",C36)</f>
        <v>0</v>
      </c>
      <c r="I104" s="137"/>
    </row>
    <row r="105" spans="1:35" ht="18.75" customHeight="1" thickBot="1">
      <c r="A105" s="3112"/>
      <c r="B105" s="2520" t="s">
        <v>2304</v>
      </c>
      <c r="C105" s="740">
        <f ca="1">I118</f>
        <v>16816</v>
      </c>
      <c r="D105" s="741"/>
      <c r="E105" s="2263" t="s">
        <v>2309</v>
      </c>
      <c r="F105" s="2254"/>
      <c r="G105" s="2518" t="s">
        <v>2306</v>
      </c>
      <c r="H105" s="1047">
        <f>C37</f>
        <v>0</v>
      </c>
      <c r="I105" s="137"/>
    </row>
    <row r="106" spans="1:35" ht="18.75" customHeight="1">
      <c r="A106" s="2415" t="s">
        <v>2310</v>
      </c>
      <c r="B106" s="2415"/>
      <c r="C106" s="2415"/>
      <c r="D106" s="2415"/>
      <c r="E106" s="2521" t="s">
        <v>2311</v>
      </c>
      <c r="F106" s="2254"/>
      <c r="G106" s="2518" t="s">
        <v>2306</v>
      </c>
      <c r="H106" s="1047">
        <f>C38</f>
        <v>0</v>
      </c>
      <c r="I106" s="137"/>
    </row>
    <row r="107" spans="1:35" ht="18.75" customHeight="1">
      <c r="A107" s="137"/>
      <c r="B107" s="137"/>
      <c r="C107" s="137"/>
      <c r="D107" s="137"/>
      <c r="E107" s="3101" t="str">
        <f>IF(项目基本情况!E8="已注销","——","3.房地产抵押价值")</f>
        <v>3.房地产抵押价值</v>
      </c>
      <c r="F107" s="3071"/>
      <c r="G107" s="2517" t="s">
        <v>2302</v>
      </c>
      <c r="H107" s="1046">
        <f ca="1">IF(E107="——","——",H101-H103)</f>
        <v>2301</v>
      </c>
      <c r="I107" s="137"/>
    </row>
    <row r="108" spans="1:35" ht="18.75" customHeight="1">
      <c r="A108" s="137"/>
      <c r="B108" s="137"/>
      <c r="C108" s="137"/>
      <c r="D108" s="137"/>
      <c r="E108" s="3101"/>
      <c r="F108" s="3071"/>
      <c r="G108" s="2517" t="s">
        <v>2304</v>
      </c>
      <c r="H108" s="370">
        <f ca="1">ROUND(H107*10000/'数据-汇总表'!E3,0)</f>
        <v>16816</v>
      </c>
      <c r="I108" s="137"/>
    </row>
    <row r="109" spans="1:35" ht="18.75" customHeight="1">
      <c r="A109" s="137"/>
      <c r="B109" s="137"/>
      <c r="C109" s="137"/>
      <c r="D109" s="137"/>
      <c r="E109" s="3101" t="str">
        <f>IF(项目基本情况!E8="已注销及未注销","4.抵押担保权已注销时的房地产抵押价值",IF(项目基本情况!E8="已注销","3.抵押担保权已注销时的房地产抵押价值","——"))</f>
        <v>——</v>
      </c>
      <c r="F109" s="3071"/>
      <c r="G109" s="2517" t="s">
        <v>2302</v>
      </c>
      <c r="H109" s="347" t="str">
        <f>IF(E109="——","——",H101-H105-H106)</f>
        <v>——</v>
      </c>
      <c r="I109" s="137"/>
    </row>
    <row r="110" spans="1:35" ht="18.75" customHeight="1">
      <c r="A110" s="137"/>
      <c r="B110" s="137"/>
      <c r="C110" s="137"/>
      <c r="D110" s="137"/>
      <c r="E110" s="3101"/>
      <c r="F110" s="3071"/>
      <c r="G110" s="2517" t="s">
        <v>2304</v>
      </c>
      <c r="H110" s="370" t="str">
        <f>IF(H109="——","——",ROUND(H109*10000/'数据-汇总表'!E3,0))</f>
        <v>——</v>
      </c>
      <c r="I110" s="137"/>
    </row>
    <row r="111" spans="1:35" ht="18.75" customHeight="1">
      <c r="A111" s="137"/>
      <c r="B111" s="137"/>
      <c r="C111" s="137"/>
      <c r="D111" s="137"/>
      <c r="E111" s="3102" t="str">
        <f>IF(项目基本情况!E9="抵押净值",IF(OR(项目基本情况!E8="已注销",项目基本情况!E8="房地产抵押价值"),"4.抵押净值","5.抵押净值"),"——")</f>
        <v>——</v>
      </c>
      <c r="F111" s="3103"/>
      <c r="G111" s="2517" t="s">
        <v>2302</v>
      </c>
      <c r="H111" s="1046" t="str">
        <f>IF(E111="——","——",N59)</f>
        <v>——</v>
      </c>
      <c r="I111" s="137"/>
    </row>
    <row r="112" spans="1:35" ht="18.75" customHeight="1" thickBot="1">
      <c r="A112" s="137"/>
      <c r="B112" s="137"/>
      <c r="C112" s="137"/>
      <c r="D112" s="137"/>
      <c r="E112" s="3104"/>
      <c r="F112" s="3105"/>
      <c r="G112" s="2522" t="s">
        <v>2304</v>
      </c>
      <c r="H112" s="788" t="str">
        <f>IF(E111="——","——",N61)</f>
        <v>——</v>
      </c>
      <c r="I112" s="137"/>
    </row>
    <row r="113" spans="1:11" ht="18.75" customHeight="1">
      <c r="A113" s="137"/>
      <c r="B113" s="137"/>
      <c r="C113" s="137"/>
      <c r="D113" s="137"/>
      <c r="E113" s="3113" t="s">
        <v>2310</v>
      </c>
      <c r="F113" s="3113"/>
      <c r="G113" s="3113"/>
      <c r="H113" s="3113"/>
      <c r="I113" s="137"/>
    </row>
    <row r="114" spans="1:11" ht="3.75" customHeight="1">
      <c r="A114" s="2415"/>
      <c r="B114" s="2415"/>
      <c r="C114" s="2415"/>
      <c r="D114" s="2415"/>
      <c r="E114" s="2493"/>
      <c r="F114" s="2493"/>
      <c r="G114" s="2493"/>
      <c r="H114" s="2493"/>
      <c r="I114" s="2415"/>
    </row>
    <row r="115" spans="1:11" ht="18.75" customHeight="1">
      <c r="A115" s="3126" t="s">
        <v>2312</v>
      </c>
      <c r="B115" s="3127"/>
      <c r="C115" s="3127"/>
      <c r="D115" s="3127"/>
      <c r="E115" s="3127"/>
      <c r="F115" s="3127"/>
      <c r="G115" s="3127"/>
      <c r="H115" s="3127"/>
      <c r="I115" s="3128"/>
    </row>
    <row r="116" spans="1:11" ht="27" customHeight="1">
      <c r="A116" s="3037" t="s">
        <v>2313</v>
      </c>
      <c r="B116" s="3080" t="s">
        <v>2314</v>
      </c>
      <c r="C116" s="3080" t="s">
        <v>2315</v>
      </c>
      <c r="D116" s="3086" t="s">
        <v>2316</v>
      </c>
      <c r="E116" s="3087"/>
      <c r="F116" s="3122" t="s">
        <v>2317</v>
      </c>
      <c r="G116" s="3122"/>
      <c r="H116" s="3037" t="s">
        <v>2318</v>
      </c>
      <c r="I116" s="3037"/>
    </row>
    <row r="117" spans="1:11" ht="18.75" customHeight="1">
      <c r="A117" s="3037"/>
      <c r="B117" s="3081"/>
      <c r="C117" s="3081"/>
      <c r="D117" s="1795" t="s">
        <v>2319</v>
      </c>
      <c r="E117" s="1795" t="s">
        <v>2320</v>
      </c>
      <c r="F117" s="1795" t="s">
        <v>2319</v>
      </c>
      <c r="G117" s="1795" t="s">
        <v>2321</v>
      </c>
      <c r="H117" s="1795" t="s">
        <v>2319</v>
      </c>
      <c r="I117" s="1795" t="s">
        <v>2321</v>
      </c>
    </row>
    <row r="118" spans="1:11" ht="24.75" customHeight="1">
      <c r="A118" s="2523" t="str">
        <f>项目基本情况!S2</f>
        <v>湖北省武汉市江岸区解放大道与张公堤路交叉口处房地产</v>
      </c>
      <c r="B118" s="1795">
        <f>M18</f>
        <v>1368.3300000000163</v>
      </c>
      <c r="C118" s="1795">
        <f>M19</f>
        <v>73.69</v>
      </c>
      <c r="D118" s="1795">
        <f ca="1">ROUND(IF(D32="总价",C34,E118*B118/10000),0)</f>
        <v>1176</v>
      </c>
      <c r="E118" s="1795">
        <f ca="1">ROUND(IF(C33="自定义",IF(D32="楼面单价",C34,D118*10000/B118),I118-G118),0)</f>
        <v>8594</v>
      </c>
      <c r="F118" s="1795">
        <f ca="1">ROUND(IF(D32="总价",C35,G118*B118/10000),0)</f>
        <v>1125</v>
      </c>
      <c r="G118" s="1795">
        <f ca="1">ROUND(IF(D32="楼面单价",C35,F118*10000/B118),0)</f>
        <v>8222</v>
      </c>
      <c r="H118" s="1795">
        <f ca="1">ROUND(IF(D32="总价",C32,I118*B118/10000),0)</f>
        <v>2301</v>
      </c>
      <c r="I118" s="1795">
        <f ca="1">ROUND(IF(D32="楼面单价",C32,H118*10000/B118),0)</f>
        <v>16816</v>
      </c>
    </row>
    <row r="119" spans="1:11" ht="18.75" customHeight="1">
      <c r="A119" s="3037" t="s">
        <v>2322</v>
      </c>
      <c r="B119" s="3037"/>
      <c r="C119" s="3037"/>
      <c r="D119" s="3082" t="str">
        <f ca="1">NUMBERSTRING(INT(D118*10000),2)&amp;"元整"</f>
        <v>壹仟壹佰柒拾陆万元整</v>
      </c>
      <c r="E119" s="3083"/>
      <c r="F119" s="3082" t="str">
        <f ca="1">NUMBERSTRING(INT(F118*10000),2)&amp;"元整"</f>
        <v>壹仟壹佰贰拾伍万元整</v>
      </c>
      <c r="G119" s="3083"/>
      <c r="H119" s="3082" t="str">
        <f ca="1">NUMBERSTRING(INT(H118*10000),2)&amp;"元整"</f>
        <v>贰仟叁佰零壹万元整</v>
      </c>
      <c r="I119" s="3083"/>
    </row>
    <row r="120" spans="1:11" ht="18.75" customHeight="1">
      <c r="A120" s="3077" t="str">
        <f>IF(项目基本情况!B9="房地产市场价值","",MID(E103,3,LEN(E103)-2))</f>
        <v/>
      </c>
      <c r="B120" s="3078"/>
      <c r="C120" s="3079"/>
      <c r="D120" s="3077">
        <f>H103</f>
        <v>0</v>
      </c>
      <c r="E120" s="3078"/>
      <c r="F120" s="3078"/>
      <c r="G120" s="3078"/>
      <c r="H120" s="3078"/>
      <c r="I120" s="3079"/>
      <c r="K120" s="2420" t="str">
        <f>IF(D120=0,"故，本次评估不存在"&amp;A120,"故，本次评估"&amp;A120&amp;"为人民币"&amp;D120&amp;"万元整。")</f>
        <v>故，本次评估不存在</v>
      </c>
    </row>
    <row r="121" spans="1:11" ht="18.75" customHeight="1">
      <c r="A121" s="3123" t="s">
        <v>2322</v>
      </c>
      <c r="B121" s="3124"/>
      <c r="C121" s="3125"/>
      <c r="D121" s="3082" t="str">
        <f>IF(D120=0,"零元整",NUMBERSTRING(INT(D120*10000),2)&amp;"元整")</f>
        <v>零元整</v>
      </c>
      <c r="E121" s="3084"/>
      <c r="F121" s="3084"/>
      <c r="G121" s="3084"/>
      <c r="H121" s="3084"/>
      <c r="I121" s="3083"/>
    </row>
    <row r="122" spans="1:11" ht="18.75" customHeight="1">
      <c r="A122" s="3088" t="str">
        <f>IF(项目基本情况!B9="房地产市场价值","",MID(E107,3,LEN(E107)-2))</f>
        <v/>
      </c>
      <c r="B122" s="3088"/>
      <c r="C122" s="3088"/>
      <c r="D122" s="3077">
        <f ca="1">H107</f>
        <v>2301</v>
      </c>
      <c r="E122" s="3078"/>
      <c r="F122" s="3078"/>
      <c r="G122" s="3078"/>
      <c r="H122" s="3078"/>
      <c r="I122" s="3079"/>
    </row>
    <row r="123" spans="1:11" ht="18.75" customHeight="1">
      <c r="A123" s="3037" t="s">
        <v>2322</v>
      </c>
      <c r="B123" s="3037"/>
      <c r="C123" s="3037"/>
      <c r="D123" s="3082" t="str">
        <f ca="1">NUMBERSTRING(INT(D122*10000),2)&amp;"元整"</f>
        <v>贰仟叁佰零壹万元整</v>
      </c>
      <c r="E123" s="3084"/>
      <c r="F123" s="3084"/>
      <c r="G123" s="3084"/>
      <c r="H123" s="3084"/>
      <c r="I123" s="3083"/>
    </row>
    <row r="124" spans="1:11" ht="18.75" customHeight="1">
      <c r="A124" s="3088" t="str">
        <f>IF(项目基本情况!B9="房地产市场价值","",MID(E109,3,LEN(E109)-2))</f>
        <v/>
      </c>
      <c r="B124" s="3088"/>
      <c r="C124" s="3088"/>
      <c r="D124" s="3077" t="str">
        <f>H109</f>
        <v>——</v>
      </c>
      <c r="E124" s="3078"/>
      <c r="F124" s="3078"/>
      <c r="G124" s="3078"/>
      <c r="H124" s="3078"/>
      <c r="I124" s="3079"/>
    </row>
    <row r="125" spans="1:11" ht="18.75" customHeight="1">
      <c r="A125" s="3037" t="s">
        <v>2322</v>
      </c>
      <c r="B125" s="3037"/>
      <c r="C125" s="3037"/>
      <c r="D125" s="3082" t="e">
        <f>NUMBERSTRING(INT(D124*10000),2)&amp;"元整"</f>
        <v>#VALUE!</v>
      </c>
      <c r="E125" s="3084"/>
      <c r="F125" s="3084"/>
      <c r="G125" s="3084"/>
      <c r="H125" s="3084"/>
      <c r="I125" s="3083"/>
    </row>
    <row r="126" spans="1:11" ht="18.75" customHeight="1">
      <c r="A126" s="3088" t="str">
        <f>IF(项目基本情况!B9="房地产市场价值","",MID(E111,3,LEN(E111)-2))</f>
        <v/>
      </c>
      <c r="B126" s="3088"/>
      <c r="C126" s="3088"/>
      <c r="D126" s="3077" t="str">
        <f>H111</f>
        <v>——</v>
      </c>
      <c r="E126" s="3078"/>
      <c r="F126" s="3078"/>
      <c r="G126" s="3078"/>
      <c r="H126" s="3078"/>
      <c r="I126" s="3079"/>
    </row>
    <row r="127" spans="1:11" ht="18.75" customHeight="1">
      <c r="A127" s="3037" t="s">
        <v>2322</v>
      </c>
      <c r="B127" s="3037"/>
      <c r="C127" s="3037"/>
      <c r="D127" s="3082" t="e">
        <f>NUMBERSTRING(INT(D126*10000),2)&amp;"元整"</f>
        <v>#VALUE!</v>
      </c>
      <c r="E127" s="3084"/>
      <c r="F127" s="3084"/>
      <c r="G127" s="3084"/>
      <c r="H127" s="3084"/>
      <c r="I127" s="3083"/>
    </row>
    <row r="128" spans="1:11" ht="21.75" customHeight="1">
      <c r="A128" s="3085" t="s">
        <v>2323</v>
      </c>
      <c r="B128" s="3085"/>
      <c r="C128" s="3085"/>
      <c r="D128" s="3085"/>
      <c r="E128" s="3085"/>
      <c r="F128" s="3085"/>
      <c r="G128" s="3085"/>
      <c r="H128" s="3085"/>
      <c r="I128" s="3085"/>
    </row>
    <row r="129" spans="1:35" ht="21.75" customHeight="1">
      <c r="A129" s="2524" t="s">
        <v>2324</v>
      </c>
      <c r="B129" s="2525"/>
      <c r="C129" s="2526" t="s">
        <v>2325</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2326</v>
      </c>
      <c r="G135" s="2541"/>
      <c r="H135" s="2541"/>
      <c r="I135" s="2542" t="s">
        <v>2327</v>
      </c>
    </row>
    <row r="136" spans="1:35" ht="21.75" customHeight="1">
      <c r="A136" s="793"/>
      <c r="B136" s="2543" t="s">
        <v>2328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2329</v>
      </c>
    </row>
    <row r="139" spans="1:35" ht="21.75" customHeight="1">
      <c r="A139" s="793"/>
      <c r="B139" s="2543" t="s">
        <v>2330</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2329</v>
      </c>
    </row>
    <row r="142" spans="1:35" ht="21.75" customHeight="1">
      <c r="A142" s="793"/>
      <c r="B142" s="2543"/>
      <c r="C142" s="2544"/>
      <c r="D142" s="2545"/>
      <c r="E142" s="2545"/>
      <c r="F142" s="2337"/>
      <c r="G142" s="793"/>
      <c r="H142" s="793"/>
      <c r="I142" s="793"/>
    </row>
    <row r="143" spans="1:35" s="138" customFormat="1" ht="21.75" customHeight="1">
      <c r="A143" s="793"/>
      <c r="B143" s="2543"/>
      <c r="C143" s="2544"/>
      <c r="D143" s="2545"/>
      <c r="E143" s="2545"/>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70" zoomScaleNormal="70" zoomScaleSheetLayoutView="90" workbookViewId="0">
      <selection activeCell="H67" sqref="H67"/>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80"/>
      <c r="C1" s="1837" t="s">
        <v>27</v>
      </c>
      <c r="D1" s="1820" t="s">
        <v>70</v>
      </c>
      <c r="E1" s="1821" t="s">
        <v>1387</v>
      </c>
      <c r="F1" s="1283">
        <f ca="1">J53</f>
        <v>35.22</v>
      </c>
      <c r="G1" s="1836">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1914</v>
      </c>
      <c r="C2" s="1845" t="s">
        <v>1516</v>
      </c>
      <c r="D2" s="1845"/>
      <c r="E2" s="1846"/>
      <c r="F2" s="1847"/>
      <c r="G2" s="1848"/>
      <c r="H2" s="1840"/>
      <c r="I2" s="1840"/>
      <c r="J2" s="1840"/>
      <c r="K2" s="1841"/>
      <c r="L2" s="1840"/>
      <c r="M2" s="1840"/>
    </row>
    <row r="3" spans="1:37" ht="18" customHeight="1" thickBot="1">
      <c r="A3" s="1849" t="s">
        <v>1517</v>
      </c>
      <c r="B3" s="1850">
        <f ca="1">IF(ISERROR(B2*10000/F43),0,ROUND(B2*10000/F43,0))</f>
        <v>13988</v>
      </c>
      <c r="C3" s="1845" t="s">
        <v>1518</v>
      </c>
      <c r="D3" s="1845"/>
      <c r="E3" s="1846"/>
      <c r="F3" s="1847"/>
      <c r="G3" s="1848"/>
      <c r="H3" s="742" t="s">
        <v>1588</v>
      </c>
      <c r="I3" s="1840"/>
      <c r="J3" s="1840"/>
      <c r="K3" s="1841"/>
      <c r="L3" s="1840"/>
      <c r="M3" s="1840"/>
    </row>
    <row r="4" spans="1:37" ht="18" customHeight="1">
      <c r="A4" s="339" t="s">
        <v>1396</v>
      </c>
      <c r="B4" s="340" t="s">
        <v>1397</v>
      </c>
      <c r="C4" s="340" t="s">
        <v>1398</v>
      </c>
      <c r="D4" s="340" t="s">
        <v>1399</v>
      </c>
      <c r="E4" s="341" t="s">
        <v>1400</v>
      </c>
      <c r="F4" s="342"/>
      <c r="G4" s="1851"/>
      <c r="H4" s="339" t="s">
        <v>1396</v>
      </c>
      <c r="I4" s="340" t="s">
        <v>1397</v>
      </c>
      <c r="J4" s="340" t="s">
        <v>1398</v>
      </c>
      <c r="K4" s="340" t="s">
        <v>1399</v>
      </c>
      <c r="L4" s="341" t="s">
        <v>1400</v>
      </c>
      <c r="M4" s="342"/>
    </row>
    <row r="5" spans="1:37" ht="18" customHeight="1">
      <c r="A5" s="343">
        <v>1</v>
      </c>
      <c r="B5" s="344" t="s">
        <v>1401</v>
      </c>
      <c r="C5" s="1292">
        <f ca="1">C6+C10+C12</f>
        <v>112</v>
      </c>
      <c r="D5" s="1822" t="s">
        <v>1402</v>
      </c>
      <c r="E5" s="1293"/>
      <c r="F5" s="1294"/>
      <c r="G5" s="1851"/>
      <c r="H5" s="343">
        <v>1</v>
      </c>
      <c r="I5" s="344" t="s">
        <v>1401</v>
      </c>
      <c r="J5" s="1292">
        <f ca="1">J6+J10+J12</f>
        <v>0</v>
      </c>
      <c r="K5" s="1822" t="s">
        <v>1402</v>
      </c>
      <c r="L5" s="1293"/>
      <c r="M5" s="1294"/>
    </row>
    <row r="6" spans="1:37" ht="18" customHeight="1">
      <c r="A6" s="1291" t="s">
        <v>1035</v>
      </c>
      <c r="B6" s="3159" t="s">
        <v>1403</v>
      </c>
      <c r="C6" s="1296">
        <f ca="1">ROUND(F6*F8*F7*(1-F9)/10000,0)</f>
        <v>112</v>
      </c>
      <c r="D6" s="163" t="s">
        <v>3037</v>
      </c>
      <c r="E6" s="346" t="s">
        <v>1405</v>
      </c>
      <c r="F6" s="347">
        <f ca="1">INDIRECT("'数据-取费表'!u"&amp;$G$1)</f>
        <v>2.5</v>
      </c>
      <c r="G6" s="1851"/>
      <c r="H6" s="1291" t="s">
        <v>1035</v>
      </c>
      <c r="I6" s="3159" t="s">
        <v>1403</v>
      </c>
      <c r="J6" s="345">
        <f ca="1">ROUND(M6*M8*M7*(1-M9)/10000,0)</f>
        <v>0</v>
      </c>
      <c r="K6" s="163" t="s">
        <v>3036</v>
      </c>
      <c r="L6" s="346" t="s">
        <v>1405</v>
      </c>
      <c r="M6" s="347">
        <f ca="1">INDIRECT("'数据-取费表'!z"&amp;$G$1)</f>
        <v>0</v>
      </c>
    </row>
    <row r="7" spans="1:37" ht="18" customHeight="1">
      <c r="A7" s="1295"/>
      <c r="B7" s="3160"/>
      <c r="C7" s="1297"/>
      <c r="D7" s="351"/>
      <c r="E7" s="1298" t="s">
        <v>1406</v>
      </c>
      <c r="F7" s="347">
        <f ca="1">IF(INDIRECT("'数据-取费表'!ah"&amp;$G$1)="",INDIRECT("'数据-取费表'!k"&amp;$G$1),INDIRECT("'数据-取费表'!ah"&amp;$G$1))</f>
        <v>1368.3300000000163</v>
      </c>
      <c r="G7" s="1851"/>
      <c r="H7" s="348"/>
      <c r="I7" s="3160"/>
      <c r="J7" s="350"/>
      <c r="K7" s="351"/>
      <c r="L7" s="346" t="s">
        <v>1406</v>
      </c>
      <c r="M7" s="347">
        <f ca="1">F7</f>
        <v>1368.3300000000163</v>
      </c>
    </row>
    <row r="8" spans="1:37" ht="18" customHeight="1">
      <c r="A8" s="348"/>
      <c r="B8" s="3160"/>
      <c r="C8" s="350"/>
      <c r="D8" s="351"/>
      <c r="E8" s="346" t="s">
        <v>1407</v>
      </c>
      <c r="F8" s="347">
        <f ca="1">INDIRECT("'数据-取费表'!ai"&amp;$G$1)</f>
        <v>365</v>
      </c>
      <c r="G8" s="1851"/>
      <c r="H8" s="348"/>
      <c r="I8" s="3160"/>
      <c r="J8" s="350"/>
      <c r="K8" s="351"/>
      <c r="L8" s="346" t="s">
        <v>1407</v>
      </c>
      <c r="M8" s="347">
        <f ca="1">INDIRECT("'数据-取费表'!ai"&amp;$G$1)</f>
        <v>365</v>
      </c>
    </row>
    <row r="9" spans="1:37" ht="18" customHeight="1">
      <c r="A9" s="348"/>
      <c r="B9" s="3161"/>
      <c r="C9" s="350"/>
      <c r="D9" s="351"/>
      <c r="E9" s="346" t="s">
        <v>1408</v>
      </c>
      <c r="F9" s="356">
        <f ca="1">INDIRECT("'数据-取费表'!w"&amp;$G$1)</f>
        <v>0.1</v>
      </c>
      <c r="G9" s="1851"/>
      <c r="H9" s="348"/>
      <c r="I9" s="3161"/>
      <c r="J9" s="350"/>
      <c r="K9" s="351"/>
      <c r="L9" s="357" t="s">
        <v>1408</v>
      </c>
      <c r="M9" s="358">
        <f ca="1">INDIRECT("'数据-取费表'!ab"&amp;$G$1)</f>
        <v>0</v>
      </c>
    </row>
    <row r="10" spans="1:37" ht="18" customHeight="1">
      <c r="A10" s="1291" t="s">
        <v>1039</v>
      </c>
      <c r="B10" s="1823" t="s">
        <v>1409</v>
      </c>
      <c r="C10" s="360">
        <f ca="1">ROUND(IF(F10="押一",C6/12*F11,IF(F10="押二",C6/12*2*F11,IF(F10="押三",C6/12*3*F11,C11*F11))),0)</f>
        <v>0</v>
      </c>
      <c r="D10" s="1824" t="s">
        <v>3046</v>
      </c>
      <c r="E10" s="357" t="s">
        <v>1410</v>
      </c>
      <c r="F10" s="1366" t="s">
        <v>3068</v>
      </c>
      <c r="G10" s="1851"/>
      <c r="H10" s="1291" t="s">
        <v>1039</v>
      </c>
      <c r="I10" s="1823" t="s">
        <v>1409</v>
      </c>
      <c r="J10" s="345">
        <f ca="1">ROUND(IF(M10="押一",J6/12*M11,IF(M10="押二",J6/12*2*M11,IF(M10="押三",J6/12*3*M11,J11*M11))),0)</f>
        <v>0</v>
      </c>
      <c r="K10" s="1824" t="s">
        <v>3045</v>
      </c>
      <c r="L10" s="357" t="s">
        <v>1410</v>
      </c>
      <c r="M10" s="1366" t="s">
        <v>1411</v>
      </c>
    </row>
    <row r="11" spans="1:37" ht="18" customHeight="1">
      <c r="A11" s="352"/>
      <c r="B11" s="1825" t="s">
        <v>1388</v>
      </c>
      <c r="C11" s="1179"/>
      <c r="D11" s="1826"/>
      <c r="E11" s="357" t="s">
        <v>1412</v>
      </c>
      <c r="F11" s="358">
        <f ca="1">'数据-取费表'!B39</f>
        <v>1.4999999999999999E-2</v>
      </c>
      <c r="G11" s="1851"/>
      <c r="H11" s="1299"/>
      <c r="I11" s="1825" t="s">
        <v>1388</v>
      </c>
      <c r="J11" s="1179"/>
      <c r="K11" s="746"/>
      <c r="L11" s="357" t="s">
        <v>1412</v>
      </c>
      <c r="M11" s="1057">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4">
        <f ca="1">ROUND(C29*F13,0)</f>
        <v>550</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2" t="s">
        <v>1034</v>
      </c>
      <c r="B14" s="346" t="s">
        <v>1417</v>
      </c>
      <c r="C14" s="362">
        <f ca="1">INDIRECT("'数据-取费表'!m"&amp;$G$1)+INDIRECT("'数据-取费表'!t"&amp;$G$1)</f>
        <v>356</v>
      </c>
      <c r="D14" s="1800" t="s">
        <v>1418</v>
      </c>
      <c r="E14" s="1794"/>
      <c r="F14" s="363"/>
      <c r="G14" s="1851"/>
      <c r="H14" s="1202" t="s">
        <v>1035</v>
      </c>
      <c r="I14" s="346" t="s">
        <v>1419</v>
      </c>
      <c r="J14" s="23">
        <f ca="1">C29</f>
        <v>550</v>
      </c>
      <c r="K14" s="14"/>
      <c r="L14" s="980"/>
      <c r="M14" s="981"/>
    </row>
    <row r="15" spans="1:37" s="1858" customFormat="1" ht="18" customHeight="1" thickBot="1">
      <c r="A15" s="1202" t="s">
        <v>1036</v>
      </c>
      <c r="B15" s="346" t="s">
        <v>1420</v>
      </c>
      <c r="C15" s="23">
        <f ca="1">ROUND(C14*F15,0)</f>
        <v>11</v>
      </c>
      <c r="D15" s="364" t="s">
        <v>1421</v>
      </c>
      <c r="E15" s="364" t="s">
        <v>1422</v>
      </c>
      <c r="F15" s="365">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6" t="s">
        <v>1423</v>
      </c>
      <c r="C16" s="23">
        <f ca="1">ROUND(INDIRECT("'数据-取费表'!m"&amp;$G$1)*F16,0)</f>
        <v>0</v>
      </c>
      <c r="D16" s="346" t="s">
        <v>1421</v>
      </c>
      <c r="E16" s="346" t="s">
        <v>1422</v>
      </c>
      <c r="F16" s="366">
        <f ca="1">IF(INDIRECT("'数据-取费表'!c"&amp;$G$1)="住宅",'数据-取费表'!B34,0)</f>
        <v>0</v>
      </c>
      <c r="G16" s="1851"/>
      <c r="H16" s="1329" t="s">
        <v>1030</v>
      </c>
      <c r="I16" s="1330" t="s">
        <v>1424</v>
      </c>
      <c r="J16" s="354">
        <f ca="1">ROUND(J17+J22+J23+J24,0)</f>
        <v>13</v>
      </c>
      <c r="K16" s="1337" t="s">
        <v>1425</v>
      </c>
      <c r="L16" s="1338"/>
      <c r="M16" s="1294"/>
    </row>
    <row r="17" spans="1:37" s="1858" customFormat="1" ht="18" customHeight="1">
      <c r="A17" s="1202" t="s">
        <v>1390</v>
      </c>
      <c r="B17" s="346" t="s">
        <v>1426</v>
      </c>
      <c r="C17" s="23">
        <f ca="1">ROUND(F17*(F43+INDIRECT("'数据-取费表'!S"&amp;$G$1))/10000,0)</f>
        <v>27</v>
      </c>
      <c r="D17" s="346" t="s">
        <v>1427</v>
      </c>
      <c r="E17" s="346" t="s">
        <v>1428</v>
      </c>
      <c r="F17" s="25">
        <f>'数据-取费表'!B35</f>
        <v>200</v>
      </c>
      <c r="G17" s="1854"/>
      <c r="H17" s="1202" t="s">
        <v>1035</v>
      </c>
      <c r="I17" s="346" t="s">
        <v>1429</v>
      </c>
      <c r="J17" s="23">
        <f ca="1">ROUND(IF(项目基本情况!B11="自然人",J5*M17,J18+J19+J20),1)</f>
        <v>4.7</v>
      </c>
      <c r="K17" s="1800" t="s">
        <v>1430</v>
      </c>
      <c r="L17" s="1798" t="s">
        <v>1431</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6" t="s">
        <v>1432</v>
      </c>
      <c r="C18" s="23">
        <f ca="1">ROUND(C14*F18,0)</f>
        <v>5</v>
      </c>
      <c r="D18" s="346" t="s">
        <v>1421</v>
      </c>
      <c r="E18" s="346" t="s">
        <v>1422</v>
      </c>
      <c r="F18" s="366">
        <f>'数据-取费表'!B36</f>
        <v>1.4999999999999999E-2</v>
      </c>
      <c r="G18" s="1854"/>
      <c r="H18" s="1202" t="s">
        <v>1034</v>
      </c>
      <c r="I18" s="346" t="s">
        <v>1433</v>
      </c>
      <c r="J18" s="23">
        <f ca="1">ROUND(J5*M18/(1+'数据-取费表'!C42),2)</f>
        <v>0</v>
      </c>
      <c r="K18" s="1798" t="s">
        <v>1434</v>
      </c>
      <c r="L18" s="346" t="s">
        <v>1422</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1435</v>
      </c>
      <c r="C19" s="23">
        <f ca="1">SUM(C14:C18)</f>
        <v>399</v>
      </c>
      <c r="D19" s="139" t="s">
        <v>1436</v>
      </c>
      <c r="E19" s="1818"/>
      <c r="F19" s="25"/>
      <c r="G19" s="1851"/>
      <c r="H19" s="1202" t="s">
        <v>1036</v>
      </c>
      <c r="I19" s="346" t="s">
        <v>1437</v>
      </c>
      <c r="J19" s="23">
        <f ca="1">IF(K19="按租金收入计税",ROUND(J5*M19,2),ROUND(C29*M19*0.7,2))</f>
        <v>4.62</v>
      </c>
      <c r="K19" s="1828" t="s">
        <v>1438</v>
      </c>
      <c r="L19" s="346" t="s">
        <v>1422</v>
      </c>
      <c r="M19" s="366">
        <f>IF(K19="按租金收入计税",'数据-取费表'!B51,'数据-取费表'!B50)</f>
        <v>1.2E-2</v>
      </c>
    </row>
    <row r="20" spans="1:37" s="1858" customFormat="1" ht="18" customHeight="1">
      <c r="A20" s="1202" t="s">
        <v>1039</v>
      </c>
      <c r="B20" s="346" t="s">
        <v>1439</v>
      </c>
      <c r="C20" s="23">
        <f ca="1">ROUND(C19*F20,0)</f>
        <v>8</v>
      </c>
      <c r="D20" s="368" t="s">
        <v>1440</v>
      </c>
      <c r="E20" s="346" t="s">
        <v>1422</v>
      </c>
      <c r="F20" s="366">
        <f>'数据-取费表'!B37</f>
        <v>0.02</v>
      </c>
      <c r="G20" s="1854"/>
      <c r="H20" s="1202" t="s">
        <v>1389</v>
      </c>
      <c r="I20" s="163" t="s">
        <v>1441</v>
      </c>
      <c r="J20" s="24">
        <f ca="1">ROUND(M20*M21/10000,2)</f>
        <v>0.12</v>
      </c>
      <c r="K20" s="369" t="s">
        <v>1442</v>
      </c>
      <c r="L20" s="346" t="s">
        <v>1443</v>
      </c>
      <c r="M20" s="370">
        <f>'数据-取费表'!B52</f>
        <v>16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1444</v>
      </c>
      <c r="C21" s="23" t="s">
        <v>18</v>
      </c>
      <c r="D21" s="368" t="s">
        <v>1445</v>
      </c>
      <c r="E21" s="346" t="s">
        <v>1446</v>
      </c>
      <c r="F21" s="366">
        <f>'数据-取费表'!B38</f>
        <v>0.02</v>
      </c>
      <c r="G21" s="1854"/>
      <c r="H21" s="371"/>
      <c r="I21" s="355"/>
      <c r="J21" s="28"/>
      <c r="K21" s="372"/>
      <c r="L21" s="346" t="s">
        <v>1447</v>
      </c>
      <c r="M21" s="347">
        <f ca="1">INDIRECT("'数据-取费表'!r"&amp;$G$1)</f>
        <v>73.69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6" t="s">
        <v>1448</v>
      </c>
      <c r="C22" s="23"/>
      <c r="D22" s="139" t="str">
        <f>IF(F23&lt;=1,"单利计息。","复利计息。")&amp;"建造成本、管理费用、销售费用产生的利息。"</f>
        <v>复利计息。建造成本、管理费用、销售费用产生的利息。</v>
      </c>
      <c r="E22" s="1818"/>
      <c r="F22" s="25"/>
      <c r="G22" s="1851"/>
      <c r="H22" s="1202" t="s">
        <v>1039</v>
      </c>
      <c r="I22" s="346" t="s">
        <v>1449</v>
      </c>
      <c r="J22" s="23">
        <f ca="1">ROUND(J14*M22,1)</f>
        <v>8.3000000000000007</v>
      </c>
      <c r="K22" s="1798" t="s">
        <v>1450</v>
      </c>
      <c r="L22" s="346" t="s">
        <v>1422</v>
      </c>
      <c r="M22" s="373">
        <f ca="1">INDIRECT("'数据-取费表'!Ak"&amp;$G$1)</f>
        <v>1.4999999999999999E-2</v>
      </c>
    </row>
    <row r="23" spans="1:37" s="1858" customFormat="1" ht="18" customHeight="1">
      <c r="A23" s="1202" t="s">
        <v>1034</v>
      </c>
      <c r="B23" s="346" t="s">
        <v>1451</v>
      </c>
      <c r="C23" s="23">
        <f ca="1">IF('数据-取费表'!B22&lt;=1,ROUND(C19*F24*F23/2,0)+ROUND(C20*F24*F23/2,0),ROUND(C19*(POWER((1+F24),F23/2)-1),0)+ROUND(C20*(POWER((1+F24),F23/2)-1),0))</f>
        <v>19</v>
      </c>
      <c r="D23" s="374" t="str">
        <f>IF(F23&lt;=1,"(建造成本+管理费用)×利率×(建设周期÷2)","(建造成本+管理费用)×((1+利率)^(建设周期÷2)-1)")</f>
        <v>(建造成本+管理费用)×((1+利率)^(建设周期÷2)-1)</v>
      </c>
      <c r="E23" s="346" t="s">
        <v>1452</v>
      </c>
      <c r="F23" s="370">
        <f>'数据-取费表'!B20</f>
        <v>2</v>
      </c>
      <c r="G23" s="1854"/>
      <c r="H23" s="1202" t="s">
        <v>1075</v>
      </c>
      <c r="I23" s="346" t="s">
        <v>1453</v>
      </c>
      <c r="J23" s="23">
        <f ca="1">ROUND(J13*M23,1)</f>
        <v>0</v>
      </c>
      <c r="K23" s="1798" t="s">
        <v>1454</v>
      </c>
      <c r="L23" s="346" t="s">
        <v>1455</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6" t="s">
        <v>1457</v>
      </c>
      <c r="C24" s="23">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4"/>
      <c r="H24" s="1339" t="s">
        <v>1393</v>
      </c>
      <c r="I24" s="1340" t="s">
        <v>1439</v>
      </c>
      <c r="J24" s="1341">
        <f ca="1">ROUND(J5*M24,1)</f>
        <v>0</v>
      </c>
      <c r="K24" s="1342" t="s">
        <v>1459</v>
      </c>
      <c r="L24" s="1340" t="s">
        <v>1455</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6" t="s">
        <v>1461</v>
      </c>
      <c r="C25" s="23"/>
      <c r="D25" s="139" t="s">
        <v>1462</v>
      </c>
      <c r="E25" s="1818"/>
      <c r="F25" s="25"/>
      <c r="G25" s="1851"/>
      <c r="H25" s="1329" t="s">
        <v>1031</v>
      </c>
      <c r="I25" s="1344" t="s">
        <v>1463</v>
      </c>
      <c r="J25" s="354">
        <f ca="1">J5-J16</f>
        <v>-13</v>
      </c>
      <c r="K25" s="1345" t="s">
        <v>1464</v>
      </c>
      <c r="L25" s="1346"/>
      <c r="M25" s="1347"/>
    </row>
    <row r="26" spans="1:37">
      <c r="A26" s="1202" t="s">
        <v>1034</v>
      </c>
      <c r="B26" s="346" t="s">
        <v>1465</v>
      </c>
      <c r="C26" s="23">
        <f ca="1">ROUND((C19+C20)*F26,0)</f>
        <v>81</v>
      </c>
      <c r="D26" s="368" t="s">
        <v>1466</v>
      </c>
      <c r="E26" s="357" t="s">
        <v>1467</v>
      </c>
      <c r="F26" s="356">
        <f ca="1">INDIRECT("'数据-取费表'!q"&amp;$G$1)</f>
        <v>0.2</v>
      </c>
      <c r="G26" s="1851"/>
      <c r="H26" s="343" t="s">
        <v>1032</v>
      </c>
      <c r="I26" s="344" t="s">
        <v>1468</v>
      </c>
      <c r="J26" s="345">
        <f ca="1">IF(J5&lt;&gt;0,ROUND(J25*(1-((1+M28)/(1+M26))^M27)/(M26-M28),0),0)</f>
        <v>0</v>
      </c>
      <c r="K26" s="369" t="s">
        <v>1469</v>
      </c>
      <c r="L26" s="346" t="s">
        <v>1470</v>
      </c>
      <c r="M26" s="356">
        <f ca="1">INDIRECT("'数据-取费表'!I"&amp;$G$1)</f>
        <v>5.5E-2</v>
      </c>
    </row>
    <row r="27" spans="1:37" ht="18" customHeight="1">
      <c r="A27" s="1202" t="s">
        <v>1036</v>
      </c>
      <c r="B27" s="346" t="s">
        <v>1471</v>
      </c>
      <c r="C27" s="23">
        <f ca="1">ROUND(F21*F26,4)</f>
        <v>4.0000000000000001E-3</v>
      </c>
      <c r="D27" s="368" t="s">
        <v>1472</v>
      </c>
      <c r="E27" s="364"/>
      <c r="F27" s="365"/>
      <c r="G27" s="1851"/>
      <c r="H27" s="348"/>
      <c r="I27" s="349"/>
      <c r="J27" s="350"/>
      <c r="K27" s="377" t="s">
        <v>1473</v>
      </c>
      <c r="L27" s="346" t="s">
        <v>1474</v>
      </c>
      <c r="M27" s="378">
        <f ca="1">INDIRECT("'数据-取费表'!ag"&amp;$G$1)</f>
        <v>0</v>
      </c>
    </row>
    <row r="28" spans="1:37" s="1858" customFormat="1" ht="18" customHeight="1">
      <c r="A28" s="1202" t="s">
        <v>1037</v>
      </c>
      <c r="B28" s="346" t="s">
        <v>1475</v>
      </c>
      <c r="C28" s="23">
        <f>ROUND(F28/(1+'数据-取费表'!C42),4)</f>
        <v>5.33E-2</v>
      </c>
      <c r="D28" s="368" t="s">
        <v>1476</v>
      </c>
      <c r="E28" s="346" t="s">
        <v>1422</v>
      </c>
      <c r="F28" s="366">
        <f>'数据-取费表'!B41</f>
        <v>5.6000000000000001E-2</v>
      </c>
      <c r="G28" s="1854"/>
      <c r="H28" s="352"/>
      <c r="I28" s="353"/>
      <c r="J28" s="354"/>
      <c r="K28" s="372"/>
      <c r="L28" s="346" t="s">
        <v>1477</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550</v>
      </c>
      <c r="D29" s="1342"/>
      <c r="E29" s="1340"/>
      <c r="F29" s="1343"/>
      <c r="G29" s="1854"/>
      <c r="H29" s="379" t="s">
        <v>1033</v>
      </c>
      <c r="I29" s="380" t="s">
        <v>1479</v>
      </c>
      <c r="J29" s="381">
        <f ca="1">ROUND(J26/(1+F40)^F41,0)</f>
        <v>0</v>
      </c>
      <c r="K29" s="382" t="s">
        <v>1480</v>
      </c>
      <c r="L29" s="383"/>
      <c r="M29" s="384">
        <f ca="1">INDIRECT("'数据-取费表'!k"&amp;$G$1)</f>
        <v>1368.3300000000163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4">
        <f ca="1">ROUND(C31+C36+C37+C38,0)</f>
        <v>22</v>
      </c>
      <c r="D30" s="1337" t="s">
        <v>1425</v>
      </c>
      <c r="E30" s="1338"/>
      <c r="F30" s="1294"/>
      <c r="G30" s="1851"/>
      <c r="H30" s="743"/>
      <c r="I30" s="744"/>
      <c r="J30" s="745"/>
      <c r="K30" s="746"/>
      <c r="L30" s="747"/>
      <c r="M30" s="748"/>
    </row>
    <row r="31" spans="1:37" ht="18" customHeight="1">
      <c r="A31" s="1202" t="s">
        <v>1035</v>
      </c>
      <c r="B31" s="346" t="s">
        <v>1429</v>
      </c>
      <c r="C31" s="23">
        <f ca="1">ROUND(IF(项目基本情况!B11="自然人",C5*F31,C32+C33+C34),1)</f>
        <v>10.7</v>
      </c>
      <c r="D31" s="1800" t="s">
        <v>1430</v>
      </c>
      <c r="E31" s="1798" t="s">
        <v>1481</v>
      </c>
      <c r="F31" s="367"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6" t="s">
        <v>1433</v>
      </c>
      <c r="C32" s="23">
        <f ca="1">IF(项目基本情况!B11="自然人","——",ROUND(C5*F32/(1+'数据-取费表'!C42),2))</f>
        <v>5.97</v>
      </c>
      <c r="D32" s="1798" t="s">
        <v>1434</v>
      </c>
      <c r="E32" s="346" t="s">
        <v>1422</v>
      </c>
      <c r="F32" s="376">
        <f>'数据-取费表'!B41</f>
        <v>5.6000000000000001E-2</v>
      </c>
      <c r="G32" s="1851"/>
      <c r="H32" s="743"/>
      <c r="I32" s="744"/>
      <c r="J32" s="745"/>
      <c r="K32" s="746"/>
      <c r="L32" s="747"/>
      <c r="M32" s="748"/>
    </row>
    <row r="33" spans="1:18" ht="18" customHeight="1">
      <c r="A33" s="1202" t="s">
        <v>1036</v>
      </c>
      <c r="B33" s="346" t="s">
        <v>1437</v>
      </c>
      <c r="C33" s="23">
        <f ca="1">IF(项目基本情况!B11="自然人","——",IF(D33="按租金收入计税",ROUND(C5*F33,2),IF(D33="按房产原值计税",ROUND(C29*F33*0.7,2),INDIRECT("'数据-取费表'!Aj"&amp;$G$1))))</f>
        <v>4.62</v>
      </c>
      <c r="D33" s="3299" t="s">
        <v>3069</v>
      </c>
      <c r="E33" s="346" t="s">
        <v>1422</v>
      </c>
      <c r="F33" s="366">
        <f>IF(D33="按票据","——",IF(D33="按租金收入计税",'数据-取费表'!B51,'数据-取费表'!B50))</f>
        <v>1.2E-2</v>
      </c>
      <c r="G33" s="1851"/>
      <c r="H33" s="1859"/>
      <c r="I33" s="1860"/>
      <c r="J33" s="1861"/>
      <c r="K33" s="1862"/>
      <c r="L33" s="1859"/>
      <c r="M33" s="1859"/>
    </row>
    <row r="34" spans="1:18" ht="18" customHeight="1">
      <c r="A34" s="1291" t="s">
        <v>1389</v>
      </c>
      <c r="B34" s="163" t="s">
        <v>1441</v>
      </c>
      <c r="C34" s="24">
        <f ca="1">IF(项目基本情况!B11="自然人","——",ROUND(F34*F35/10000,2))</f>
        <v>0.12</v>
      </c>
      <c r="D34" s="369" t="s">
        <v>1442</v>
      </c>
      <c r="E34" s="346" t="s">
        <v>1443</v>
      </c>
      <c r="F34" s="370">
        <f>'数据-取费表'!B52</f>
        <v>16</v>
      </c>
      <c r="G34" s="1851"/>
      <c r="H34" s="743"/>
      <c r="I34" s="1860"/>
      <c r="J34" s="1861"/>
      <c r="K34" s="1863"/>
      <c r="L34" s="1864"/>
      <c r="M34" s="1864"/>
    </row>
    <row r="35" spans="1:18" ht="18" customHeight="1">
      <c r="A35" s="1353"/>
      <c r="B35" s="1351"/>
      <c r="C35" s="28"/>
      <c r="D35" s="372"/>
      <c r="E35" s="346" t="s">
        <v>1447</v>
      </c>
      <c r="F35" s="347">
        <f ca="1">INDIRECT("'数据-取费表'!r"&amp;$G$1)</f>
        <v>73.69</v>
      </c>
      <c r="G35" s="1851"/>
      <c r="H35" s="743"/>
      <c r="I35" s="1860"/>
      <c r="J35" s="1861"/>
      <c r="K35" s="1862"/>
      <c r="L35" s="1859"/>
      <c r="M35" s="1859"/>
    </row>
    <row r="36" spans="1:18" ht="18" customHeight="1">
      <c r="A36" s="1352" t="s">
        <v>1039</v>
      </c>
      <c r="B36" s="346" t="s">
        <v>1449</v>
      </c>
      <c r="C36" s="23">
        <f ca="1">ROUND(C29*F36,1)</f>
        <v>8.3000000000000007</v>
      </c>
      <c r="D36" s="1798" t="s">
        <v>1482</v>
      </c>
      <c r="E36" s="346" t="s">
        <v>1422</v>
      </c>
      <c r="F36" s="373">
        <f ca="1">INDIRECT("'数据-取费表'!Ak"&amp;$G$1)</f>
        <v>1.4999999999999999E-2</v>
      </c>
      <c r="G36" s="1851"/>
      <c r="H36" s="1859"/>
      <c r="I36" s="1860"/>
      <c r="J36" s="1861"/>
      <c r="K36" s="749"/>
      <c r="L36" s="1859"/>
      <c r="M36" s="1859"/>
    </row>
    <row r="37" spans="1:18" ht="18" customHeight="1">
      <c r="A37" s="1202" t="s">
        <v>1075</v>
      </c>
      <c r="B37" s="346" t="s">
        <v>1453</v>
      </c>
      <c r="C37" s="23">
        <f ca="1">ROUND(C13*F37,1)</f>
        <v>0.8</v>
      </c>
      <c r="D37" s="1798" t="s">
        <v>1454</v>
      </c>
      <c r="E37" s="346" t="s">
        <v>1455</v>
      </c>
      <c r="F37" s="375">
        <f ca="1">INDIRECT("'数据-取费表'!Al"&amp;$G$1)</f>
        <v>1.5E-3</v>
      </c>
      <c r="G37" s="1851"/>
      <c r="H37" s="1859"/>
      <c r="I37" s="1860"/>
      <c r="J37" s="1861"/>
      <c r="K37" s="749"/>
      <c r="L37" s="1859"/>
      <c r="M37" s="1859"/>
    </row>
    <row r="38" spans="1:18" ht="18" customHeight="1" thickBot="1">
      <c r="A38" s="1339" t="s">
        <v>1393</v>
      </c>
      <c r="B38" s="1340" t="s">
        <v>1439</v>
      </c>
      <c r="C38" s="1341">
        <f ca="1">ROUND(C5*F38,1)</f>
        <v>2.2000000000000002</v>
      </c>
      <c r="D38" s="1342" t="s">
        <v>1459</v>
      </c>
      <c r="E38" s="1340" t="s">
        <v>1455</v>
      </c>
      <c r="F38" s="1336">
        <f ca="1">INDIRECT("'数据-取费表'!Am"&amp;$G$1)</f>
        <v>0.02</v>
      </c>
      <c r="G38" s="1851"/>
      <c r="H38" s="1859"/>
      <c r="I38" s="1860"/>
      <c r="J38" s="1861"/>
      <c r="K38" s="1865"/>
      <c r="L38" s="1859"/>
      <c r="M38" s="1859"/>
    </row>
    <row r="39" spans="1:18" ht="24.6" customHeight="1" thickTop="1">
      <c r="A39" s="1329" t="s">
        <v>1031</v>
      </c>
      <c r="B39" s="1344" t="s">
        <v>1483</v>
      </c>
      <c r="C39" s="354">
        <f ca="1">C5-C30</f>
        <v>90</v>
      </c>
      <c r="D39" s="1345" t="s">
        <v>1484</v>
      </c>
      <c r="E39" s="1346"/>
      <c r="F39" s="1347"/>
      <c r="G39" s="1851"/>
      <c r="H39" s="1859"/>
      <c r="I39" s="1860"/>
      <c r="J39" s="1861"/>
      <c r="K39" s="1865"/>
      <c r="L39" s="1859"/>
      <c r="M39" s="1859"/>
    </row>
    <row r="40" spans="1:18" ht="18" customHeight="1">
      <c r="A40" s="343" t="s">
        <v>1032</v>
      </c>
      <c r="B40" s="344" t="s">
        <v>1485</v>
      </c>
      <c r="C40" s="345">
        <f ca="1">ROUND(C39*(1-((1+F42)/(1+F40))^F41)/(F40-F42),0)</f>
        <v>1914</v>
      </c>
      <c r="D40" s="369" t="s">
        <v>1469</v>
      </c>
      <c r="E40" s="346" t="s">
        <v>1470</v>
      </c>
      <c r="F40" s="356">
        <f ca="1">INDIRECT("'数据-取费表'!I"&amp;$G$1)</f>
        <v>5.5E-2</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35.22</v>
      </c>
      <c r="G41" s="1851"/>
      <c r="H41" s="730"/>
      <c r="I41" s="1860"/>
      <c r="J41" s="1861"/>
      <c r="K41" s="749"/>
      <c r="L41" s="730"/>
      <c r="M41" s="730"/>
    </row>
    <row r="42" spans="1:18" ht="18" customHeight="1">
      <c r="A42" s="352"/>
      <c r="B42" s="353"/>
      <c r="C42" s="354"/>
      <c r="D42" s="372"/>
      <c r="E42" s="346" t="s">
        <v>1477</v>
      </c>
      <c r="F42" s="356">
        <f ca="1">INDIRECT("'数据-取费表'!v"&amp;$G$1)</f>
        <v>2.5000000000000001E-2</v>
      </c>
      <c r="G42" s="1851"/>
      <c r="H42" s="730"/>
      <c r="I42" s="1860"/>
      <c r="J42" s="1861"/>
      <c r="K42" s="749"/>
      <c r="L42" s="730"/>
      <c r="M42" s="730"/>
    </row>
    <row r="43" spans="1:18" ht="18" customHeight="1" thickBot="1">
      <c r="A43" s="379" t="s">
        <v>1033</v>
      </c>
      <c r="B43" s="380" t="s">
        <v>1487</v>
      </c>
      <c r="C43" s="381">
        <f ca="1">ROUND(C40*10000/F43,0)</f>
        <v>13988</v>
      </c>
      <c r="D43" s="382" t="s">
        <v>1488</v>
      </c>
      <c r="E43" s="383" t="s">
        <v>1489</v>
      </c>
      <c r="F43" s="384">
        <f ca="1">INDIRECT("'数据-取费表'!k"&amp;$G$1)</f>
        <v>1368.3300000000163</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-2130</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6" t="s">
        <v>1396</v>
      </c>
      <c r="B47" s="1198" t="s">
        <v>1397</v>
      </c>
      <c r="C47" s="1367" t="s">
        <v>1398</v>
      </c>
      <c r="D47" s="1198" t="s">
        <v>1399</v>
      </c>
      <c r="E47" s="1279" t="s">
        <v>1400</v>
      </c>
      <c r="F47" s="1280"/>
      <c r="G47" s="790"/>
      <c r="I47" s="1880" t="s">
        <v>1526</v>
      </c>
      <c r="J47" s="1881" t="s">
        <v>3066</v>
      </c>
      <c r="K47" s="1882" t="s">
        <v>1527</v>
      </c>
      <c r="L47" s="1883">
        <f ca="1">INDIRECT("'数据-取费表'!d"&amp;$G$1)</f>
        <v>40</v>
      </c>
      <c r="M47" s="1838" t="str">
        <f>IF(ISNUMBER(FIND("住宅",C1)),"住宅","非住宅")</f>
        <v>非住宅</v>
      </c>
      <c r="O47" s="1884" t="s">
        <v>1040</v>
      </c>
      <c r="P47" s="1885" t="s">
        <v>1528</v>
      </c>
      <c r="Q47" s="1886">
        <f ca="1">C40+J29</f>
        <v>1914</v>
      </c>
      <c r="R47" s="1886" t="s">
        <v>1529</v>
      </c>
    </row>
    <row r="48" spans="1:18" s="1842" customFormat="1" ht="28.5" thickBot="1">
      <c r="A48" s="1360" t="s">
        <v>1135</v>
      </c>
      <c r="B48" s="344" t="s">
        <v>1401</v>
      </c>
      <c r="C48" s="1817">
        <f ca="1">C49+C53+C55</f>
        <v>0</v>
      </c>
      <c r="D48" s="1362"/>
      <c r="E48" s="1363"/>
      <c r="F48" s="1182"/>
      <c r="G48" s="790"/>
      <c r="H48" s="791"/>
      <c r="I48" s="1887" t="s">
        <v>1530</v>
      </c>
      <c r="J48" s="1888" t="s">
        <v>3067</v>
      </c>
      <c r="K48" s="1889" t="s">
        <v>1531</v>
      </c>
      <c r="L48" s="1890">
        <f ca="1">INDIRECT("'数据-取费表'!f"&amp;$G$1)</f>
        <v>35.22</v>
      </c>
      <c r="O48" s="1884" t="s">
        <v>1041</v>
      </c>
      <c r="P48" s="1885" t="s">
        <v>1532</v>
      </c>
      <c r="Q48" s="1886" t="str">
        <f ca="1">J60</f>
        <v>0</v>
      </c>
      <c r="R48" s="1886" t="s">
        <v>1533</v>
      </c>
    </row>
    <row r="49" spans="1:18" s="1842" customFormat="1" ht="13.5" thickBot="1">
      <c r="A49" s="1195" t="s">
        <v>1136</v>
      </c>
      <c r="B49" s="1829" t="s">
        <v>1490</v>
      </c>
      <c r="C49" s="1364">
        <f ca="1">ROUND(F49*F51*F50*(1-F52)/10000,0)</f>
        <v>0</v>
      </c>
      <c r="D49" s="1276" t="s">
        <v>3038</v>
      </c>
      <c r="E49" s="1830" t="s">
        <v>1491</v>
      </c>
      <c r="F49" s="1281"/>
      <c r="G49" s="1891"/>
      <c r="H49" s="791"/>
      <c r="I49" s="1887" t="s">
        <v>1534</v>
      </c>
      <c r="J49" s="1892">
        <v>2018</v>
      </c>
      <c r="K49" s="1889" t="s">
        <v>1535</v>
      </c>
      <c r="L49" s="1893"/>
      <c r="O49" s="1894" t="s">
        <v>1042</v>
      </c>
      <c r="P49" s="1885" t="s">
        <v>1536</v>
      </c>
      <c r="Q49" s="1886">
        <f ca="1">C29</f>
        <v>550</v>
      </c>
      <c r="R49" s="1886" t="s">
        <v>1529</v>
      </c>
    </row>
    <row r="50" spans="1:18" s="1842" customFormat="1" ht="13.5" thickBot="1">
      <c r="A50" s="1196"/>
      <c r="B50" s="1199"/>
      <c r="C50" s="1368"/>
      <c r="D50" s="1173"/>
      <c r="E50" s="1277" t="s">
        <v>1406</v>
      </c>
      <c r="F50" s="1278">
        <f ca="1">F7</f>
        <v>1368.3300000000163</v>
      </c>
      <c r="H50" s="791"/>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7"/>
      <c r="B51" s="1199"/>
      <c r="C51" s="1200"/>
      <c r="D51" s="1173"/>
      <c r="E51" s="1201" t="s">
        <v>1407</v>
      </c>
      <c r="F51" s="347">
        <f ca="1">F8</f>
        <v>365</v>
      </c>
      <c r="I51" s="1898" t="s">
        <v>1540</v>
      </c>
      <c r="J51" s="1899">
        <f>IF(J49="",J50,J49+J50-YEAR('数据-取费表'!B2))</f>
        <v>60</v>
      </c>
      <c r="K51" s="1900" t="s">
        <v>1541</v>
      </c>
      <c r="L51" s="1901">
        <f ca="1">ROUND(-PV(INDIRECT("'数据-取费表'!h"&amp;$G$1),L48,(C39-C13*C76),0),0)</f>
        <v>755</v>
      </c>
      <c r="M51" s="1902"/>
      <c r="O51" s="1894" t="s">
        <v>1044</v>
      </c>
      <c r="P51" s="1885" t="s">
        <v>1542</v>
      </c>
      <c r="Q51" s="1897">
        <f>J52</f>
        <v>8.5000000000000006E-2</v>
      </c>
      <c r="R51" s="1886"/>
    </row>
    <row r="52" spans="1:18" s="1842" customFormat="1" ht="13.5" thickBot="1">
      <c r="A52" s="1197"/>
      <c r="B52" s="1199"/>
      <c r="C52" s="1200"/>
      <c r="D52" s="1173"/>
      <c r="E52" s="1201" t="s">
        <v>1408</v>
      </c>
      <c r="F52" s="1275"/>
      <c r="I52" s="1903" t="s">
        <v>1543</v>
      </c>
      <c r="J52" s="1904">
        <v>8.5000000000000006E-2</v>
      </c>
      <c r="K52" s="1903" t="s">
        <v>1544</v>
      </c>
      <c r="L52" s="1904"/>
      <c r="O52" s="1894" t="s">
        <v>1045</v>
      </c>
      <c r="P52" s="1885" t="s">
        <v>1545</v>
      </c>
      <c r="Q52" s="1886">
        <f ca="1">J53</f>
        <v>35.22</v>
      </c>
      <c r="R52" s="1886" t="s">
        <v>1546</v>
      </c>
    </row>
    <row r="53" spans="1:18" s="1842" customFormat="1" ht="24.75" thickBot="1">
      <c r="A53" s="1405" t="s">
        <v>1137</v>
      </c>
      <c r="B53" s="1831" t="s">
        <v>1409</v>
      </c>
      <c r="C53" s="360">
        <f ca="1">ROUND(IF(F53="押一",C49/12*F11,IF(F53="押二",C49/12*2*F11,IF(F53="押三",C49/12*3*F11,C54*F11))),0)</f>
        <v>0</v>
      </c>
      <c r="D53" s="1824" t="s">
        <v>3045</v>
      </c>
      <c r="E53" s="357"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35.22</v>
      </c>
      <c r="K53" s="3157" t="s">
        <v>1548</v>
      </c>
      <c r="L53" s="3158"/>
      <c r="O53" s="1884" t="s">
        <v>1046</v>
      </c>
      <c r="P53" s="1885" t="s">
        <v>1549</v>
      </c>
      <c r="Q53" s="1886">
        <f ca="1">Q47+Q48</f>
        <v>1914</v>
      </c>
      <c r="R53" s="1886" t="s">
        <v>1047</v>
      </c>
    </row>
    <row r="54" spans="1:18" s="1842" customFormat="1" ht="13.5" thickBot="1">
      <c r="A54" s="1406"/>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7">
        <v>2</v>
      </c>
      <c r="B56" s="1178" t="s">
        <v>1414</v>
      </c>
      <c r="C56" s="275">
        <f ca="1">C13</f>
        <v>550</v>
      </c>
      <c r="D56" s="1914"/>
      <c r="E56" s="1915"/>
      <c r="F56" s="1907"/>
      <c r="I56" s="1916" t="s">
        <v>1554</v>
      </c>
      <c r="J56" s="3300" t="s">
        <v>3061</v>
      </c>
      <c r="K56" s="1887" t="s">
        <v>1555</v>
      </c>
      <c r="L56" s="1890" t="str">
        <f ca="1">IF(L48&lt;J51,"——",L48-J53)</f>
        <v>——</v>
      </c>
      <c r="O56" s="1884" t="s">
        <v>1040</v>
      </c>
      <c r="P56" s="1885" t="s">
        <v>1528</v>
      </c>
      <c r="Q56" s="1886">
        <f ca="1">C40+J29</f>
        <v>1914</v>
      </c>
      <c r="R56" s="1886" t="s">
        <v>1529</v>
      </c>
    </row>
    <row r="57" spans="1:18" s="1842" customFormat="1" ht="24.75" thickBot="1">
      <c r="A57" s="1918"/>
      <c r="B57" s="1170" t="s">
        <v>1478</v>
      </c>
      <c r="C57" s="281">
        <f ca="1">C29</f>
        <v>550</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9" t="s">
        <v>1030</v>
      </c>
      <c r="B58" s="1178" t="s">
        <v>1424</v>
      </c>
      <c r="C58" s="360">
        <f ca="1">ROUND(C59+C64+C65+C66,0)</f>
        <v>14</v>
      </c>
      <c r="D58" s="1180" t="s">
        <v>1425</v>
      </c>
      <c r="E58" s="1181"/>
      <c r="F58" s="1182"/>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3">
        <f ca="1">ROUND(IF(项目基本情况!B11="自然人",C48*F59,C60+C61+C62),1)</f>
        <v>4.7</v>
      </c>
      <c r="D59" s="1183" t="s">
        <v>1430</v>
      </c>
      <c r="E59" s="1184" t="s">
        <v>1431</v>
      </c>
      <c r="F59" s="367"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3">
        <f ca="1">IF(项目基本情况!B11="自然人","——",ROUND(C48*F60/(1+'数据-取费表'!C42),2))</f>
        <v>0</v>
      </c>
      <c r="D60" s="1184" t="s">
        <v>1434</v>
      </c>
      <c r="E60" s="1170" t="s">
        <v>1422</v>
      </c>
      <c r="F60" s="376">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2" t="s">
        <v>1492</v>
      </c>
      <c r="B61" s="1170" t="s">
        <v>1493</v>
      </c>
      <c r="C61" s="23">
        <f ca="1">IF(项目基本情况!B11="自然人","——",IF(D61="按租金收入计税",ROUND(C48*F61,2),IF(D61="按房产原值计税",ROUND(C57*F61*0.7,2),INDIRECT("'数据-取费表'!Aj"&amp;$G$1))))</f>
        <v>4.62</v>
      </c>
      <c r="D61" s="1828" t="s">
        <v>1438</v>
      </c>
      <c r="E61" s="1170" t="s">
        <v>1494</v>
      </c>
      <c r="F61" s="366">
        <f t="shared" si="0"/>
        <v>1.2E-2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2" t="s">
        <v>1495</v>
      </c>
      <c r="B62" s="1169" t="s">
        <v>1496</v>
      </c>
      <c r="C62" s="24">
        <f ca="1">IF(项目基本情况!B11="自然人","——",ROUND(F62*F63/10000,2))</f>
        <v>0.12</v>
      </c>
      <c r="D62" s="1185" t="s">
        <v>1497</v>
      </c>
      <c r="E62" s="1170" t="s">
        <v>1498</v>
      </c>
      <c r="F62" s="370">
        <f t="shared" si="0"/>
        <v>16</v>
      </c>
      <c r="I62" s="1929" t="s">
        <v>1570</v>
      </c>
      <c r="J62" s="1930" t="s">
        <v>1571</v>
      </c>
      <c r="K62" s="1930" t="s">
        <v>1572</v>
      </c>
      <c r="L62" s="1930" t="s">
        <v>1573</v>
      </c>
      <c r="M62" s="1931" t="s">
        <v>1574</v>
      </c>
      <c r="O62" s="1884" t="s">
        <v>1046</v>
      </c>
      <c r="P62" s="1885" t="s">
        <v>1575</v>
      </c>
      <c r="Q62" s="1886">
        <f ca="1">Q56+Q57</f>
        <v>1914</v>
      </c>
      <c r="R62" s="1886" t="s">
        <v>1047</v>
      </c>
    </row>
    <row r="63" spans="1:18" s="1842" customFormat="1" ht="13.5" thickBot="1">
      <c r="A63" s="371"/>
      <c r="B63" s="1176"/>
      <c r="C63" s="28"/>
      <c r="D63" s="1186"/>
      <c r="E63" s="1170" t="s">
        <v>1499</v>
      </c>
      <c r="F63" s="347">
        <f t="shared" ca="1" si="0"/>
        <v>73.69</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3">
        <f ca="1">ROUND(C57*F64,1)</f>
        <v>8.3000000000000007</v>
      </c>
      <c r="D64" s="1184" t="s">
        <v>1502</v>
      </c>
      <c r="E64" s="1170" t="s">
        <v>1494</v>
      </c>
      <c r="F64" s="373">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3">
        <f ca="1">ROUND(C56*F65,1)</f>
        <v>0.8</v>
      </c>
      <c r="D65" s="1184" t="s">
        <v>1454</v>
      </c>
      <c r="E65" s="1170" t="s">
        <v>1455</v>
      </c>
      <c r="F65" s="375">
        <f t="shared" ca="1" si="0"/>
        <v>1.5E-3</v>
      </c>
      <c r="I65" s="1929" t="s">
        <v>1579</v>
      </c>
      <c r="J65" s="1930">
        <v>40</v>
      </c>
      <c r="K65" s="1930">
        <v>30</v>
      </c>
      <c r="L65" s="1930">
        <v>50</v>
      </c>
      <c r="M65" s="1932">
        <v>0.02</v>
      </c>
      <c r="O65" s="1884" t="s">
        <v>1040</v>
      </c>
      <c r="P65" s="1885" t="s">
        <v>1580</v>
      </c>
      <c r="Q65" s="1886">
        <f ca="1">C40+J29</f>
        <v>1914</v>
      </c>
      <c r="R65" s="1886" t="s">
        <v>1529</v>
      </c>
    </row>
    <row r="66" spans="1:18" s="1842" customFormat="1" ht="16.5" thickBot="1">
      <c r="A66" s="1202" t="s">
        <v>1504</v>
      </c>
      <c r="B66" s="1170" t="s">
        <v>1439</v>
      </c>
      <c r="C66" s="23">
        <f ca="1">ROUND(C48*F66,1)</f>
        <v>0</v>
      </c>
      <c r="D66" s="1184" t="s">
        <v>1505</v>
      </c>
      <c r="E66" s="1170" t="s">
        <v>1422</v>
      </c>
      <c r="F66" s="356">
        <f t="shared" ca="1" si="0"/>
        <v>0.02</v>
      </c>
      <c r="O66" s="1884" t="s">
        <v>1041</v>
      </c>
      <c r="P66" s="1885" t="s">
        <v>1558</v>
      </c>
      <c r="Q66" s="1886">
        <f ca="1">L60</f>
        <v>0</v>
      </c>
      <c r="R66" s="1886" t="s">
        <v>1581</v>
      </c>
    </row>
    <row r="67" spans="1:18" s="1842" customFormat="1" ht="16.5" thickBot="1">
      <c r="A67" s="1177" t="s">
        <v>1031</v>
      </c>
      <c r="B67" s="1187" t="s">
        <v>1463</v>
      </c>
      <c r="C67" s="360">
        <f ca="1">C48-C58</f>
        <v>-14</v>
      </c>
      <c r="D67" s="1183" t="s">
        <v>1464</v>
      </c>
      <c r="E67" s="1188"/>
      <c r="F67" s="1189"/>
      <c r="O67" s="1894" t="s">
        <v>1042</v>
      </c>
      <c r="P67" s="1885" t="s">
        <v>1562</v>
      </c>
      <c r="Q67" s="1933">
        <f ca="1">L51</f>
        <v>755</v>
      </c>
      <c r="R67" s="1886" t="s">
        <v>1582</v>
      </c>
    </row>
    <row r="68" spans="1:18" s="1842" customFormat="1" ht="16.5" thickBot="1">
      <c r="A68" s="1167" t="s">
        <v>1032</v>
      </c>
      <c r="B68" s="1168" t="s">
        <v>1485</v>
      </c>
      <c r="C68" s="345">
        <f ca="1">ROUND(C67*(1-((1+F70)/(1+F68))^F69)/(F68-F70),0)</f>
        <v>-216</v>
      </c>
      <c r="D68" s="1185" t="s">
        <v>1469</v>
      </c>
      <c r="E68" s="1170" t="s">
        <v>1470</v>
      </c>
      <c r="F68" s="356">
        <f ca="1">F40</f>
        <v>5.5E-2</v>
      </c>
      <c r="O68" s="1894" t="s">
        <v>1043</v>
      </c>
      <c r="P68" s="1934" t="s">
        <v>1583</v>
      </c>
      <c r="Q68" s="1886">
        <f ca="1">ROUND(Q69-Q70*Q71,0)</f>
        <v>46</v>
      </c>
      <c r="R68" s="1886" t="s">
        <v>1051</v>
      </c>
    </row>
    <row r="69" spans="1:18" s="1842" customFormat="1" ht="13.5" thickBot="1">
      <c r="A69" s="1171"/>
      <c r="B69" s="1172"/>
      <c r="C69" s="350"/>
      <c r="D69" s="1190" t="s">
        <v>1473</v>
      </c>
      <c r="E69" s="1170" t="s">
        <v>1474</v>
      </c>
      <c r="F69" s="378">
        <f ca="1">F41</f>
        <v>35.22</v>
      </c>
      <c r="O69" s="1894" t="s">
        <v>1048</v>
      </c>
      <c r="P69" s="1934" t="s">
        <v>1584</v>
      </c>
      <c r="Q69" s="1886">
        <f ca="1">C39</f>
        <v>90</v>
      </c>
      <c r="R69" s="1886" t="s">
        <v>1529</v>
      </c>
    </row>
    <row r="70" spans="1:18" s="1842" customFormat="1" ht="13.5" thickBot="1">
      <c r="A70" s="1174"/>
      <c r="B70" s="1175"/>
      <c r="C70" s="354"/>
      <c r="D70" s="1186"/>
      <c r="E70" s="1170" t="s">
        <v>1477</v>
      </c>
      <c r="F70" s="1275"/>
      <c r="O70" s="1894" t="s">
        <v>1049</v>
      </c>
      <c r="P70" s="1934" t="s">
        <v>1585</v>
      </c>
      <c r="Q70" s="1886">
        <f ca="1">C13</f>
        <v>550</v>
      </c>
      <c r="R70" s="1886" t="s">
        <v>1529</v>
      </c>
    </row>
    <row r="71" spans="1:18" s="1842" customFormat="1" ht="13.5" thickBot="1">
      <c r="A71" s="1191" t="s">
        <v>1033</v>
      </c>
      <c r="B71" s="1192" t="s">
        <v>1487</v>
      </c>
      <c r="C71" s="381">
        <f ca="1">ROUND(C68*10000/F71,0)</f>
        <v>-1579</v>
      </c>
      <c r="D71" s="1193" t="s">
        <v>1488</v>
      </c>
      <c r="E71" s="1194" t="s">
        <v>1489</v>
      </c>
      <c r="F71" s="384">
        <f ca="1">F43</f>
        <v>1368.3300000000163</v>
      </c>
      <c r="O71" s="1894" t="s">
        <v>1050</v>
      </c>
      <c r="P71" s="1934" t="s">
        <v>1586</v>
      </c>
      <c r="Q71" s="1897">
        <f ca="1">C76</f>
        <v>0.08</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5" t="s">
        <v>1506</v>
      </c>
      <c r="C75" s="386">
        <f ca="1">ROUND(C13*C76,0)</f>
        <v>44</v>
      </c>
      <c r="D75" s="1842"/>
      <c r="E75" s="1842"/>
      <c r="F75" s="1842"/>
      <c r="K75" s="1868"/>
      <c r="L75" s="1842"/>
      <c r="O75" s="1884" t="s">
        <v>1046</v>
      </c>
      <c r="P75" s="1885" t="s">
        <v>1549</v>
      </c>
      <c r="Q75" s="1886">
        <f ca="1">Q65+Q66</f>
        <v>1914</v>
      </c>
      <c r="R75" s="1886" t="s">
        <v>1047</v>
      </c>
    </row>
    <row r="76" spans="1:18">
      <c r="B76" s="387" t="s">
        <v>1507</v>
      </c>
      <c r="C76" s="388">
        <f ca="1">INDIRECT("'数据-取费表'!j"&amp;$G$1)</f>
        <v>0.08</v>
      </c>
      <c r="I76" s="1842"/>
      <c r="J76" s="1842"/>
      <c r="K76" s="1868"/>
      <c r="L76" s="1842"/>
    </row>
    <row r="77" spans="1:18">
      <c r="B77" s="389" t="s">
        <v>1508</v>
      </c>
      <c r="C77" s="390"/>
      <c r="I77" s="1842"/>
      <c r="J77" s="1842"/>
      <c r="K77" s="1868"/>
      <c r="L77" s="1842"/>
    </row>
    <row r="78" spans="1:18">
      <c r="B78" s="313" t="s">
        <v>1509</v>
      </c>
      <c r="C78" s="391"/>
    </row>
    <row r="79" spans="1:18">
      <c r="B79" s="385" t="s">
        <v>1510</v>
      </c>
      <c r="C79" s="317">
        <f ca="1">1-C80</f>
        <v>0.51100000000000001</v>
      </c>
    </row>
    <row r="80" spans="1:18">
      <c r="B80" s="385" t="s">
        <v>1511</v>
      </c>
      <c r="C80" s="317">
        <f ca="1">ROUND(C75/C39,3)</f>
        <v>0.48899999999999999</v>
      </c>
    </row>
    <row r="81" spans="2:3">
      <c r="B81" s="313" t="s">
        <v>1512</v>
      </c>
      <c r="C81" s="281"/>
    </row>
    <row r="82" spans="2:3">
      <c r="B82" s="316" t="s">
        <v>1513</v>
      </c>
      <c r="C82" s="318">
        <f ca="1">1-C83</f>
        <v>0.71300000000000008</v>
      </c>
    </row>
    <row r="83" spans="2:3">
      <c r="B83" s="316" t="s">
        <v>1514</v>
      </c>
      <c r="C83" s="317">
        <f ca="1">ROUND(C13/C40,3)</f>
        <v>0.28699999999999998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71" t="str">
        <f>项目基本情况!B1</f>
        <v>湖北省武汉市江岸区解放大道与张公堤路交叉口处房地产市场价值预评估</v>
      </c>
      <c r="C37" s="2971"/>
      <c r="D37" s="2971"/>
      <c r="E37" s="2971"/>
      <c r="F37" s="2971"/>
      <c r="G37" s="2971"/>
      <c r="H37" s="2971"/>
      <c r="I37" s="2971"/>
    </row>
    <row r="38" spans="1:9">
      <c r="A38" s="1017"/>
      <c r="B38" s="1017"/>
    </row>
    <row r="39" spans="1:9">
      <c r="A39" s="1015" t="s">
        <v>818</v>
      </c>
      <c r="B39" s="1015" t="s">
        <v>820</v>
      </c>
    </row>
    <row r="40" spans="1:9">
      <c r="A40" s="1015"/>
      <c r="B40" s="1942" t="str">
        <f>项目基本情况!B5</f>
        <v>武汉统建城市开发有限责任公司</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王鹏（注册号：1120050019)、郑燚（注册号：1120070131)</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2331</v>
      </c>
      <c r="B1" s="1937"/>
      <c r="C1" s="241"/>
      <c r="D1" s="241"/>
      <c r="E1" s="241"/>
      <c r="F1" s="241"/>
      <c r="G1" s="1379">
        <f>MATCH(B1,'数据-取费表'!A6:A16,0)+5</f>
        <v>7</v>
      </c>
    </row>
    <row r="2" spans="1:9" s="243" customFormat="1" ht="18" customHeight="1">
      <c r="A2" s="244" t="s">
        <v>2332</v>
      </c>
      <c r="B2" s="245">
        <f ca="1">IF(D2="——",C52,C52-E2)</f>
        <v>590</v>
      </c>
      <c r="C2" s="242" t="s">
        <v>2333</v>
      </c>
      <c r="D2" s="2546" t="s">
        <v>70</v>
      </c>
      <c r="E2" s="1440" t="e">
        <f ca="1">SUMIF(INDIRECT("'"&amp;G2&amp;"'"&amp;"!A:A"),"承租人权益价值",INDIRECT("'"&amp;G2&amp;"'"&amp;"!c:c"))</f>
        <v>#REF!</v>
      </c>
      <c r="F2" s="2547" t="s">
        <v>2333</v>
      </c>
      <c r="G2" s="2548"/>
    </row>
    <row r="3" spans="1:9" s="243" customFormat="1" ht="18" customHeight="1" thickBot="1">
      <c r="A3" s="246" t="s">
        <v>2334</v>
      </c>
      <c r="B3" s="247">
        <f ca="1">ROUND(B2*10000/(IF(B1="",'数据-汇总表'!E3,INDIRECT("'数据-取费表'!k"&amp;$G$1))),0)</f>
        <v>4312</v>
      </c>
      <c r="C3" s="242" t="s">
        <v>2335</v>
      </c>
      <c r="D3" s="242"/>
      <c r="E3" s="242"/>
      <c r="F3" s="242"/>
      <c r="G3" s="242"/>
    </row>
    <row r="4" spans="1:9" s="251" customFormat="1" ht="15.75">
      <c r="A4" s="248" t="s">
        <v>2336</v>
      </c>
      <c r="B4" s="249"/>
      <c r="C4" s="249"/>
      <c r="D4" s="249"/>
      <c r="E4" s="249"/>
      <c r="F4" s="249"/>
      <c r="G4" s="250"/>
    </row>
    <row r="5" spans="1:9" s="257" customFormat="1" ht="13.5" customHeight="1">
      <c r="A5" s="298" t="s">
        <v>2337</v>
      </c>
      <c r="B5" s="253" t="s">
        <v>2338</v>
      </c>
      <c r="C5" s="254">
        <f>C6+C7+C8</f>
        <v>0</v>
      </c>
      <c r="D5" s="254" t="s">
        <v>2339</v>
      </c>
      <c r="E5" s="255" t="s">
        <v>2340</v>
      </c>
      <c r="F5" s="255" t="s">
        <v>2341</v>
      </c>
      <c r="G5" s="256"/>
    </row>
    <row r="6" spans="1:9" s="257" customFormat="1" ht="13.5" customHeight="1">
      <c r="A6" s="950" t="s">
        <v>2342</v>
      </c>
      <c r="B6" s="258" t="s">
        <v>2343</v>
      </c>
      <c r="C6" s="259"/>
      <c r="D6" s="260"/>
      <c r="E6" s="261"/>
      <c r="F6" s="261"/>
      <c r="G6" s="262"/>
    </row>
    <row r="7" spans="1:9" s="257" customFormat="1" ht="13.5" customHeight="1">
      <c r="A7" s="950" t="s">
        <v>2344</v>
      </c>
      <c r="B7" s="258" t="s">
        <v>2345</v>
      </c>
      <c r="C7" s="263">
        <f>ROUND(C6*F7,0)</f>
        <v>0</v>
      </c>
      <c r="D7" s="263"/>
      <c r="E7" s="261"/>
      <c r="F7" s="264">
        <f>'数据-取费表'!B48+'数据-取费表'!B49</f>
        <v>3.0499999999999999E-2</v>
      </c>
      <c r="G7" s="262"/>
    </row>
    <row r="8" spans="1:9" s="266" customFormat="1">
      <c r="A8" s="950" t="s">
        <v>2346</v>
      </c>
      <c r="B8" s="258" t="s">
        <v>2347</v>
      </c>
      <c r="C8" s="263">
        <f>IF(G8="已包含在土地购买价格中","0",IF(B1="",'数据-取费表'!B29,IF(G9="全部缴纳",C9+C10,H9)))</f>
        <v>0</v>
      </c>
      <c r="D8" s="265"/>
      <c r="E8" s="263"/>
      <c r="F8" s="264"/>
      <c r="G8" s="2549"/>
    </row>
    <row r="9" spans="1:9" s="257" customFormat="1" ht="13.5" customHeight="1">
      <c r="A9" s="951" t="s">
        <v>800</v>
      </c>
      <c r="B9" s="267" t="s">
        <v>2348</v>
      </c>
      <c r="C9" s="268">
        <f ca="1">ROUND(D9*E9/10000,0)</f>
        <v>0</v>
      </c>
      <c r="D9" s="1033">
        <f ca="1">IF(B1="",'数据-汇总表'!E5,IF(INDIRECT("'数据-取费表'!c"&amp;$G$1)="住宅",INDIRECT("'数据-取费表'!k"&amp;$G$1),0))</f>
        <v>0</v>
      </c>
      <c r="E9" s="268">
        <f>'数据-取费表'!B27</f>
        <v>120</v>
      </c>
      <c r="F9" s="264"/>
      <c r="G9" s="2550"/>
      <c r="H9" s="1390"/>
      <c r="I9" s="2551" t="s">
        <v>2349</v>
      </c>
    </row>
    <row r="10" spans="1:9" s="257" customFormat="1" ht="13.5" customHeight="1">
      <c r="A10" s="951" t="s">
        <v>801</v>
      </c>
      <c r="B10" s="267" t="s">
        <v>2350</v>
      </c>
      <c r="C10" s="268">
        <f ca="1">ROUND(D10*E10/10000,0)</f>
        <v>16</v>
      </c>
      <c r="D10" s="1033">
        <f ca="1">IF(B1="",'数据-汇总表'!E6,IF(INDIRECT("'数据-取费表'!c"&amp;$G$1)="住宅",INDIRECT("'数据-取费表'!s"&amp;$G$1),INDIRECT("'数据-取费表'!k"&amp;$G$1)+INDIRECT("'数据-取费表'!s"&amp;$G$1)))</f>
        <v>1368.3300000000163</v>
      </c>
      <c r="E10" s="268">
        <f>'数据-取费表'!B28</f>
        <v>120</v>
      </c>
      <c r="F10" s="264"/>
      <c r="G10" s="269"/>
    </row>
    <row r="11" spans="1:9" s="257" customFormat="1" ht="13.5" hidden="1" customHeight="1">
      <c r="A11" s="270" t="s">
        <v>7</v>
      </c>
      <c r="B11" s="258" t="s">
        <v>2351</v>
      </c>
      <c r="C11" s="254"/>
      <c r="D11" s="1035"/>
      <c r="E11" s="261"/>
      <c r="F11" s="261"/>
      <c r="G11" s="262"/>
    </row>
    <row r="12" spans="1:9" s="257" customFormat="1" ht="13.5" hidden="1" customHeight="1">
      <c r="A12" s="270" t="s">
        <v>8</v>
      </c>
      <c r="B12" s="258" t="s">
        <v>2352</v>
      </c>
      <c r="C12" s="254">
        <v>0</v>
      </c>
      <c r="D12" s="1035"/>
      <c r="E12" s="271"/>
      <c r="F12" s="264">
        <v>3.0499999999999999E-2</v>
      </c>
      <c r="G12" s="262"/>
    </row>
    <row r="13" spans="1:9" s="257" customFormat="1" ht="13.5" hidden="1" customHeight="1">
      <c r="A13" s="270" t="s">
        <v>9</v>
      </c>
      <c r="B13" s="258" t="s">
        <v>2353</v>
      </c>
      <c r="C13" s="254"/>
      <c r="D13" s="1035"/>
      <c r="E13" s="261"/>
      <c r="F13" s="261"/>
      <c r="G13" s="262"/>
    </row>
    <row r="14" spans="1:9" s="257" customFormat="1" ht="13.5" hidden="1" customHeight="1">
      <c r="A14" s="270" t="s">
        <v>10</v>
      </c>
      <c r="B14" s="258" t="s">
        <v>2354</v>
      </c>
      <c r="C14" s="254"/>
      <c r="D14" s="1035"/>
      <c r="E14" s="261"/>
      <c r="F14" s="261"/>
      <c r="G14" s="262" t="s">
        <v>2355</v>
      </c>
    </row>
    <row r="15" spans="1:9" s="257" customFormat="1" ht="13.5" hidden="1" customHeight="1">
      <c r="A15" s="270" t="s">
        <v>11</v>
      </c>
      <c r="B15" s="258" t="s">
        <v>2356</v>
      </c>
      <c r="C15" s="263"/>
      <c r="D15" s="1035"/>
      <c r="E15" s="261"/>
      <c r="F15" s="261"/>
      <c r="G15" s="262" t="s">
        <v>2357</v>
      </c>
    </row>
    <row r="16" spans="1:9" s="257" customFormat="1" ht="13.5" hidden="1" customHeight="1">
      <c r="A16" s="270" t="s">
        <v>12</v>
      </c>
      <c r="B16" s="258" t="s">
        <v>2354</v>
      </c>
      <c r="C16" s="263"/>
      <c r="D16" s="1035"/>
      <c r="E16" s="261"/>
      <c r="F16" s="261"/>
      <c r="G16" s="262"/>
    </row>
    <row r="17" spans="1:7" s="257" customFormat="1" ht="13.5" hidden="1" customHeight="1">
      <c r="A17" s="270" t="s">
        <v>13</v>
      </c>
      <c r="B17" s="258" t="s">
        <v>2358</v>
      </c>
      <c r="C17" s="272"/>
      <c r="D17" s="1036"/>
      <c r="E17" s="272"/>
      <c r="F17" s="272"/>
      <c r="G17" s="262" t="s">
        <v>2357</v>
      </c>
    </row>
    <row r="18" spans="1:7" s="257" customFormat="1" ht="13.5" hidden="1" customHeight="1">
      <c r="A18" s="270" t="s">
        <v>14</v>
      </c>
      <c r="B18" s="258" t="s">
        <v>2359</v>
      </c>
      <c r="C18" s="263">
        <v>0</v>
      </c>
      <c r="D18" s="1035"/>
      <c r="E18" s="261"/>
      <c r="F18" s="264">
        <v>3.0499999999999999E-2</v>
      </c>
      <c r="G18" s="262" t="s">
        <v>2360</v>
      </c>
    </row>
    <row r="19" spans="1:7" s="266" customFormat="1" ht="13.5" customHeight="1">
      <c r="A19" s="298" t="s">
        <v>2361</v>
      </c>
      <c r="B19" s="253" t="s">
        <v>2362</v>
      </c>
      <c r="C19" s="254">
        <f ca="1">IF(G19="已包含在土地取得成本中","0",ROUND(D19*E19/10000,0))</f>
        <v>27</v>
      </c>
      <c r="D19" s="1037">
        <f ca="1">D9+D10</f>
        <v>1368.3300000000163</v>
      </c>
      <c r="E19" s="254">
        <f>'数据-取费表'!B31</f>
        <v>200</v>
      </c>
      <c r="F19" s="274"/>
      <c r="G19" s="2549"/>
    </row>
    <row r="20" spans="1:7" s="257" customFormat="1" ht="13.5" customHeight="1">
      <c r="A20" s="298" t="s">
        <v>2363</v>
      </c>
      <c r="B20" s="253" t="s">
        <v>2364</v>
      </c>
      <c r="C20" s="275">
        <f ca="1">ROUND((C5+C19)*F20,0)</f>
        <v>1</v>
      </c>
      <c r="D20" s="275"/>
      <c r="E20" s="275"/>
      <c r="F20" s="276">
        <f>'数据-取费表'!B37</f>
        <v>0.02</v>
      </c>
      <c r="G20" s="277" t="s">
        <v>2365</v>
      </c>
    </row>
    <row r="21" spans="1:7" s="257" customFormat="1" ht="13.5" customHeight="1">
      <c r="A21" s="298" t="s">
        <v>2366</v>
      </c>
      <c r="B21" s="253" t="s">
        <v>2367</v>
      </c>
      <c r="C21" s="278">
        <f>F21</f>
        <v>0.02</v>
      </c>
      <c r="D21" s="279" t="s">
        <v>2368</v>
      </c>
      <c r="E21" s="275"/>
      <c r="F21" s="276">
        <f>'数据-取费表'!B38</f>
        <v>0.02</v>
      </c>
      <c r="G21" s="277" t="s">
        <v>2369</v>
      </c>
    </row>
    <row r="22" spans="1:7" s="257" customFormat="1" ht="13.5" customHeight="1">
      <c r="A22" s="298" t="s">
        <v>2370</v>
      </c>
      <c r="B22" s="253" t="s">
        <v>2371</v>
      </c>
      <c r="C22" s="1354">
        <f ca="1">ROUND(SUM(C23:C25),0)</f>
        <v>3</v>
      </c>
      <c r="D22" s="278">
        <f ca="1">C26</f>
        <v>1E-3</v>
      </c>
      <c r="E22" s="279" t="s">
        <v>2368</v>
      </c>
      <c r="F22" s="280">
        <f ca="1">'数据-取费表'!B40</f>
        <v>4.7500000000000001E-2</v>
      </c>
      <c r="G22" s="277" t="str">
        <f>IF('数据-取费表'!B22&lt;=1,"单利计息","复利计息")</f>
        <v>复利计息</v>
      </c>
    </row>
    <row r="23" spans="1:7" s="257" customFormat="1" ht="13.5" customHeight="1">
      <c r="A23" s="952" t="s">
        <v>2372</v>
      </c>
      <c r="B23" s="258" t="s">
        <v>2373</v>
      </c>
      <c r="C23" s="1355">
        <f ca="1">ROUND(IF('数据-取费表'!B22&lt;=1,C5*F22*'数据-取费表'!B23,C5*(POWER((1+F22),'数据-取费表'!B23)-1)),0)</f>
        <v>0</v>
      </c>
      <c r="D23" s="281"/>
      <c r="E23" s="281"/>
      <c r="F23" s="282"/>
      <c r="G23" s="283" t="s">
        <v>2374</v>
      </c>
    </row>
    <row r="24" spans="1:7" s="257" customFormat="1" ht="13.5" customHeight="1">
      <c r="A24" s="952" t="s">
        <v>2375</v>
      </c>
      <c r="B24" s="258" t="s">
        <v>2376</v>
      </c>
      <c r="C24" s="1355">
        <f ca="1">ROUND(IF('数据-取费表'!B22&lt;=1,C19*F22*('数据-取费表'!B19/2+'数据-取费表'!B21),C19*(POWER((1+F22),('数据-取费表'!B19/2+'数据-取费表'!B21))-1)),0)</f>
        <v>3</v>
      </c>
      <c r="D24" s="281"/>
      <c r="E24" s="281"/>
      <c r="F24" s="282"/>
      <c r="G24" s="283" t="s">
        <v>2377</v>
      </c>
    </row>
    <row r="25" spans="1:7" s="257" customFormat="1" ht="24">
      <c r="A25" s="952" t="s">
        <v>2378</v>
      </c>
      <c r="B25" s="258" t="s">
        <v>2379</v>
      </c>
      <c r="C25" s="1355">
        <f ca="1">ROUND(IF('数据-取费表'!B22&lt;=1,C20*F22*'数据-取费表'!B23/2,C20*(POWER((1+F22),'数据-取费表'!B23/2)-1)),0)</f>
        <v>0</v>
      </c>
      <c r="D25" s="281"/>
      <c r="E25" s="284"/>
      <c r="F25" s="282"/>
      <c r="G25" s="285" t="s">
        <v>2380</v>
      </c>
    </row>
    <row r="26" spans="1:7" s="257" customFormat="1">
      <c r="A26" s="952" t="s">
        <v>795</v>
      </c>
      <c r="B26" s="258" t="s">
        <v>2381</v>
      </c>
      <c r="C26" s="281">
        <f ca="1">ROUND(IF('数据-取费表'!B22&lt;=1,F21*F22*'数据-取费表'!B23/2,F21*(POWER((1+F22),'数据-取费表'!B23/2)-1)),4)</f>
        <v>1E-3</v>
      </c>
      <c r="D26" s="281"/>
      <c r="E26" s="284"/>
      <c r="F26" s="282"/>
      <c r="G26" s="286"/>
    </row>
    <row r="27" spans="1:7" s="257" customFormat="1" ht="24.75">
      <c r="A27" s="298" t="s">
        <v>2382</v>
      </c>
      <c r="B27" s="287" t="s">
        <v>2383</v>
      </c>
      <c r="C27" s="288">
        <f ca="1">C28</f>
        <v>6</v>
      </c>
      <c r="D27" s="278">
        <f ca="1">C29</f>
        <v>4.0000000000000001E-3</v>
      </c>
      <c r="E27" s="279" t="s">
        <v>2384</v>
      </c>
      <c r="F27" s="289">
        <f ca="1">IF(B1="",'数据-取费表'!Q16,INDIRECT("'数据-取费表'!q"&amp;$G$1))</f>
        <v>0.2</v>
      </c>
      <c r="G27" s="290" t="s">
        <v>2385</v>
      </c>
    </row>
    <row r="28" spans="1:7" s="257" customFormat="1" ht="13.5" customHeight="1">
      <c r="A28" s="952" t="s">
        <v>791</v>
      </c>
      <c r="B28" s="291" t="s">
        <v>2386</v>
      </c>
      <c r="C28" s="292">
        <f ca="1">ROUND((C5+C19+C20)*F27*'数据-取费表'!B21/'数据-取费表'!B20,0)</f>
        <v>6</v>
      </c>
      <c r="D28" s="278"/>
      <c r="E28" s="279"/>
      <c r="F28" s="289"/>
      <c r="G28" s="290"/>
    </row>
    <row r="29" spans="1:7" s="257" customFormat="1" ht="13.5" customHeight="1">
      <c r="A29" s="952" t="s">
        <v>792</v>
      </c>
      <c r="B29" s="291" t="s">
        <v>2387</v>
      </c>
      <c r="C29" s="281">
        <f ca="1">ROUND(C21*F27*'数据-取费表'!B21/'数据-取费表'!B20,4)</f>
        <v>4.0000000000000001E-3</v>
      </c>
      <c r="D29" s="278"/>
      <c r="E29" s="279"/>
      <c r="F29" s="289"/>
      <c r="G29" s="290"/>
    </row>
    <row r="30" spans="1:7" s="257" customFormat="1" ht="13.5" customHeight="1">
      <c r="A30" s="298" t="s">
        <v>2388</v>
      </c>
      <c r="B30" s="253" t="s">
        <v>2389</v>
      </c>
      <c r="C30" s="278">
        <f>ROUND(F30/(1+'数据-取费表'!C42),4)</f>
        <v>5.33E-2</v>
      </c>
      <c r="D30" s="279" t="s">
        <v>2384</v>
      </c>
      <c r="E30" s="284"/>
      <c r="F30" s="280">
        <f>'数据-取费表'!B41</f>
        <v>5.6000000000000001E-2</v>
      </c>
      <c r="G30" s="277" t="s">
        <v>2390</v>
      </c>
    </row>
    <row r="31" spans="1:7" ht="16.5" customHeight="1">
      <c r="A31" s="252">
        <v>1</v>
      </c>
      <c r="B31" s="253" t="s">
        <v>2391</v>
      </c>
      <c r="C31" s="254">
        <f ca="1">ROUND((C5+C19+C20+C22+C27)/(1-C21-D22-D27-C30),0)</f>
        <v>40</v>
      </c>
      <c r="D31" s="273"/>
      <c r="E31" s="254"/>
      <c r="F31" s="293"/>
      <c r="G31" s="277" t="s">
        <v>2392</v>
      </c>
    </row>
    <row r="32" spans="1:7" s="251" customFormat="1" ht="15.75">
      <c r="A32" s="295" t="s">
        <v>2393</v>
      </c>
      <c r="B32" s="296"/>
      <c r="C32" s="296"/>
      <c r="D32" s="296"/>
      <c r="E32" s="296"/>
      <c r="F32" s="296"/>
      <c r="G32" s="297"/>
    </row>
    <row r="33" spans="1:7" s="257" customFormat="1" ht="13.5" customHeight="1">
      <c r="A33" s="298" t="s">
        <v>782</v>
      </c>
      <c r="B33" s="253" t="s">
        <v>2394</v>
      </c>
      <c r="C33" s="299">
        <f ca="1">SUM(C34:C38)</f>
        <v>399</v>
      </c>
      <c r="D33" s="275"/>
      <c r="E33" s="255"/>
      <c r="F33" s="284"/>
      <c r="G33" s="277"/>
    </row>
    <row r="34" spans="1:7" s="301" customFormat="1" ht="13.5" customHeight="1">
      <c r="A34" s="952" t="s">
        <v>791</v>
      </c>
      <c r="B34" s="258" t="s">
        <v>2395</v>
      </c>
      <c r="C34" s="263">
        <f ca="1">IF(B1="",IF(F34=100%,'数据-取费表'!M16,'数据-取费表'!O16),IF(F34=100%,INDIRECT("'数据-取费表'!m"&amp;$G$1)+INDIRECT("'数据-取费表'!t"&amp;$G$1),INDIRECT("'数据-取费表'!o"&amp;$G$1)+INDIRECT("'数据-取费表'!aq"&amp;$G$1)))</f>
        <v>356</v>
      </c>
      <c r="D34" s="260"/>
      <c r="E34" s="263"/>
      <c r="F34" s="300">
        <f ca="1">IF('数据-取费表'!B24=0,1,IF(B1="",'数据-取费表'!N16,INDIRECT("'数据-取费表'!n"&amp;$G$1)))</f>
        <v>1</v>
      </c>
      <c r="G34" s="262" t="s">
        <v>2396</v>
      </c>
    </row>
    <row r="35" spans="1:7" ht="13.5" customHeight="1">
      <c r="A35" s="952" t="s">
        <v>796</v>
      </c>
      <c r="B35" s="258" t="s">
        <v>2397</v>
      </c>
      <c r="C35" s="263">
        <f ca="1">ROUND(C34*F35,0)</f>
        <v>11</v>
      </c>
      <c r="D35" s="263"/>
      <c r="E35" s="263"/>
      <c r="F35" s="302">
        <f>'数据-取费表'!B33</f>
        <v>0.03</v>
      </c>
      <c r="G35" s="262" t="s">
        <v>2398</v>
      </c>
    </row>
    <row r="36" spans="1:7" ht="24">
      <c r="A36" s="952" t="s">
        <v>797</v>
      </c>
      <c r="B36" s="258" t="s">
        <v>2399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2400</v>
      </c>
    </row>
    <row r="37" spans="1:7" s="301" customFormat="1" ht="13.5" customHeight="1">
      <c r="A37" s="952" t="s">
        <v>798</v>
      </c>
      <c r="B37" s="258" t="s">
        <v>2401</v>
      </c>
      <c r="C37" s="292">
        <f ca="1">ROUND(E37*D37*F34/10000,0)</f>
        <v>27</v>
      </c>
      <c r="D37" s="260">
        <f ca="1">D19</f>
        <v>1368.3300000000163</v>
      </c>
      <c r="E37" s="292">
        <f>'数据-取费表'!B35</f>
        <v>200</v>
      </c>
      <c r="F37" s="302"/>
      <c r="G37" s="304" t="s">
        <v>2402</v>
      </c>
    </row>
    <row r="38" spans="1:7" ht="13.5" customHeight="1">
      <c r="A38" s="952" t="s">
        <v>799</v>
      </c>
      <c r="B38" s="258" t="s">
        <v>2403</v>
      </c>
      <c r="C38" s="263">
        <f ca="1">ROUND(C34*F38,0)</f>
        <v>5</v>
      </c>
      <c r="D38" s="263"/>
      <c r="E38" s="263"/>
      <c r="F38" s="302">
        <f>'数据-取费表'!B36</f>
        <v>1.4999999999999999E-2</v>
      </c>
      <c r="G38" s="262" t="s">
        <v>2398</v>
      </c>
    </row>
    <row r="39" spans="1:7" s="257" customFormat="1" ht="13.5" customHeight="1">
      <c r="A39" s="298" t="s">
        <v>2404</v>
      </c>
      <c r="B39" s="253" t="s">
        <v>2405</v>
      </c>
      <c r="C39" s="275">
        <f ca="1">ROUND(C33*F20,0)</f>
        <v>8</v>
      </c>
      <c r="D39" s="275"/>
      <c r="E39" s="275"/>
      <c r="F39" s="276"/>
      <c r="G39" s="277" t="s">
        <v>2406</v>
      </c>
    </row>
    <row r="40" spans="1:7" s="257" customFormat="1" ht="13.5" customHeight="1">
      <c r="A40" s="298" t="s">
        <v>2407</v>
      </c>
      <c r="B40" s="253" t="s">
        <v>2408</v>
      </c>
      <c r="C40" s="1728">
        <f>F21</f>
        <v>0.02</v>
      </c>
      <c r="D40" s="279" t="s">
        <v>2409</v>
      </c>
      <c r="E40" s="275"/>
      <c r="F40" s="276"/>
      <c r="G40" s="277" t="s">
        <v>2410</v>
      </c>
    </row>
    <row r="41" spans="1:7" s="257" customFormat="1" ht="13.5" customHeight="1">
      <c r="A41" s="298" t="s">
        <v>2411</v>
      </c>
      <c r="B41" s="253" t="s">
        <v>2412</v>
      </c>
      <c r="C41" s="275">
        <f ca="1">ROUND(SUM(C42:C43),0)</f>
        <v>19</v>
      </c>
      <c r="D41" s="278">
        <f ca="1">C44</f>
        <v>1E-3</v>
      </c>
      <c r="E41" s="279" t="s">
        <v>2409</v>
      </c>
      <c r="F41" s="280"/>
      <c r="G41" s="277" t="str">
        <f>IF('数据-取费表'!B22&lt;=1,"单利计息","复利计息")</f>
        <v>复利计息</v>
      </c>
    </row>
    <row r="42" spans="1:7" ht="13.5" customHeight="1">
      <c r="A42" s="952" t="s">
        <v>791</v>
      </c>
      <c r="B42" s="258" t="s">
        <v>2413</v>
      </c>
      <c r="C42" s="281">
        <f ca="1">ROUND(IF('数据-取费表'!B22&lt;=1,C33*F22*'数据-取费表'!B21/2,C33*(POWER((1+F22),'数据-取费表'!B21/2)-1)),0)</f>
        <v>19</v>
      </c>
      <c r="D42" s="281"/>
      <c r="E42" s="281"/>
      <c r="F42" s="282"/>
      <c r="G42" s="3162" t="s">
        <v>2414</v>
      </c>
    </row>
    <row r="43" spans="1:7" ht="13.5" customHeight="1">
      <c r="A43" s="952" t="s">
        <v>792</v>
      </c>
      <c r="B43" s="258" t="s">
        <v>2415</v>
      </c>
      <c r="C43" s="281">
        <f ca="1">ROUND(IF('数据-取费表'!B22&lt;=1,C39*F22*'数据-取费表'!B21/2,C39*(POWER((1+F22),'数据-取费表'!B21/2)-1)),0)</f>
        <v>0</v>
      </c>
      <c r="D43" s="281"/>
      <c r="E43" s="281"/>
      <c r="F43" s="282"/>
      <c r="G43" s="3163"/>
    </row>
    <row r="44" spans="1:7" ht="13.5" customHeight="1">
      <c r="A44" s="952" t="s">
        <v>793</v>
      </c>
      <c r="B44" s="258" t="s">
        <v>2416</v>
      </c>
      <c r="C44" s="281">
        <f ca="1">ROUND(IF('数据-取费表'!B22&lt;=1,C40*F22*'数据-取费表'!B21/2,C40*(POWER((1+F22),'数据-取费表'!B21/2)-1)),4)</f>
        <v>1E-3</v>
      </c>
      <c r="D44" s="281"/>
      <c r="E44" s="281"/>
      <c r="F44" s="282"/>
      <c r="G44" s="3164"/>
    </row>
    <row r="45" spans="1:7" s="257" customFormat="1" ht="13.5" customHeight="1">
      <c r="A45" s="298" t="s">
        <v>2417</v>
      </c>
      <c r="B45" s="287" t="s">
        <v>2383</v>
      </c>
      <c r="C45" s="288">
        <f ca="1">C46</f>
        <v>81</v>
      </c>
      <c r="D45" s="278">
        <f ca="1">C47</f>
        <v>4.0000000000000001E-3</v>
      </c>
      <c r="E45" s="279" t="s">
        <v>2409</v>
      </c>
      <c r="F45" s="289"/>
      <c r="G45" s="290" t="s">
        <v>2418</v>
      </c>
    </row>
    <row r="46" spans="1:7" s="257" customFormat="1" ht="13.5" customHeight="1">
      <c r="A46" s="952" t="s">
        <v>791</v>
      </c>
      <c r="B46" s="291" t="s">
        <v>2419</v>
      </c>
      <c r="C46" s="292">
        <f ca="1">ROUND((C33+C39)*F27,0)</f>
        <v>81</v>
      </c>
      <c r="D46" s="306"/>
      <c r="E46" s="279"/>
      <c r="F46" s="289"/>
      <c r="G46" s="290"/>
    </row>
    <row r="47" spans="1:7" s="257" customFormat="1" ht="13.5" customHeight="1">
      <c r="A47" s="952" t="s">
        <v>792</v>
      </c>
      <c r="B47" s="291" t="s">
        <v>2420</v>
      </c>
      <c r="C47" s="281">
        <f ca="1">ROUND(C40*F27,4)</f>
        <v>4.0000000000000001E-3</v>
      </c>
      <c r="D47" s="306"/>
      <c r="E47" s="279"/>
      <c r="F47" s="289"/>
      <c r="G47" s="290"/>
    </row>
    <row r="48" spans="1:7" s="257" customFormat="1" ht="13.5" customHeight="1">
      <c r="A48" s="298" t="s">
        <v>2382</v>
      </c>
      <c r="B48" s="253" t="s">
        <v>2421</v>
      </c>
      <c r="C48" s="1728">
        <f>ROUND(F30/(1+'数据-取费表'!C42),4)</f>
        <v>5.33E-2</v>
      </c>
      <c r="D48" s="279" t="s">
        <v>2409</v>
      </c>
      <c r="E48" s="275"/>
      <c r="F48" s="280"/>
      <c r="G48" s="277" t="s">
        <v>2422</v>
      </c>
    </row>
    <row r="49" spans="1:7" ht="16.5" customHeight="1">
      <c r="A49" s="298" t="s">
        <v>2388</v>
      </c>
      <c r="B49" s="253" t="s">
        <v>2423</v>
      </c>
      <c r="C49" s="275">
        <f ca="1">ROUND((C33+C39+C41+C45)/(1-C40-D41-D45-C48),0)</f>
        <v>550</v>
      </c>
      <c r="D49" s="275"/>
      <c r="E49" s="275"/>
      <c r="F49" s="307"/>
      <c r="G49" s="277" t="s">
        <v>2424</v>
      </c>
    </row>
    <row r="50" spans="1:7" s="301" customFormat="1" ht="24">
      <c r="A50" s="298" t="s">
        <v>2425</v>
      </c>
      <c r="B50" s="253" t="s">
        <v>2426</v>
      </c>
      <c r="C50" s="275"/>
      <c r="D50" s="275"/>
      <c r="E50" s="275"/>
      <c r="F50" s="307">
        <f>IF('数据-取费表'!B24=0,'数据-取费表'!N16,1)</f>
        <v>1</v>
      </c>
      <c r="G50" s="290" t="s">
        <v>2427</v>
      </c>
    </row>
    <row r="51" spans="1:7" ht="16.5" customHeight="1">
      <c r="A51" s="298" t="s">
        <v>2428</v>
      </c>
      <c r="B51" s="253" t="s">
        <v>2429</v>
      </c>
      <c r="C51" s="275">
        <f ca="1">ROUND(C49*F50,0)</f>
        <v>550</v>
      </c>
      <c r="D51" s="275"/>
      <c r="E51" s="275"/>
      <c r="F51" s="307"/>
      <c r="G51" s="277" t="s">
        <v>2430</v>
      </c>
    </row>
    <row r="52" spans="1:7" s="251" customFormat="1" ht="16.5" thickBot="1">
      <c r="A52" s="308" t="s">
        <v>2431</v>
      </c>
      <c r="B52" s="309"/>
      <c r="C52" s="310">
        <f ca="1">C31+C51</f>
        <v>590</v>
      </c>
      <c r="D52" s="309"/>
      <c r="E52" s="309"/>
      <c r="F52" s="309"/>
      <c r="G52" s="311"/>
    </row>
    <row r="55" spans="1:7" ht="15">
      <c r="B55" s="313" t="s">
        <v>2432</v>
      </c>
      <c r="C55" s="314"/>
    </row>
    <row r="56" spans="1:7">
      <c r="B56" s="316" t="s">
        <v>1513</v>
      </c>
      <c r="C56" s="318">
        <f ca="1">1-C57</f>
        <v>6.7999999999999949E-2</v>
      </c>
    </row>
    <row r="57" spans="1:7">
      <c r="B57" s="316" t="s">
        <v>1514</v>
      </c>
      <c r="C57" s="317">
        <f ca="1">ROUND(C51/C52,3)</f>
        <v>0.93200000000000005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2331</v>
      </c>
      <c r="B1" s="1937"/>
      <c r="C1" s="2552" t="s">
        <v>2433</v>
      </c>
      <c r="D1" s="241"/>
      <c r="E1" s="241"/>
      <c r="F1" s="241"/>
      <c r="G1" s="1379">
        <f>MATCH(B1,'数据-取费表'!A6:A16,0)+5</f>
        <v>7</v>
      </c>
      <c r="H1" s="1282" t="str">
        <f>IF(ISERROR(FIND("住宅",B1)),"非住宅","住宅")</f>
        <v>非住宅</v>
      </c>
    </row>
    <row r="2" spans="1:8" s="243" customFormat="1" ht="18" customHeight="1">
      <c r="A2" s="244" t="s">
        <v>2332</v>
      </c>
      <c r="B2" s="245">
        <f ca="1">ROUND(IF(D2="——",C52/10000,C52/10000-E2),0)</f>
        <v>614</v>
      </c>
      <c r="C2" s="242" t="s">
        <v>2333</v>
      </c>
      <c r="D2" s="2546" t="s">
        <v>70</v>
      </c>
      <c r="E2" s="1440" t="e">
        <f ca="1">SUMIF(INDIRECT("'"&amp;G2&amp;"'"&amp;"!A:A"),"承租人权益价值",INDIRECT("'"&amp;G2&amp;"'"&amp;"!c:c"))</f>
        <v>#REF!</v>
      </c>
      <c r="F2" s="2547" t="s">
        <v>2333</v>
      </c>
      <c r="G2" s="2548"/>
    </row>
    <row r="3" spans="1:8" s="243" customFormat="1" ht="18" customHeight="1" thickBot="1">
      <c r="A3" s="246" t="s">
        <v>2334</v>
      </c>
      <c r="B3" s="247">
        <f ca="1">ROUND(B2*10000/(IF(B1="",'数据-汇总表'!E3,INDIRECT("'数据-取费表'!k"&amp;$G$1))),0)</f>
        <v>4487</v>
      </c>
      <c r="C3" s="242" t="s">
        <v>2335</v>
      </c>
      <c r="D3" s="242"/>
      <c r="E3" s="242"/>
      <c r="F3" s="242"/>
      <c r="G3" s="242"/>
    </row>
    <row r="4" spans="1:8" s="251" customFormat="1" ht="15.75">
      <c r="A4" s="248" t="s">
        <v>2336</v>
      </c>
      <c r="B4" s="249"/>
      <c r="C4" s="249"/>
      <c r="D4" s="249"/>
      <c r="E4" s="249"/>
      <c r="F4" s="249"/>
      <c r="G4" s="250"/>
    </row>
    <row r="5" spans="1:8" s="257" customFormat="1" ht="13.5" customHeight="1">
      <c r="A5" s="298" t="s">
        <v>2337</v>
      </c>
      <c r="B5" s="253" t="s">
        <v>2338</v>
      </c>
      <c r="C5" s="254">
        <f ca="1">C6+C7+C8</f>
        <v>164200</v>
      </c>
      <c r="D5" s="254" t="s">
        <v>2339</v>
      </c>
      <c r="E5" s="255" t="s">
        <v>2340</v>
      </c>
      <c r="F5" s="255" t="s">
        <v>2341</v>
      </c>
      <c r="G5" s="256"/>
    </row>
    <row r="6" spans="1:8" s="257" customFormat="1" ht="13.5" customHeight="1">
      <c r="A6" s="950" t="s">
        <v>2342</v>
      </c>
      <c r="B6" s="258" t="s">
        <v>2343</v>
      </c>
      <c r="C6" s="259"/>
      <c r="D6" s="260"/>
      <c r="E6" s="261"/>
      <c r="F6" s="261"/>
      <c r="G6" s="262"/>
    </row>
    <row r="7" spans="1:8" s="257" customFormat="1" ht="13.5" customHeight="1">
      <c r="A7" s="950" t="s">
        <v>2344</v>
      </c>
      <c r="B7" s="258" t="s">
        <v>2345</v>
      </c>
      <c r="C7" s="263">
        <f>ROUND(C6*F7,0)</f>
        <v>0</v>
      </c>
      <c r="D7" s="263"/>
      <c r="E7" s="261"/>
      <c r="F7" s="264">
        <f>'数据-取费表'!B48+'数据-取费表'!B49</f>
        <v>3.0499999999999999E-2</v>
      </c>
      <c r="G7" s="262"/>
    </row>
    <row r="8" spans="1:8" s="266" customFormat="1">
      <c r="A8" s="950" t="s">
        <v>2346</v>
      </c>
      <c r="B8" s="258" t="s">
        <v>2347</v>
      </c>
      <c r="C8" s="263">
        <f ca="1">IF(G8="已包含在土地购买价格中",0,C9+C10)</f>
        <v>164200</v>
      </c>
      <c r="D8" s="265"/>
      <c r="E8" s="263"/>
      <c r="F8" s="264"/>
      <c r="G8" s="2549"/>
    </row>
    <row r="9" spans="1:8" s="257" customFormat="1" ht="13.5" customHeight="1">
      <c r="A9" s="951" t="s">
        <v>800</v>
      </c>
      <c r="B9" s="267" t="s">
        <v>2348</v>
      </c>
      <c r="C9" s="268">
        <f ca="1">ROUND(D9*E9,0)</f>
        <v>0</v>
      </c>
      <c r="D9" s="1033">
        <f ca="1">IF(B1="",'数据-汇总表'!E5,IF(INDIRECT("'数据-取费表'!c"&amp;$G$1)="住宅",INDIRECT("'数据-取费表'!k"&amp;$G$1),0))</f>
        <v>0</v>
      </c>
      <c r="E9" s="268">
        <f>'数据-取费表'!B27</f>
        <v>120</v>
      </c>
      <c r="F9" s="264"/>
      <c r="G9" s="269"/>
    </row>
    <row r="10" spans="1:8" s="257" customFormat="1" ht="13.5" customHeight="1">
      <c r="A10" s="951" t="s">
        <v>801</v>
      </c>
      <c r="B10" s="267" t="s">
        <v>2350</v>
      </c>
      <c r="C10" s="268">
        <f ca="1">ROUND(D10*E10,0)</f>
        <v>164200</v>
      </c>
      <c r="D10" s="1033">
        <f ca="1">IF(B1="",'数据-汇总表'!E6,IF(INDIRECT("'数据-取费表'!c"&amp;$G$1)="住宅",INDIRECT("'数据-取费表'!s"&amp;$G$1),INDIRECT("'数据-取费表'!k"&amp;$G$1)+INDIRECT("'数据-取费表'!s"&amp;$G$1)))</f>
        <v>1368.3300000000163</v>
      </c>
      <c r="E10" s="268">
        <f>'数据-取费表'!B28</f>
        <v>120</v>
      </c>
      <c r="F10" s="264"/>
      <c r="G10" s="269"/>
    </row>
    <row r="11" spans="1:8" s="257" customFormat="1" ht="13.5" hidden="1" customHeight="1">
      <c r="A11" s="270" t="s">
        <v>7</v>
      </c>
      <c r="B11" s="258" t="s">
        <v>2351</v>
      </c>
      <c r="C11" s="254"/>
      <c r="D11" s="1035"/>
      <c r="E11" s="261"/>
      <c r="F11" s="261"/>
      <c r="G11" s="262"/>
    </row>
    <row r="12" spans="1:8" s="257" customFormat="1" ht="13.5" hidden="1" customHeight="1">
      <c r="A12" s="270" t="s">
        <v>8</v>
      </c>
      <c r="B12" s="258" t="s">
        <v>2434</v>
      </c>
      <c r="C12" s="254">
        <v>0</v>
      </c>
      <c r="D12" s="1035"/>
      <c r="E12" s="271"/>
      <c r="F12" s="264">
        <v>3.0499999999999999E-2</v>
      </c>
      <c r="G12" s="262"/>
    </row>
    <row r="13" spans="1:8" s="257" customFormat="1" ht="13.5" hidden="1" customHeight="1">
      <c r="A13" s="270" t="s">
        <v>9</v>
      </c>
      <c r="B13" s="258" t="s">
        <v>2435</v>
      </c>
      <c r="C13" s="254"/>
      <c r="D13" s="1035"/>
      <c r="E13" s="261"/>
      <c r="F13" s="261"/>
      <c r="G13" s="262"/>
    </row>
    <row r="14" spans="1:8" s="257" customFormat="1" ht="13.5" hidden="1" customHeight="1">
      <c r="A14" s="270" t="s">
        <v>10</v>
      </c>
      <c r="B14" s="258" t="s">
        <v>2347</v>
      </c>
      <c r="C14" s="254"/>
      <c r="D14" s="1035"/>
      <c r="E14" s="261"/>
      <c r="F14" s="261"/>
      <c r="G14" s="262" t="s">
        <v>2436</v>
      </c>
    </row>
    <row r="15" spans="1:8" s="257" customFormat="1" ht="13.5" hidden="1" customHeight="1">
      <c r="A15" s="270" t="s">
        <v>11</v>
      </c>
      <c r="B15" s="258" t="s">
        <v>2437</v>
      </c>
      <c r="C15" s="263"/>
      <c r="D15" s="1035"/>
      <c r="E15" s="261"/>
      <c r="F15" s="261"/>
      <c r="G15" s="262" t="s">
        <v>2438</v>
      </c>
    </row>
    <row r="16" spans="1:8" s="257" customFormat="1" ht="13.5" hidden="1" customHeight="1">
      <c r="A16" s="270" t="s">
        <v>12</v>
      </c>
      <c r="B16" s="258" t="s">
        <v>2347</v>
      </c>
      <c r="C16" s="263"/>
      <c r="D16" s="1035"/>
      <c r="E16" s="261"/>
      <c r="F16" s="261"/>
      <c r="G16" s="262"/>
    </row>
    <row r="17" spans="1:7" s="257" customFormat="1" ht="13.5" hidden="1" customHeight="1">
      <c r="A17" s="270" t="s">
        <v>13</v>
      </c>
      <c r="B17" s="258" t="s">
        <v>2439</v>
      </c>
      <c r="C17" s="272"/>
      <c r="D17" s="1036"/>
      <c r="E17" s="272"/>
      <c r="F17" s="272"/>
      <c r="G17" s="262" t="s">
        <v>2438</v>
      </c>
    </row>
    <row r="18" spans="1:7" s="257" customFormat="1" ht="13.5" hidden="1" customHeight="1">
      <c r="A18" s="270" t="s">
        <v>14</v>
      </c>
      <c r="B18" s="258" t="s">
        <v>2440</v>
      </c>
      <c r="C18" s="263">
        <v>0</v>
      </c>
      <c r="D18" s="1035"/>
      <c r="E18" s="261"/>
      <c r="F18" s="264">
        <v>3.0499999999999999E-2</v>
      </c>
      <c r="G18" s="262" t="s">
        <v>2441</v>
      </c>
    </row>
    <row r="19" spans="1:7" s="266" customFormat="1" ht="13.5" customHeight="1">
      <c r="A19" s="298" t="s">
        <v>2442</v>
      </c>
      <c r="B19" s="253" t="s">
        <v>2443</v>
      </c>
      <c r="C19" s="254">
        <f ca="1">IF(G19="已包含在土地取得成本中","0",ROUND(D19*E19,0))</f>
        <v>273666</v>
      </c>
      <c r="D19" s="1037">
        <f ca="1">D9+D10</f>
        <v>1368.3300000000163</v>
      </c>
      <c r="E19" s="254">
        <f>'数据-取费表'!B31</f>
        <v>200</v>
      </c>
      <c r="F19" s="274"/>
      <c r="G19" s="2549"/>
    </row>
    <row r="20" spans="1:7" s="257" customFormat="1" ht="13.5" customHeight="1">
      <c r="A20" s="298" t="s">
        <v>2444</v>
      </c>
      <c r="B20" s="253" t="s">
        <v>2445</v>
      </c>
      <c r="C20" s="275">
        <f ca="1">ROUND((C5+C19)*F20,0)</f>
        <v>8757</v>
      </c>
      <c r="D20" s="275"/>
      <c r="E20" s="275"/>
      <c r="F20" s="276">
        <f>'数据-取费表'!B37</f>
        <v>0.02</v>
      </c>
      <c r="G20" s="277" t="s">
        <v>2446</v>
      </c>
    </row>
    <row r="21" spans="1:7" s="257" customFormat="1" ht="13.5" customHeight="1">
      <c r="A21" s="298" t="s">
        <v>2447</v>
      </c>
      <c r="B21" s="253" t="s">
        <v>2448</v>
      </c>
      <c r="C21" s="278">
        <f>F21</f>
        <v>0.02</v>
      </c>
      <c r="D21" s="279" t="s">
        <v>2449</v>
      </c>
      <c r="E21" s="275"/>
      <c r="F21" s="276">
        <f>'数据-取费表'!B38</f>
        <v>0.02</v>
      </c>
      <c r="G21" s="277" t="s">
        <v>2450</v>
      </c>
    </row>
    <row r="22" spans="1:7" s="257" customFormat="1" ht="13.5" customHeight="1">
      <c r="A22" s="298" t="s">
        <v>2451</v>
      </c>
      <c r="B22" s="253" t="s">
        <v>2452</v>
      </c>
      <c r="C22" s="1380">
        <f ca="1">ROUND(SUM(C23:C25),0)</f>
        <v>43001</v>
      </c>
      <c r="D22" s="278">
        <f ca="1">C26</f>
        <v>1E-3</v>
      </c>
      <c r="E22" s="279" t="s">
        <v>2449</v>
      </c>
      <c r="F22" s="280">
        <f ca="1">'数据-取费表'!B40</f>
        <v>4.7500000000000001E-2</v>
      </c>
      <c r="G22" s="277" t="str">
        <f>IF('数据-取费表'!B22&lt;=1,"单利计息","复利计息")</f>
        <v>复利计息</v>
      </c>
    </row>
    <row r="23" spans="1:7" s="257" customFormat="1" ht="13.5" customHeight="1">
      <c r="A23" s="952" t="s">
        <v>2342</v>
      </c>
      <c r="B23" s="258" t="s">
        <v>2453</v>
      </c>
      <c r="C23" s="1381">
        <f ca="1">ROUND(IF('数据-取费表'!B22&lt;=1,C5*F22*'数据-取费表'!B22,C5*(POWER((1+F22),'数据-取费表'!B22)-1)),0)</f>
        <v>15969</v>
      </c>
      <c r="D23" s="281"/>
      <c r="E23" s="281"/>
      <c r="F23" s="282"/>
      <c r="G23" s="283" t="s">
        <v>2454</v>
      </c>
    </row>
    <row r="24" spans="1:7" s="257" customFormat="1" ht="13.5" customHeight="1">
      <c r="A24" s="952" t="s">
        <v>2344</v>
      </c>
      <c r="B24" s="258" t="s">
        <v>2455</v>
      </c>
      <c r="C24" s="1381">
        <f ca="1">ROUND(IF('数据-取费表'!B22&lt;=1,C19*F22*('数据-取费表'!B19/2+'数据-取费表'!B20),C19*(POWER((1+F22),('数据-取费表'!B19/2+'数据-取费表'!B20))-1)),0)</f>
        <v>26616</v>
      </c>
      <c r="D24" s="281"/>
      <c r="E24" s="281"/>
      <c r="F24" s="282"/>
      <c r="G24" s="283" t="s">
        <v>2456</v>
      </c>
    </row>
    <row r="25" spans="1:7" s="257" customFormat="1" ht="24">
      <c r="A25" s="952" t="s">
        <v>2346</v>
      </c>
      <c r="B25" s="258" t="s">
        <v>2457</v>
      </c>
      <c r="C25" s="1381">
        <f ca="1">ROUND(IF('数据-取费表'!B22&lt;=1,C20*F22*'数据-取费表'!B22/2,C20*(POWER((1+F22),'数据-取费表'!B22/2)-1)),0)</f>
        <v>416</v>
      </c>
      <c r="D25" s="281"/>
      <c r="E25" s="284"/>
      <c r="F25" s="282"/>
      <c r="G25" s="285" t="s">
        <v>2458</v>
      </c>
    </row>
    <row r="26" spans="1:7" s="257" customFormat="1">
      <c r="A26" s="952" t="s">
        <v>795</v>
      </c>
      <c r="B26" s="258" t="s">
        <v>2381</v>
      </c>
      <c r="C26" s="281">
        <f ca="1">ROUND(IF('数据-取费表'!B22&lt;=1,F21*F22*'数据-取费表'!B22/2,F21*(POWER((1+F22),'数据-取费表'!B22/2)-1)),4)</f>
        <v>1E-3</v>
      </c>
      <c r="D26" s="281"/>
      <c r="E26" s="284"/>
      <c r="F26" s="282"/>
      <c r="G26" s="286"/>
    </row>
    <row r="27" spans="1:7" s="257" customFormat="1" ht="24.75">
      <c r="A27" s="298" t="s">
        <v>2382</v>
      </c>
      <c r="B27" s="287" t="s">
        <v>2383</v>
      </c>
      <c r="C27" s="288">
        <f ca="1">C28</f>
        <v>89325</v>
      </c>
      <c r="D27" s="278">
        <f ca="1">C29</f>
        <v>4.0000000000000001E-3</v>
      </c>
      <c r="E27" s="279" t="s">
        <v>2384</v>
      </c>
      <c r="F27" s="289">
        <f ca="1">IF(B1="",'数据-取费表'!Q16,INDIRECT("'数据-取费表'!q"&amp;$G$1))</f>
        <v>0.2</v>
      </c>
      <c r="G27" s="290" t="s">
        <v>2385</v>
      </c>
    </row>
    <row r="28" spans="1:7" s="257" customFormat="1" ht="13.5" customHeight="1">
      <c r="A28" s="952" t="s">
        <v>791</v>
      </c>
      <c r="B28" s="291" t="s">
        <v>2386</v>
      </c>
      <c r="C28" s="292">
        <f ca="1">ROUND((C5+C19+C20)*F27,0)</f>
        <v>89325</v>
      </c>
      <c r="D28" s="278"/>
      <c r="E28" s="279"/>
      <c r="F28" s="289"/>
      <c r="G28" s="290"/>
    </row>
    <row r="29" spans="1:7" s="257" customFormat="1" ht="13.5" customHeight="1">
      <c r="A29" s="952" t="s">
        <v>792</v>
      </c>
      <c r="B29" s="291" t="s">
        <v>2387</v>
      </c>
      <c r="C29" s="281">
        <f ca="1">ROUND(C21*F27,4)</f>
        <v>4.0000000000000001E-3</v>
      </c>
      <c r="D29" s="278"/>
      <c r="E29" s="279"/>
      <c r="F29" s="289"/>
      <c r="G29" s="290"/>
    </row>
    <row r="30" spans="1:7" s="257" customFormat="1" ht="13.5" customHeight="1">
      <c r="A30" s="298" t="s">
        <v>2388</v>
      </c>
      <c r="B30" s="253" t="s">
        <v>2389</v>
      </c>
      <c r="C30" s="278">
        <f>ROUND(F30/(1+'数据-取费表'!C42),4)</f>
        <v>5.33E-2</v>
      </c>
      <c r="D30" s="279" t="s">
        <v>2384</v>
      </c>
      <c r="E30" s="284"/>
      <c r="F30" s="280">
        <f>'数据-取费表'!B41</f>
        <v>5.6000000000000001E-2</v>
      </c>
      <c r="G30" s="277" t="s">
        <v>2390</v>
      </c>
    </row>
    <row r="31" spans="1:7" ht="16.5" customHeight="1">
      <c r="A31" s="252">
        <v>1</v>
      </c>
      <c r="B31" s="253" t="s">
        <v>2391</v>
      </c>
      <c r="C31" s="254">
        <f ca="1">ROUND((C5+C19+C20+C22+C27)/(1-C21-D22-D27-C30),0)</f>
        <v>628132</v>
      </c>
      <c r="D31" s="273"/>
      <c r="E31" s="254"/>
      <c r="F31" s="293"/>
      <c r="G31" s="277" t="s">
        <v>2392</v>
      </c>
    </row>
    <row r="32" spans="1:7" s="251" customFormat="1" ht="15.75">
      <c r="A32" s="295" t="s">
        <v>2459</v>
      </c>
      <c r="B32" s="296"/>
      <c r="C32" s="296"/>
      <c r="D32" s="296"/>
      <c r="E32" s="296"/>
      <c r="F32" s="296"/>
      <c r="G32" s="297"/>
    </row>
    <row r="33" spans="1:7" s="257" customFormat="1" ht="13.5" customHeight="1">
      <c r="A33" s="298" t="s">
        <v>782</v>
      </c>
      <c r="B33" s="253" t="s">
        <v>2460</v>
      </c>
      <c r="C33" s="299">
        <f ca="1">SUM(C34:C38)</f>
        <v>3991419</v>
      </c>
      <c r="D33" s="275"/>
      <c r="E33" s="255"/>
      <c r="F33" s="284"/>
      <c r="G33" s="277"/>
    </row>
    <row r="34" spans="1:7" s="301" customFormat="1" ht="13.5" customHeight="1">
      <c r="A34" s="952" t="s">
        <v>791</v>
      </c>
      <c r="B34" s="258" t="s">
        <v>2395</v>
      </c>
      <c r="C34" s="263">
        <f ca="1">ROUND(IF(B1="",SUMPRODUCT('数据-取费表'!K6:K14,'数据-取费表'!L6:L14),INDIRECT("'数据-取费表'!l"&amp;$G$1)*INDIRECT("'数据-取费表'!k"&amp;$G$1)+'数据-取费表'!L14*INDIRECT("'数据-取费表'!S"&amp;$G$1)),0)</f>
        <v>3557658</v>
      </c>
      <c r="D34" s="260"/>
      <c r="E34" s="263"/>
      <c r="F34" s="300"/>
      <c r="G34" s="262"/>
    </row>
    <row r="35" spans="1:7" ht="13.5" customHeight="1">
      <c r="A35" s="952" t="s">
        <v>796</v>
      </c>
      <c r="B35" s="258" t="s">
        <v>2397</v>
      </c>
      <c r="C35" s="263">
        <f ca="1">ROUND(C34*F35,0)</f>
        <v>106730</v>
      </c>
      <c r="D35" s="263"/>
      <c r="E35" s="263"/>
      <c r="F35" s="302">
        <f>'数据-取费表'!B33</f>
        <v>0.03</v>
      </c>
      <c r="G35" s="262" t="s">
        <v>2398</v>
      </c>
    </row>
    <row r="36" spans="1:7" ht="24">
      <c r="A36" s="952" t="s">
        <v>797</v>
      </c>
      <c r="B36" s="258" t="s">
        <v>2399</v>
      </c>
      <c r="C36" s="263">
        <f ca="1">ROUND(IF(B1="",SUM('数据-取费表'!AP6:AP13)*F36,IF(INDIRECT("'数据-取费表'!c"&amp;$G$1)="住宅",INDIRECT("'数据-取费表'!k"&amp;$G$1)*INDIRECT("'数据-取费表'!l"&amp;$G$1)*F36,0)),0)</f>
        <v>0</v>
      </c>
      <c r="D36" s="263"/>
      <c r="E36" s="263"/>
      <c r="F36" s="302">
        <f>'数据-取费表'!B34</f>
        <v>0.05</v>
      </c>
      <c r="G36" s="303" t="s">
        <v>2400</v>
      </c>
    </row>
    <row r="37" spans="1:7" s="301" customFormat="1" ht="13.5" customHeight="1">
      <c r="A37" s="952" t="s">
        <v>798</v>
      </c>
      <c r="B37" s="258" t="s">
        <v>2401</v>
      </c>
      <c r="C37" s="292">
        <f ca="1">ROUND(E37*D37,0)</f>
        <v>273666</v>
      </c>
      <c r="D37" s="260">
        <f ca="1">D19</f>
        <v>1368.3300000000163</v>
      </c>
      <c r="E37" s="292">
        <f>'数据-取费表'!B35</f>
        <v>200</v>
      </c>
      <c r="F37" s="302"/>
      <c r="G37" s="304"/>
    </row>
    <row r="38" spans="1:7" ht="13.5" customHeight="1">
      <c r="A38" s="952" t="s">
        <v>799</v>
      </c>
      <c r="B38" s="258" t="s">
        <v>2403</v>
      </c>
      <c r="C38" s="263">
        <f ca="1">ROUND(C34*F38,0)</f>
        <v>53365</v>
      </c>
      <c r="D38" s="263"/>
      <c r="E38" s="263"/>
      <c r="F38" s="302">
        <f>'数据-取费表'!B36</f>
        <v>1.4999999999999999E-2</v>
      </c>
      <c r="G38" s="262" t="s">
        <v>2398</v>
      </c>
    </row>
    <row r="39" spans="1:7" s="257" customFormat="1" ht="13.5" customHeight="1">
      <c r="A39" s="298" t="s">
        <v>2404</v>
      </c>
      <c r="B39" s="253" t="s">
        <v>2405</v>
      </c>
      <c r="C39" s="275">
        <f ca="1">ROUND(C33*F20,0)</f>
        <v>79828</v>
      </c>
      <c r="D39" s="275"/>
      <c r="E39" s="275"/>
      <c r="F39" s="276"/>
      <c r="G39" s="277" t="s">
        <v>2406</v>
      </c>
    </row>
    <row r="40" spans="1:7" s="257" customFormat="1" ht="13.5" customHeight="1">
      <c r="A40" s="298" t="s">
        <v>2407</v>
      </c>
      <c r="B40" s="253" t="s">
        <v>2408</v>
      </c>
      <c r="C40" s="1728">
        <f>F21</f>
        <v>0.02</v>
      </c>
      <c r="D40" s="279" t="s">
        <v>2409</v>
      </c>
      <c r="E40" s="275"/>
      <c r="F40" s="276"/>
      <c r="G40" s="277" t="s">
        <v>2410</v>
      </c>
    </row>
    <row r="41" spans="1:7" s="257" customFormat="1" ht="13.5" customHeight="1">
      <c r="A41" s="298" t="s">
        <v>2411</v>
      </c>
      <c r="B41" s="253" t="s">
        <v>2412</v>
      </c>
      <c r="C41" s="275">
        <f ca="1">ROUND(SUM(C42:C43),0)</f>
        <v>193384</v>
      </c>
      <c r="D41" s="278">
        <f ca="1">C44</f>
        <v>1E-3</v>
      </c>
      <c r="E41" s="279" t="s">
        <v>2409</v>
      </c>
      <c r="F41" s="280"/>
      <c r="G41" s="277" t="str">
        <f>IF('数据-取费表'!B22&lt;=1,"单利计息","复利计息")</f>
        <v>复利计息</v>
      </c>
    </row>
    <row r="42" spans="1:7" ht="13.5" customHeight="1">
      <c r="A42" s="952" t="s">
        <v>791</v>
      </c>
      <c r="B42" s="258" t="s">
        <v>2413</v>
      </c>
      <c r="C42" s="281">
        <f ca="1">ROUND(IF('数据-取费表'!B22&lt;=1,C33*F22*'数据-取费表'!B20/2,C33*(POWER((1+F22),'数据-取费表'!B20/2)-1)),0)</f>
        <v>189592</v>
      </c>
      <c r="D42" s="281"/>
      <c r="E42" s="281"/>
      <c r="F42" s="282"/>
      <c r="G42" s="3162" t="s">
        <v>2461</v>
      </c>
    </row>
    <row r="43" spans="1:7" ht="13.5" customHeight="1">
      <c r="A43" s="952" t="s">
        <v>792</v>
      </c>
      <c r="B43" s="258" t="s">
        <v>2415</v>
      </c>
      <c r="C43" s="281">
        <f ca="1">ROUND(IF('数据-取费表'!B22&lt;=1,C39*F22*'数据-取费表'!B20/2,C39*(POWER((1+F22),'数据-取费表'!B20/2)-1)),0)</f>
        <v>3792</v>
      </c>
      <c r="D43" s="281"/>
      <c r="E43" s="281"/>
      <c r="F43" s="282"/>
      <c r="G43" s="3163"/>
    </row>
    <row r="44" spans="1:7" ht="13.5" customHeight="1">
      <c r="A44" s="952" t="s">
        <v>793</v>
      </c>
      <c r="B44" s="258" t="s">
        <v>2416</v>
      </c>
      <c r="C44" s="281">
        <f ca="1">ROUND(IF('数据-取费表'!B22&lt;=1,C40*F22*'数据-取费表'!B20/2,C40*(POWER((1+F22),'数据-取费表'!B20/2)-1)),4)</f>
        <v>1E-3</v>
      </c>
      <c r="D44" s="281"/>
      <c r="E44" s="281"/>
      <c r="F44" s="282"/>
      <c r="G44" s="3164"/>
    </row>
    <row r="45" spans="1:7" s="257" customFormat="1" ht="13.5" customHeight="1">
      <c r="A45" s="298" t="s">
        <v>2417</v>
      </c>
      <c r="B45" s="287" t="s">
        <v>2383</v>
      </c>
      <c r="C45" s="288">
        <f ca="1">C46</f>
        <v>814249</v>
      </c>
      <c r="D45" s="278">
        <f ca="1">C47</f>
        <v>4.0000000000000001E-3</v>
      </c>
      <c r="E45" s="279" t="s">
        <v>2409</v>
      </c>
      <c r="F45" s="289"/>
      <c r="G45" s="290" t="s">
        <v>2418</v>
      </c>
    </row>
    <row r="46" spans="1:7" s="257" customFormat="1" ht="13.5" customHeight="1">
      <c r="A46" s="952" t="s">
        <v>791</v>
      </c>
      <c r="B46" s="291" t="s">
        <v>2419</v>
      </c>
      <c r="C46" s="292">
        <f ca="1">ROUND((C33+C39)*F27,0)</f>
        <v>814249</v>
      </c>
      <c r="D46" s="306"/>
      <c r="E46" s="279"/>
      <c r="F46" s="289"/>
      <c r="G46" s="290"/>
    </row>
    <row r="47" spans="1:7" s="257" customFormat="1" ht="13.5" customHeight="1">
      <c r="A47" s="952" t="s">
        <v>792</v>
      </c>
      <c r="B47" s="291" t="s">
        <v>2420</v>
      </c>
      <c r="C47" s="281">
        <f ca="1">ROUND(C40*F27,4)</f>
        <v>4.0000000000000001E-3</v>
      </c>
      <c r="D47" s="306"/>
      <c r="E47" s="279"/>
      <c r="F47" s="289"/>
      <c r="G47" s="290"/>
    </row>
    <row r="48" spans="1:7" s="257" customFormat="1" ht="13.5" customHeight="1">
      <c r="A48" s="298" t="s">
        <v>2382</v>
      </c>
      <c r="B48" s="253" t="s">
        <v>2421</v>
      </c>
      <c r="C48" s="305">
        <f>ROUND(F30/(1+'数据-取费表'!C42),4)</f>
        <v>5.33E-2</v>
      </c>
      <c r="D48" s="279" t="s">
        <v>2409</v>
      </c>
      <c r="E48" s="275"/>
      <c r="F48" s="280"/>
      <c r="G48" s="277" t="s">
        <v>2422</v>
      </c>
    </row>
    <row r="49" spans="1:7" ht="16.5" customHeight="1">
      <c r="A49" s="298" t="s">
        <v>2388</v>
      </c>
      <c r="B49" s="253" t="s">
        <v>2462</v>
      </c>
      <c r="C49" s="275">
        <f ca="1">ROUND((C33+C39+C41+C45)/(1-C40-D41-D45-C48),0)</f>
        <v>5510340</v>
      </c>
      <c r="D49" s="275"/>
      <c r="E49" s="275"/>
      <c r="F49" s="307"/>
      <c r="G49" s="277" t="s">
        <v>2424</v>
      </c>
    </row>
    <row r="50" spans="1:7" s="301" customFormat="1">
      <c r="A50" s="298" t="s">
        <v>2425</v>
      </c>
      <c r="B50" s="253" t="s">
        <v>2426</v>
      </c>
      <c r="C50" s="275"/>
      <c r="D50" s="275"/>
      <c r="E50" s="275"/>
      <c r="F50" s="307">
        <f>IF('数据-取费表'!B24=0,'数据-取费表'!N16,1)</f>
        <v>1</v>
      </c>
      <c r="G50" s="290"/>
    </row>
    <row r="51" spans="1:7" ht="16.5" customHeight="1">
      <c r="A51" s="298" t="s">
        <v>2428</v>
      </c>
      <c r="B51" s="253" t="s">
        <v>2463</v>
      </c>
      <c r="C51" s="275">
        <f ca="1">ROUND(C49*F50,0)</f>
        <v>5510340</v>
      </c>
      <c r="D51" s="275"/>
      <c r="E51" s="275"/>
      <c r="F51" s="307"/>
      <c r="G51" s="277" t="s">
        <v>2430</v>
      </c>
    </row>
    <row r="52" spans="1:7" s="251" customFormat="1" ht="16.5" thickBot="1">
      <c r="A52" s="308" t="s">
        <v>2431</v>
      </c>
      <c r="B52" s="309"/>
      <c r="C52" s="310">
        <f ca="1">C31+C51</f>
        <v>6138472</v>
      </c>
      <c r="D52" s="309"/>
      <c r="E52" s="309"/>
      <c r="F52" s="309"/>
      <c r="G52" s="311"/>
    </row>
    <row r="55" spans="1:7" ht="15">
      <c r="B55" s="313" t="s">
        <v>2432</v>
      </c>
      <c r="C55" s="314"/>
    </row>
    <row r="56" spans="1:7">
      <c r="B56" s="316" t="s">
        <v>1513</v>
      </c>
      <c r="C56" s="318">
        <f ca="1">1-C57</f>
        <v>0.10199999999999998</v>
      </c>
    </row>
    <row r="57" spans="1:7">
      <c r="B57" s="316" t="s">
        <v>1514</v>
      </c>
      <c r="C57" s="317">
        <f ca="1">ROUND(C51/C52,3)</f>
        <v>0.89800000000000002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2464</v>
      </c>
      <c r="B1" s="1581"/>
      <c r="C1" s="1582"/>
      <c r="D1" s="1580"/>
      <c r="E1" s="319"/>
      <c r="F1" s="319"/>
      <c r="G1" s="1581"/>
      <c r="H1" s="319"/>
      <c r="I1" s="319"/>
      <c r="J1" s="319"/>
      <c r="K1" s="319">
        <f>MATCH(C1,'数据-取费表'!A6:A16,0)+5</f>
        <v>7</v>
      </c>
    </row>
    <row r="2" spans="1:33" ht="18" customHeight="1">
      <c r="A2" s="244" t="s">
        <v>2332</v>
      </c>
      <c r="B2" s="247">
        <f ca="1">C32</f>
        <v>-18</v>
      </c>
      <c r="C2" s="319" t="s">
        <v>2465</v>
      </c>
      <c r="D2" s="319"/>
      <c r="E2" s="319"/>
      <c r="F2" s="319"/>
      <c r="G2" s="319"/>
      <c r="H2" s="319"/>
      <c r="I2" s="319"/>
      <c r="J2" s="319"/>
      <c r="K2" s="319"/>
    </row>
    <row r="3" spans="1:33" ht="18" customHeight="1" thickBot="1">
      <c r="A3" s="246" t="s">
        <v>2334</v>
      </c>
      <c r="B3" s="247">
        <f ca="1">ROUND(B2*10000/IF(C1="",'数据-汇总表'!E3,INDIRECT("'数据-取费表'!K"&amp;$K$1)),0)</f>
        <v>-132</v>
      </c>
      <c r="C3" s="319" t="s">
        <v>2466</v>
      </c>
      <c r="D3" s="319"/>
      <c r="E3" s="319"/>
      <c r="F3" s="319"/>
      <c r="G3" s="319"/>
      <c r="H3" s="319"/>
      <c r="I3" s="319"/>
      <c r="J3" s="319"/>
      <c r="K3" s="319"/>
    </row>
    <row r="4" spans="1:33" s="957" customFormat="1" ht="16.5" customHeight="1">
      <c r="A4" s="954" t="s">
        <v>2467</v>
      </c>
      <c r="B4" s="955"/>
      <c r="C4" s="997">
        <f>SUM(C8:K8)</f>
        <v>0</v>
      </c>
      <c r="D4" s="955"/>
      <c r="E4" s="955"/>
      <c r="F4" s="955"/>
      <c r="G4" s="955"/>
      <c r="H4" s="955"/>
      <c r="I4" s="955"/>
      <c r="J4" s="955"/>
      <c r="K4" s="956"/>
    </row>
    <row r="5" spans="1:33" s="961" customFormat="1" ht="24.75">
      <c r="A5" s="958" t="s">
        <v>2468</v>
      </c>
      <c r="B5" s="959" t="s">
        <v>2469</v>
      </c>
      <c r="C5" s="2553" t="s">
        <v>2470</v>
      </c>
      <c r="D5" s="2553" t="s">
        <v>2471</v>
      </c>
      <c r="E5" s="2553" t="s">
        <v>2472</v>
      </c>
      <c r="F5" s="2553"/>
      <c r="G5" s="2553"/>
      <c r="H5" s="2553"/>
      <c r="I5" s="2553"/>
      <c r="J5" s="2553"/>
      <c r="K5" s="2553"/>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2473</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2474</v>
      </c>
      <c r="B7" s="139" t="s">
        <v>2475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4" t="s">
        <v>2476</v>
      </c>
      <c r="B8" s="176" t="s">
        <v>2477</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2478</v>
      </c>
      <c r="B9" s="955"/>
      <c r="C9" s="955"/>
      <c r="D9" s="955"/>
      <c r="E9" s="955"/>
      <c r="F9" s="955"/>
      <c r="G9" s="955"/>
      <c r="H9" s="955"/>
      <c r="I9" s="955"/>
      <c r="J9" s="955"/>
      <c r="K9" s="956"/>
    </row>
    <row r="10" spans="1:33" s="971" customFormat="1" ht="13.5" customHeight="1">
      <c r="A10" s="958" t="s">
        <v>2479</v>
      </c>
      <c r="B10" s="8" t="s">
        <v>2480</v>
      </c>
      <c r="C10" s="967" t="s">
        <v>2481</v>
      </c>
      <c r="D10" s="968" t="s">
        <v>2482</v>
      </c>
      <c r="E10" s="968" t="s">
        <v>2483</v>
      </c>
      <c r="F10" s="968" t="s">
        <v>2484</v>
      </c>
      <c r="G10" s="8"/>
      <c r="H10" s="969"/>
      <c r="I10" s="969"/>
      <c r="J10" s="969"/>
      <c r="K10" s="970"/>
    </row>
    <row r="11" spans="1:33" s="976" customFormat="1" ht="13.5" customHeight="1">
      <c r="A11" s="972" t="s">
        <v>1334</v>
      </c>
      <c r="B11" s="973" t="s">
        <v>2485</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1335</v>
      </c>
      <c r="B12" s="973" t="s">
        <v>2486</v>
      </c>
      <c r="C12" s="23">
        <f ca="1">ROUND(C11*F12,0)</f>
        <v>0</v>
      </c>
      <c r="D12" s="974"/>
      <c r="E12" s="374"/>
      <c r="F12" s="977">
        <f>'数据-取费表'!B33</f>
        <v>0.03</v>
      </c>
      <c r="G12" s="8" t="s">
        <v>2487</v>
      </c>
      <c r="H12" s="969"/>
      <c r="I12" s="969"/>
      <c r="J12" s="969"/>
      <c r="K12" s="970"/>
    </row>
    <row r="13" spans="1:33" s="976" customFormat="1" ht="13.5" customHeight="1">
      <c r="A13" s="972" t="s">
        <v>1336</v>
      </c>
      <c r="B13" s="973" t="s">
        <v>2488</v>
      </c>
      <c r="C13" s="23">
        <f ca="1">ROUND(IF(C1="",SUMIF('数据-取费表'!C:C,"住宅",'数据-取费表'!P:P)*F13,IF(INDIRECT("'数据-取费表'!c"&amp;$K$1)="住宅",INDIRECT("'数据-取费表'!P"&amp;$K$1)*F13,0)),0)</f>
        <v>0</v>
      </c>
      <c r="D13" s="1034"/>
      <c r="E13" s="374"/>
      <c r="F13" s="977">
        <f>'数据-取费表'!B34</f>
        <v>0.05</v>
      </c>
      <c r="G13" s="8" t="s">
        <v>2489</v>
      </c>
      <c r="H13" s="969"/>
      <c r="I13" s="969"/>
      <c r="J13" s="969"/>
      <c r="K13" s="970"/>
    </row>
    <row r="14" spans="1:33" s="978" customFormat="1" ht="13.5" customHeight="1">
      <c r="A14" s="972" t="s">
        <v>1337</v>
      </c>
      <c r="B14" s="973" t="s">
        <v>2490</v>
      </c>
      <c r="C14" s="23">
        <f ca="1">ROUND(D14*E14*F11/10000,0)</f>
        <v>0</v>
      </c>
      <c r="D14" s="1034">
        <f ca="1">IF(C1="",'数据-汇总表'!E3,INDIRECT("'数据-取费表'!K"&amp;$K$1)+INDIRECT("'数据-取费表'!S"&amp;$K$1))</f>
        <v>1368.3300000000163</v>
      </c>
      <c r="E14" s="23">
        <f>'数据-取费表'!B35</f>
        <v>200</v>
      </c>
      <c r="F14" s="977"/>
      <c r="G14" s="8" t="s">
        <v>2491</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2492</v>
      </c>
      <c r="C15" s="984">
        <f ca="1">ROUND(C11*F15,0)</f>
        <v>0</v>
      </c>
      <c r="D15" s="979"/>
      <c r="E15" s="984"/>
      <c r="F15" s="985">
        <f>'数据-取费表'!B36</f>
        <v>1.4999999999999999E-2</v>
      </c>
      <c r="G15" s="139" t="s">
        <v>2493</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2494</v>
      </c>
      <c r="C16" s="984">
        <f ca="1">SUM(C11:C15)</f>
        <v>0</v>
      </c>
      <c r="D16" s="979"/>
      <c r="E16" s="984"/>
      <c r="F16" s="985"/>
      <c r="G16" s="139"/>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2495</v>
      </c>
      <c r="C17" s="23">
        <f ca="1">ROUND(D17*E17/10000,0)</f>
        <v>0</v>
      </c>
      <c r="D17" s="1034">
        <f ca="1">D14</f>
        <v>1368.3300000000163</v>
      </c>
      <c r="E17" s="23">
        <f>'数据-取费表'!B32</f>
        <v>0</v>
      </c>
      <c r="F17" s="979"/>
      <c r="G17" s="139" t="s">
        <v>2496</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2497</v>
      </c>
      <c r="C18" s="23">
        <f ca="1">C19+C20-IF(C1="",'数据-取费表'!B29,IF(G18="已全部缴纳",C19+C20,H18))</f>
        <v>16</v>
      </c>
      <c r="D18" s="1034"/>
      <c r="E18" s="23"/>
      <c r="F18" s="977"/>
      <c r="G18" s="2555"/>
      <c r="H18" s="1577"/>
      <c r="I18" s="2556" t="s">
        <v>2498</v>
      </c>
      <c r="J18" s="980"/>
      <c r="K18" s="981"/>
    </row>
    <row r="19" spans="1:33" s="976" customFormat="1" ht="13.5" customHeight="1">
      <c r="A19" s="972" t="s">
        <v>805</v>
      </c>
      <c r="B19" s="973" t="s">
        <v>2499</v>
      </c>
      <c r="C19" s="23">
        <f ca="1">ROUND(D19*E19/10000,0)</f>
        <v>0</v>
      </c>
      <c r="D19" s="1034">
        <f ca="1">IF(C1="",'数据-汇总表'!E5,IF(INDIRECT("'数据-取费表'!c"&amp;$K$1)="住宅",INDIRECT("'数据-取费表'!k"&amp;$K$1),0))</f>
        <v>0</v>
      </c>
      <c r="E19" s="23">
        <f>'数据-取费表'!B27</f>
        <v>120</v>
      </c>
      <c r="F19" s="977"/>
      <c r="G19" s="14"/>
      <c r="H19" s="1579"/>
      <c r="I19" s="982"/>
      <c r="J19" s="982"/>
      <c r="K19" s="983"/>
    </row>
    <row r="20" spans="1:33" s="976" customFormat="1" ht="13.5" customHeight="1">
      <c r="A20" s="972" t="s">
        <v>806</v>
      </c>
      <c r="B20" s="973" t="s">
        <v>2500</v>
      </c>
      <c r="C20" s="23">
        <f ca="1">ROUND(D20*E20/10000,0)</f>
        <v>16</v>
      </c>
      <c r="D20" s="1034">
        <f ca="1">IF(C1="",'数据-汇总表'!E6,IF(INDIRECT("'数据-取费表'!c"&amp;$K$1)="住宅",INDIRECT("'数据-取费表'!s"&amp;$K$1),INDIRECT("'数据-取费表'!k"&amp;$K$1)+INDIRECT("'数据-取费表'!s"&amp;$K$1)))</f>
        <v>1368.3300000000163</v>
      </c>
      <c r="E20" s="23">
        <f>'数据-取费表'!B28</f>
        <v>120</v>
      </c>
      <c r="F20" s="977"/>
      <c r="G20" s="14"/>
      <c r="H20" s="982"/>
      <c r="I20" s="982"/>
      <c r="J20" s="982"/>
      <c r="K20" s="983"/>
    </row>
    <row r="21" spans="1:33" s="976" customFormat="1" ht="13.5" customHeight="1">
      <c r="A21" s="962" t="s">
        <v>802</v>
      </c>
      <c r="B21" s="986" t="s">
        <v>2501</v>
      </c>
      <c r="C21" s="987">
        <f ca="1">C16+C17+C18</f>
        <v>16</v>
      </c>
      <c r="D21" s="988"/>
      <c r="E21" s="324"/>
      <c r="F21" s="324"/>
      <c r="G21" s="139" t="s">
        <v>2502</v>
      </c>
      <c r="H21" s="980"/>
      <c r="I21" s="980"/>
      <c r="J21" s="980"/>
      <c r="K21" s="981"/>
    </row>
    <row r="22" spans="1:33" s="976" customFormat="1" ht="13.5" customHeight="1">
      <c r="A22" s="962" t="s">
        <v>2474</v>
      </c>
      <c r="B22" s="986" t="s">
        <v>2503</v>
      </c>
      <c r="C22" s="987">
        <f ca="1">ROUND(C21*F22,0)</f>
        <v>0</v>
      </c>
      <c r="D22" s="324"/>
      <c r="E22" s="324"/>
      <c r="F22" s="989">
        <f>'数据-取费表'!B37</f>
        <v>0.02</v>
      </c>
      <c r="G22" s="8" t="s">
        <v>2504</v>
      </c>
      <c r="H22" s="969"/>
      <c r="I22" s="969"/>
      <c r="J22" s="969"/>
      <c r="K22" s="970"/>
    </row>
    <row r="23" spans="1:33" s="976" customFormat="1" ht="13.5" customHeight="1">
      <c r="A23" s="962" t="s">
        <v>2476</v>
      </c>
      <c r="B23" s="986" t="s">
        <v>2505</v>
      </c>
      <c r="C23" s="987">
        <f ca="1">ROUND(C4*F23*F11,0)</f>
        <v>0</v>
      </c>
      <c r="D23" s="324"/>
      <c r="E23" s="324"/>
      <c r="F23" s="989">
        <f>'数据-取费表'!B38</f>
        <v>0.02</v>
      </c>
      <c r="G23" s="8" t="s">
        <v>2506</v>
      </c>
      <c r="H23" s="969"/>
      <c r="I23" s="969"/>
      <c r="J23" s="969"/>
      <c r="K23" s="970"/>
    </row>
    <row r="24" spans="1:33" s="976" customFormat="1" ht="13.5" customHeight="1">
      <c r="A24" s="962" t="s">
        <v>2507</v>
      </c>
      <c r="B24" s="986" t="s">
        <v>2508</v>
      </c>
      <c r="C24" s="323">
        <f>ROUND(F24/(1+'数据-取费表'!C42),4)</f>
        <v>2.9000000000000001E-2</v>
      </c>
      <c r="D24" s="324" t="s">
        <v>15</v>
      </c>
      <c r="E24" s="324"/>
      <c r="F24" s="989">
        <f>'数据-取费表'!B48+'数据-取费表'!B49</f>
        <v>3.0499999999999999E-2</v>
      </c>
      <c r="G24" s="8" t="s">
        <v>2509</v>
      </c>
      <c r="H24" s="991"/>
      <c r="I24" s="991"/>
      <c r="J24" s="991"/>
      <c r="K24" s="992"/>
    </row>
    <row r="25" spans="1:33" s="976" customFormat="1" ht="13.5" customHeight="1">
      <c r="A25" s="962" t="s">
        <v>2510</v>
      </c>
      <c r="B25" s="988" t="s">
        <v>2511</v>
      </c>
      <c r="C25" s="1356">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2512</v>
      </c>
      <c r="C26" s="1357">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2513</v>
      </c>
      <c r="C27" s="1358">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80"/>
      <c r="I27" s="980"/>
      <c r="J27" s="980"/>
      <c r="K27" s="981"/>
    </row>
    <row r="28" spans="1:33" s="332" customFormat="1" ht="13.5" customHeight="1">
      <c r="A28" s="962" t="s">
        <v>2514</v>
      </c>
      <c r="B28" s="2558" t="s">
        <v>2515</v>
      </c>
      <c r="C28" s="330">
        <f ca="1">C30</f>
        <v>3</v>
      </c>
      <c r="D28" s="323">
        <f ca="1">C29</f>
        <v>0</v>
      </c>
      <c r="E28" s="325" t="s">
        <v>15</v>
      </c>
      <c r="F28" s="331">
        <f ca="1">IF(C1="",'数据-取费表'!Q16,INDIRECT("'数据-取费表'!q"&amp;$K$1))</f>
        <v>0.2</v>
      </c>
      <c r="G28" s="990"/>
      <c r="H28" s="991"/>
      <c r="I28" s="991"/>
      <c r="J28" s="991"/>
      <c r="K28" s="992"/>
    </row>
    <row r="29" spans="1:33" s="334" customFormat="1" ht="13.5" customHeight="1">
      <c r="A29" s="972" t="s">
        <v>803</v>
      </c>
      <c r="B29" s="995" t="s">
        <v>2516</v>
      </c>
      <c r="C29" s="327">
        <f ca="1">ROUND((1+C24)*F28*'数据-取费表'!B24/'数据-取费表'!B20,4)</f>
        <v>0</v>
      </c>
      <c r="D29" s="327"/>
      <c r="E29" s="328"/>
      <c r="F29" s="333"/>
      <c r="G29" s="139" t="s">
        <v>2517</v>
      </c>
      <c r="H29" s="980"/>
      <c r="I29" s="980"/>
      <c r="J29" s="980"/>
      <c r="K29" s="981"/>
    </row>
    <row r="30" spans="1:33" s="334" customFormat="1" ht="13.5" customHeight="1">
      <c r="A30" s="972" t="s">
        <v>804</v>
      </c>
      <c r="B30" s="995" t="s">
        <v>2518</v>
      </c>
      <c r="C30" s="335">
        <f ca="1">ROUND((C21+C22+C23)*F28,0)</f>
        <v>3</v>
      </c>
      <c r="D30" s="327"/>
      <c r="E30" s="328"/>
      <c r="F30" s="333"/>
      <c r="G30" s="139"/>
      <c r="H30" s="980"/>
      <c r="I30" s="980"/>
      <c r="J30" s="980"/>
      <c r="K30" s="981"/>
    </row>
    <row r="31" spans="1:33" s="976" customFormat="1" ht="13.5" customHeight="1" thickBot="1">
      <c r="A31" s="2559" t="s">
        <v>2519</v>
      </c>
      <c r="B31" s="1006" t="s">
        <v>2520</v>
      </c>
      <c r="C31" s="1007">
        <f>ROUND(C4*F31/(1+'数据-取费表'!C42),0)</f>
        <v>0</v>
      </c>
      <c r="D31" s="1008"/>
      <c r="E31" s="1009"/>
      <c r="F31" s="1010">
        <f>'数据-取费表'!B41</f>
        <v>5.6000000000000001E-2</v>
      </c>
      <c r="G31" s="1011" t="s">
        <v>2521</v>
      </c>
      <c r="H31" s="1012"/>
      <c r="I31" s="1012"/>
      <c r="J31" s="1012"/>
      <c r="K31" s="1013"/>
    </row>
    <row r="32" spans="1:33" s="971" customFormat="1" ht="13.5" customHeight="1" thickBot="1">
      <c r="A32" s="1001" t="s">
        <v>2522</v>
      </c>
      <c r="B32" s="1002"/>
      <c r="C32" s="1003">
        <f ca="1">ROUND((C4-C21-C22-C23-C25-C28-C31)/(1+C24+D25+D28),0)</f>
        <v>-18</v>
      </c>
      <c r="D32" s="1002"/>
      <c r="E32" s="1002"/>
      <c r="F32" s="1002"/>
      <c r="G32" s="1004" t="s">
        <v>2523</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80"/>
      <c r="C1" s="1837"/>
      <c r="D1" s="1820"/>
      <c r="E1" s="1821" t="s">
        <v>1387</v>
      </c>
      <c r="F1" s="1283" t="b">
        <f>J53</f>
        <v>0</v>
      </c>
      <c r="G1" s="1836">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2" t="s">
        <v>1588</v>
      </c>
      <c r="I3" s="1840"/>
      <c r="J3" s="1840"/>
      <c r="K3" s="1841"/>
      <c r="L3" s="1840"/>
      <c r="M3" s="1840"/>
    </row>
    <row r="4" spans="1:37" ht="18" customHeight="1">
      <c r="A4" s="339" t="s">
        <v>1595</v>
      </c>
      <c r="B4" s="340" t="s">
        <v>1596</v>
      </c>
      <c r="C4" s="340" t="s">
        <v>1597</v>
      </c>
      <c r="D4" s="340" t="s">
        <v>1598</v>
      </c>
      <c r="E4" s="341" t="s">
        <v>1599</v>
      </c>
      <c r="F4" s="342"/>
      <c r="G4" s="1851"/>
      <c r="H4" s="339" t="s">
        <v>1595</v>
      </c>
      <c r="I4" s="340" t="s">
        <v>1596</v>
      </c>
      <c r="J4" s="340" t="s">
        <v>1597</v>
      </c>
      <c r="K4" s="340" t="s">
        <v>1598</v>
      </c>
      <c r="L4" s="341" t="s">
        <v>1599</v>
      </c>
      <c r="M4" s="342"/>
    </row>
    <row r="5" spans="1:37" ht="18" customHeight="1">
      <c r="A5" s="343">
        <v>1</v>
      </c>
      <c r="B5" s="344" t="s">
        <v>1600</v>
      </c>
      <c r="C5" s="1292">
        <f ca="1">C6+C10+C12</f>
        <v>0</v>
      </c>
      <c r="D5" s="1822" t="s">
        <v>1601</v>
      </c>
      <c r="E5" s="1293"/>
      <c r="F5" s="1294"/>
      <c r="G5" s="1851"/>
      <c r="H5" s="343">
        <v>1</v>
      </c>
      <c r="I5" s="344" t="s">
        <v>1600</v>
      </c>
      <c r="J5" s="1292">
        <f ca="1">J6+J10+J12</f>
        <v>0</v>
      </c>
      <c r="K5" s="1822" t="s">
        <v>1601</v>
      </c>
      <c r="L5" s="1293"/>
      <c r="M5" s="1294"/>
    </row>
    <row r="6" spans="1:37" ht="18" customHeight="1">
      <c r="A6" s="1291" t="s">
        <v>1035</v>
      </c>
      <c r="B6" s="3159" t="s">
        <v>1403</v>
      </c>
      <c r="C6" s="1296">
        <f ca="1">ROUND(F6*F8*F7*(1-F9),0)</f>
        <v>0</v>
      </c>
      <c r="D6" s="163" t="s">
        <v>3034</v>
      </c>
      <c r="E6" s="346" t="s">
        <v>1405</v>
      </c>
      <c r="F6" s="347">
        <f ca="1">INDIRECT("'数据-取费表'!u"&amp;$G$1)</f>
        <v>0</v>
      </c>
      <c r="G6" s="1851"/>
      <c r="H6" s="1291" t="s">
        <v>1035</v>
      </c>
      <c r="I6" s="3159" t="s">
        <v>1403</v>
      </c>
      <c r="J6" s="345">
        <f ca="1">ROUND(M6*M8*M7*(1-M9),0)</f>
        <v>0</v>
      </c>
      <c r="K6" s="1834" t="s">
        <v>3035</v>
      </c>
      <c r="L6" s="346" t="s">
        <v>1405</v>
      </c>
      <c r="M6" s="347">
        <f ca="1">INDIRECT("'数据-取费表'!z"&amp;$G$1)</f>
        <v>0</v>
      </c>
    </row>
    <row r="7" spans="1:37" ht="18" customHeight="1">
      <c r="A7" s="1295"/>
      <c r="B7" s="3160"/>
      <c r="C7" s="1297"/>
      <c r="D7" s="351"/>
      <c r="E7" s="1298" t="s">
        <v>1406</v>
      </c>
      <c r="F7" s="347">
        <f ca="1">IF(INDIRECT("'数据-取费表'!ah"&amp;$G$1)="",INDIRECT("'数据-取费表'!k"&amp;$G$1),INDIRECT("'数据-取费表'!ah"&amp;$G$1))</f>
        <v>0</v>
      </c>
      <c r="G7" s="1851"/>
      <c r="H7" s="348"/>
      <c r="I7" s="3160"/>
      <c r="J7" s="350"/>
      <c r="K7" s="351"/>
      <c r="L7" s="346" t="s">
        <v>1406</v>
      </c>
      <c r="M7" s="347">
        <f ca="1">F7</f>
        <v>0</v>
      </c>
    </row>
    <row r="8" spans="1:37" ht="18" customHeight="1">
      <c r="A8" s="348"/>
      <c r="B8" s="3160"/>
      <c r="C8" s="350"/>
      <c r="D8" s="351"/>
      <c r="E8" s="346" t="s">
        <v>1407</v>
      </c>
      <c r="F8" s="347">
        <f ca="1">INDIRECT("'数据-取费表'!ai"&amp;$G$1)</f>
        <v>0</v>
      </c>
      <c r="G8" s="1851"/>
      <c r="H8" s="348"/>
      <c r="I8" s="3160"/>
      <c r="J8" s="350"/>
      <c r="K8" s="351"/>
      <c r="L8" s="346" t="s">
        <v>1407</v>
      </c>
      <c r="M8" s="347">
        <f ca="1">INDIRECT("'数据-取费表'!ai"&amp;$G$1)</f>
        <v>0</v>
      </c>
    </row>
    <row r="9" spans="1:37" ht="18" customHeight="1">
      <c r="A9" s="348"/>
      <c r="B9" s="3161"/>
      <c r="C9" s="350"/>
      <c r="D9" s="351"/>
      <c r="E9" s="346" t="s">
        <v>1408</v>
      </c>
      <c r="F9" s="356">
        <f ca="1">INDIRECT("'数据-取费表'!w"&amp;$G$1)</f>
        <v>0</v>
      </c>
      <c r="G9" s="1851"/>
      <c r="H9" s="348"/>
      <c r="I9" s="3161"/>
      <c r="J9" s="350"/>
      <c r="K9" s="351"/>
      <c r="L9" s="357" t="s">
        <v>1408</v>
      </c>
      <c r="M9" s="358">
        <f ca="1">INDIRECT("'数据-取费表'!ab"&amp;$G$1)</f>
        <v>0</v>
      </c>
    </row>
    <row r="10" spans="1:37" ht="18" customHeight="1">
      <c r="A10" s="1291" t="s">
        <v>1039</v>
      </c>
      <c r="B10" s="1823" t="s">
        <v>1409</v>
      </c>
      <c r="C10" s="360">
        <f ca="1">ROUND(IF(F10="押一",C6/12*F11,IF(F10="押二",C6/12*2*F11,IF(F10="押三",C6/12*3*F11,C11*F11))),0)</f>
        <v>0</v>
      </c>
      <c r="D10" s="1824" t="s">
        <v>3045</v>
      </c>
      <c r="E10" s="357" t="s">
        <v>1410</v>
      </c>
      <c r="F10" s="1366"/>
      <c r="G10" s="1851"/>
      <c r="H10" s="1291" t="s">
        <v>1039</v>
      </c>
      <c r="I10" s="1823" t="s">
        <v>1409</v>
      </c>
      <c r="J10" s="345">
        <f ca="1">ROUND(IF(M10="押一",J6/12*M11,IF(M10="押二",J6/12*2*M11,IF(M10="押三",J6/12*3*M11,J11*M11))),0)</f>
        <v>0</v>
      </c>
      <c r="K10" s="1835" t="s">
        <v>3047</v>
      </c>
      <c r="L10" s="357" t="s">
        <v>1410</v>
      </c>
      <c r="M10" s="1366"/>
    </row>
    <row r="11" spans="1:37" ht="18" customHeight="1">
      <c r="A11" s="352"/>
      <c r="B11" s="1825" t="s">
        <v>1602</v>
      </c>
      <c r="C11" s="1179"/>
      <c r="D11" s="351"/>
      <c r="E11" s="357" t="s">
        <v>1412</v>
      </c>
      <c r="F11" s="358">
        <f ca="1">'数据-取费表'!B39</f>
        <v>1.4999999999999999E-2</v>
      </c>
      <c r="G11" s="1851"/>
      <c r="H11" s="1299"/>
      <c r="I11" s="1825" t="s">
        <v>1603</v>
      </c>
      <c r="J11" s="1179"/>
      <c r="K11" s="746"/>
      <c r="L11" s="357" t="s">
        <v>1412</v>
      </c>
      <c r="M11" s="1057">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4">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2" t="s">
        <v>1034</v>
      </c>
      <c r="B14" s="346" t="s">
        <v>1417</v>
      </c>
      <c r="C14" s="362">
        <f ca="1">ROUND(INDIRECT("'数据-取费表'!l"&amp;$G$1)*F43+'数据-取费表'!L14*INDIRECT("'数据-取费表'!S"&amp;$G$1),0)</f>
        <v>0</v>
      </c>
      <c r="D14" s="1800" t="s">
        <v>1418</v>
      </c>
      <c r="E14" s="1794"/>
      <c r="F14" s="363"/>
      <c r="G14" s="1851"/>
      <c r="H14" s="1202" t="s">
        <v>1035</v>
      </c>
      <c r="I14" s="346" t="s">
        <v>1419</v>
      </c>
      <c r="J14" s="23">
        <f ca="1">C29</f>
        <v>0</v>
      </c>
      <c r="K14" s="14"/>
      <c r="L14" s="980"/>
      <c r="M14" s="981"/>
    </row>
    <row r="15" spans="1:37" s="1858" customFormat="1" ht="18" customHeight="1" thickBot="1">
      <c r="A15" s="1202" t="s">
        <v>1036</v>
      </c>
      <c r="B15" s="346" t="s">
        <v>1420</v>
      </c>
      <c r="C15" s="23">
        <f ca="1">ROUND(C14*F15,0)</f>
        <v>0</v>
      </c>
      <c r="D15" s="364" t="s">
        <v>1421</v>
      </c>
      <c r="E15" s="364" t="s">
        <v>1422</v>
      </c>
      <c r="F15" s="365">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6" t="s">
        <v>1423</v>
      </c>
      <c r="C16" s="23">
        <f ca="1">ROUND(INDIRECT("'数据-取费表'!l"&amp;$G$1)*F43*F16,0)</f>
        <v>0</v>
      </c>
      <c r="D16" s="346" t="s">
        <v>1421</v>
      </c>
      <c r="E16" s="346" t="s">
        <v>1422</v>
      </c>
      <c r="F16" s="366">
        <f ca="1">IF(INDIRECT("'数据-取费表'!c"&amp;$G$1)="住宅",'数据-取费表'!B34,0)</f>
        <v>0</v>
      </c>
      <c r="G16" s="1851"/>
      <c r="H16" s="1329" t="s">
        <v>1030</v>
      </c>
      <c r="I16" s="1330" t="s">
        <v>1424</v>
      </c>
      <c r="J16" s="354">
        <f ca="1">ROUND(J17+J22+J23+J24,0)</f>
        <v>0</v>
      </c>
      <c r="K16" s="1337" t="s">
        <v>1425</v>
      </c>
      <c r="L16" s="1338"/>
      <c r="M16" s="1294"/>
    </row>
    <row r="17" spans="1:37" s="1858" customFormat="1" ht="18" customHeight="1">
      <c r="A17" s="1202" t="s">
        <v>1390</v>
      </c>
      <c r="B17" s="346" t="s">
        <v>1426</v>
      </c>
      <c r="C17" s="23">
        <f ca="1">ROUND(F17*(F43+INDIRECT("'数据-取费表'!S"&amp;$G$1)),0)</f>
        <v>0</v>
      </c>
      <c r="D17" s="346" t="s">
        <v>1427</v>
      </c>
      <c r="E17" s="346" t="s">
        <v>1428</v>
      </c>
      <c r="F17" s="25">
        <f>'数据-取费表'!B35</f>
        <v>200</v>
      </c>
      <c r="G17" s="1854"/>
      <c r="H17" s="1202" t="s">
        <v>1035</v>
      </c>
      <c r="I17" s="346" t="s">
        <v>1429</v>
      </c>
      <c r="J17" s="23">
        <f ca="1">ROUND(IF(项目基本情况!B11="自然人",J5*M17,J18+J19+J20),0)</f>
        <v>0</v>
      </c>
      <c r="K17" s="1800" t="s">
        <v>1430</v>
      </c>
      <c r="L17" s="1798" t="s">
        <v>1431</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6" t="s">
        <v>1432</v>
      </c>
      <c r="C18" s="23">
        <f ca="1">ROUND(C14*F18,0)</f>
        <v>0</v>
      </c>
      <c r="D18" s="346" t="s">
        <v>1421</v>
      </c>
      <c r="E18" s="346" t="s">
        <v>1422</v>
      </c>
      <c r="F18" s="366">
        <f>'数据-取费表'!B36</f>
        <v>1.4999999999999999E-2</v>
      </c>
      <c r="G18" s="1854"/>
      <c r="H18" s="1202" t="s">
        <v>1034</v>
      </c>
      <c r="I18" s="346" t="s">
        <v>1433</v>
      </c>
      <c r="J18" s="23">
        <f ca="1">ROUND(J5*M18/(1+'数据-取费表'!C42),0)</f>
        <v>0</v>
      </c>
      <c r="K18" s="1798" t="s">
        <v>1434</v>
      </c>
      <c r="L18" s="346" t="s">
        <v>1422</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1435</v>
      </c>
      <c r="C19" s="23">
        <f ca="1">SUM(C14:C18)</f>
        <v>0</v>
      </c>
      <c r="D19" s="139" t="s">
        <v>1436</v>
      </c>
      <c r="E19" s="1818"/>
      <c r="F19" s="25"/>
      <c r="G19" s="1851"/>
      <c r="H19" s="1202" t="s">
        <v>1036</v>
      </c>
      <c r="I19" s="346" t="s">
        <v>1437</v>
      </c>
      <c r="J19" s="23">
        <f ca="1">IF(K19="按租金收入计税",ROUND(J5*M19,0),ROUND(C29*M19*0.7,0))</f>
        <v>0</v>
      </c>
      <c r="K19" s="1828" t="s">
        <v>1438</v>
      </c>
      <c r="L19" s="346" t="s">
        <v>1422</v>
      </c>
      <c r="M19" s="366">
        <f>IF(K19="按租金收入计税",'数据-取费表'!B51,'数据-取费表'!B50)</f>
        <v>1.2E-2</v>
      </c>
    </row>
    <row r="20" spans="1:37" s="1858" customFormat="1" ht="18" customHeight="1">
      <c r="A20" s="1202" t="s">
        <v>1039</v>
      </c>
      <c r="B20" s="346" t="s">
        <v>1439</v>
      </c>
      <c r="C20" s="23">
        <f ca="1">ROUND(C19*F20,0)</f>
        <v>0</v>
      </c>
      <c r="D20" s="368" t="s">
        <v>1440</v>
      </c>
      <c r="E20" s="346" t="s">
        <v>1422</v>
      </c>
      <c r="F20" s="366">
        <f>'数据-取费表'!B37</f>
        <v>0.02</v>
      </c>
      <c r="G20" s="1854"/>
      <c r="H20" s="1202" t="s">
        <v>1389</v>
      </c>
      <c r="I20" s="163" t="s">
        <v>1441</v>
      </c>
      <c r="J20" s="24">
        <f ca="1">ROUND(M20*M21,0)</f>
        <v>0</v>
      </c>
      <c r="K20" s="369" t="s">
        <v>1442</v>
      </c>
      <c r="L20" s="346" t="s">
        <v>1443</v>
      </c>
      <c r="M20" s="370">
        <f>'数据-取费表'!B52</f>
        <v>16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1444</v>
      </c>
      <c r="C21" s="23" t="s">
        <v>1</v>
      </c>
      <c r="D21" s="368" t="s">
        <v>1445</v>
      </c>
      <c r="E21" s="346" t="s">
        <v>1446</v>
      </c>
      <c r="F21" s="366">
        <f>'数据-取费表'!B38</f>
        <v>0.02</v>
      </c>
      <c r="G21" s="1854"/>
      <c r="H21" s="371"/>
      <c r="I21" s="355"/>
      <c r="J21" s="28"/>
      <c r="K21" s="372"/>
      <c r="L21" s="346" t="s">
        <v>1447</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6" t="s">
        <v>1448</v>
      </c>
      <c r="C22" s="23"/>
      <c r="D22" s="139" t="str">
        <f>IF(F23&lt;=1,"单利计息。","复利计息。")&amp;"建造成本、管理费用、销售费用产生的利息。"</f>
        <v>复利计息。建造成本、管理费用、销售费用产生的利息。</v>
      </c>
      <c r="E22" s="1818"/>
      <c r="F22" s="25"/>
      <c r="G22" s="1851"/>
      <c r="H22" s="1202" t="s">
        <v>1039</v>
      </c>
      <c r="I22" s="346" t="s">
        <v>1449</v>
      </c>
      <c r="J22" s="23">
        <f ca="1">ROUND(J14*M22,0)</f>
        <v>0</v>
      </c>
      <c r="K22" s="1798" t="s">
        <v>1450</v>
      </c>
      <c r="L22" s="346" t="s">
        <v>1422</v>
      </c>
      <c r="M22" s="373">
        <f ca="1">INDIRECT("'数据-取费表'!Ak"&amp;$G$1)</f>
        <v>0</v>
      </c>
    </row>
    <row r="23" spans="1:37" s="1858" customFormat="1" ht="18" customHeight="1">
      <c r="A23" s="1202"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4"/>
      <c r="H23" s="1202" t="s">
        <v>1075</v>
      </c>
      <c r="I23" s="346" t="s">
        <v>1453</v>
      </c>
      <c r="J23" s="23">
        <f ca="1">ROUND(J13*M23,0)</f>
        <v>0</v>
      </c>
      <c r="K23" s="1798" t="s">
        <v>1454</v>
      </c>
      <c r="L23" s="346" t="s">
        <v>1455</v>
      </c>
      <c r="M23" s="375">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6" t="s">
        <v>1457</v>
      </c>
      <c r="C24" s="23">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1460</v>
      </c>
      <c r="B25" s="346" t="s">
        <v>1461</v>
      </c>
      <c r="C25" s="23"/>
      <c r="D25" s="139" t="s">
        <v>1462</v>
      </c>
      <c r="E25" s="1818"/>
      <c r="F25" s="25"/>
      <c r="G25" s="1851"/>
      <c r="H25" s="1329" t="s">
        <v>1031</v>
      </c>
      <c r="I25" s="1344" t="s">
        <v>1463</v>
      </c>
      <c r="J25" s="354">
        <f ca="1">J5-J16</f>
        <v>0</v>
      </c>
      <c r="K25" s="1345" t="s">
        <v>1464</v>
      </c>
      <c r="L25" s="1346"/>
      <c r="M25" s="1347"/>
    </row>
    <row r="26" spans="1:37" ht="18" customHeight="1">
      <c r="A26" s="1202" t="s">
        <v>1034</v>
      </c>
      <c r="B26" s="346" t="s">
        <v>1465</v>
      </c>
      <c r="C26" s="23">
        <f ca="1">ROUND((C19+C20)*F26,0)</f>
        <v>0</v>
      </c>
      <c r="D26" s="368" t="s">
        <v>1466</v>
      </c>
      <c r="E26" s="357" t="s">
        <v>1467</v>
      </c>
      <c r="F26" s="356">
        <f ca="1">INDIRECT("'数据-取费表'!q"&amp;$G$1)</f>
        <v>0</v>
      </c>
      <c r="G26" s="1851"/>
      <c r="H26" s="343" t="s">
        <v>1032</v>
      </c>
      <c r="I26" s="344" t="s">
        <v>1468</v>
      </c>
      <c r="J26" s="345">
        <f ca="1">IF(J5&lt;&gt;0,ROUND(J25*(1-((1+M28)/(1+M26))^M27)/(M26-M28),0),0)</f>
        <v>0</v>
      </c>
      <c r="K26" s="369" t="s">
        <v>1469</v>
      </c>
      <c r="L26" s="346" t="s">
        <v>1470</v>
      </c>
      <c r="M26" s="356">
        <f ca="1">INDIRECT("'数据-取费表'!I"&amp;$G$1)</f>
        <v>0</v>
      </c>
    </row>
    <row r="27" spans="1:37" ht="18" customHeight="1">
      <c r="A27" s="1202" t="s">
        <v>1036</v>
      </c>
      <c r="B27" s="346" t="s">
        <v>1471</v>
      </c>
      <c r="C27" s="23">
        <f ca="1">ROUND(F21*F26,4)</f>
        <v>0</v>
      </c>
      <c r="D27" s="368" t="s">
        <v>1472</v>
      </c>
      <c r="E27" s="364"/>
      <c r="F27" s="365"/>
      <c r="G27" s="1851"/>
      <c r="H27" s="348"/>
      <c r="I27" s="349"/>
      <c r="J27" s="350"/>
      <c r="K27" s="377" t="s">
        <v>1473</v>
      </c>
      <c r="L27" s="346" t="s">
        <v>1474</v>
      </c>
      <c r="M27" s="378">
        <f ca="1">INDIRECT("'数据-取费表'!ag"&amp;$G$1)</f>
        <v>0</v>
      </c>
    </row>
    <row r="28" spans="1:37" s="1858" customFormat="1" ht="18" customHeight="1">
      <c r="A28" s="1202" t="s">
        <v>1037</v>
      </c>
      <c r="B28" s="346" t="s">
        <v>1475</v>
      </c>
      <c r="C28" s="23">
        <f>ROUND(F28/(1+'数据-取费表'!C42),4)</f>
        <v>5.33E-2</v>
      </c>
      <c r="D28" s="368" t="s">
        <v>1476</v>
      </c>
      <c r="E28" s="346" t="s">
        <v>1422</v>
      </c>
      <c r="F28" s="366">
        <f>'数据-取费表'!B41</f>
        <v>5.6000000000000001E-2</v>
      </c>
      <c r="G28" s="1854"/>
      <c r="H28" s="352"/>
      <c r="I28" s="353"/>
      <c r="J28" s="354"/>
      <c r="K28" s="372"/>
      <c r="L28" s="346" t="s">
        <v>1477</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79" t="s">
        <v>1033</v>
      </c>
      <c r="I29" s="380" t="s">
        <v>1479</v>
      </c>
      <c r="J29" s="381">
        <f ca="1">ROUND(J26/(1+F40)^F41,0)</f>
        <v>0</v>
      </c>
      <c r="K29" s="382" t="s">
        <v>1480</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4">
        <f ca="1">ROUND(C31+C36+C37+C38,0)</f>
        <v>0</v>
      </c>
      <c r="D30" s="1337" t="s">
        <v>1425</v>
      </c>
      <c r="E30" s="1338"/>
      <c r="F30" s="1294"/>
      <c r="G30" s="1851"/>
      <c r="H30" s="743"/>
      <c r="I30" s="744"/>
      <c r="J30" s="745"/>
      <c r="K30" s="746"/>
      <c r="L30" s="747"/>
      <c r="M30" s="748"/>
    </row>
    <row r="31" spans="1:37" ht="18" customHeight="1">
      <c r="A31" s="1202" t="s">
        <v>1035</v>
      </c>
      <c r="B31" s="346" t="s">
        <v>1429</v>
      </c>
      <c r="C31" s="23">
        <f ca="1">ROUND(IF(项目基本情况!B11="自然人",C5*F31,C32+C33+C34),0)</f>
        <v>0</v>
      </c>
      <c r="D31" s="1800" t="s">
        <v>1430</v>
      </c>
      <c r="E31" s="1798" t="s">
        <v>1481</v>
      </c>
      <c r="F31" s="367"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6" t="s">
        <v>1433</v>
      </c>
      <c r="C32" s="23">
        <f ca="1">IF(项目基本情况!B11="自然人","——",ROUND(C5*F32/(1+'数据-取费表'!C42),0))</f>
        <v>0</v>
      </c>
      <c r="D32" s="1798" t="s">
        <v>1434</v>
      </c>
      <c r="E32" s="346" t="s">
        <v>1422</v>
      </c>
      <c r="F32" s="376">
        <f>'数据-取费表'!B41</f>
        <v>5.6000000000000001E-2</v>
      </c>
      <c r="G32" s="1851"/>
      <c r="H32" s="743"/>
      <c r="I32" s="744"/>
      <c r="J32" s="745"/>
      <c r="K32" s="746"/>
      <c r="L32" s="747"/>
      <c r="M32" s="748"/>
    </row>
    <row r="33" spans="1:18" ht="18" customHeight="1">
      <c r="A33" s="1202" t="s">
        <v>1036</v>
      </c>
      <c r="B33" s="346" t="s">
        <v>1437</v>
      </c>
      <c r="C33" s="23">
        <f ca="1">IF(项目基本情况!B11="自然人","——",IF(D33="按租金收入计税",ROUND(C5*F33,0),IF(D33="按房产原值计税",ROUND(C29*F33*0.7,0),INDIRECT("'数据-取费表'!Aj"&amp;$G$1))))</f>
        <v>0</v>
      </c>
      <c r="D33" s="1828" t="s">
        <v>1438</v>
      </c>
      <c r="E33" s="346" t="s">
        <v>1422</v>
      </c>
      <c r="F33" s="366">
        <f>IF(D33="按票据","——",IF(D33="按租金收入计税",'数据-取费表'!B51,'数据-取费表'!B50))</f>
        <v>1.2E-2</v>
      </c>
      <c r="G33" s="1851"/>
      <c r="H33" s="1859"/>
      <c r="I33" s="1860"/>
      <c r="J33" s="1861"/>
      <c r="K33" s="1862"/>
      <c r="L33" s="1859"/>
      <c r="M33" s="1859"/>
    </row>
    <row r="34" spans="1:18" ht="18" customHeight="1">
      <c r="A34" s="1291" t="s">
        <v>1389</v>
      </c>
      <c r="B34" s="163" t="s">
        <v>1441</v>
      </c>
      <c r="C34" s="24">
        <f ca="1">IF(项目基本情况!B11="自然人","——",ROUND(F34*F35,))</f>
        <v>0</v>
      </c>
      <c r="D34" s="369" t="s">
        <v>1442</v>
      </c>
      <c r="E34" s="346" t="s">
        <v>1443</v>
      </c>
      <c r="F34" s="370">
        <f>'数据-取费表'!B52</f>
        <v>16</v>
      </c>
      <c r="G34" s="1851"/>
      <c r="H34" s="743"/>
      <c r="I34" s="1860"/>
      <c r="J34" s="1861"/>
      <c r="K34" s="1863"/>
      <c r="L34" s="1864"/>
      <c r="M34" s="1864"/>
    </row>
    <row r="35" spans="1:18" ht="18" customHeight="1">
      <c r="A35" s="1353"/>
      <c r="B35" s="1351"/>
      <c r="C35" s="28"/>
      <c r="D35" s="372"/>
      <c r="E35" s="346" t="s">
        <v>1447</v>
      </c>
      <c r="F35" s="347">
        <f ca="1">INDIRECT("'数据-取费表'!r"&amp;$G$1)</f>
        <v>0</v>
      </c>
      <c r="G35" s="1851"/>
      <c r="H35" s="743"/>
      <c r="I35" s="1860"/>
      <c r="J35" s="1861"/>
      <c r="K35" s="1862"/>
      <c r="L35" s="1859"/>
      <c r="M35" s="1859"/>
    </row>
    <row r="36" spans="1:18" ht="18" customHeight="1">
      <c r="A36" s="1352" t="s">
        <v>1039</v>
      </c>
      <c r="B36" s="346" t="s">
        <v>1449</v>
      </c>
      <c r="C36" s="23">
        <f ca="1">ROUND(C29*F36,0)</f>
        <v>0</v>
      </c>
      <c r="D36" s="1798" t="s">
        <v>1482</v>
      </c>
      <c r="E36" s="346" t="s">
        <v>1422</v>
      </c>
      <c r="F36" s="373">
        <f ca="1">INDIRECT("'数据-取费表'!Ak"&amp;$G$1)</f>
        <v>0</v>
      </c>
      <c r="G36" s="1851"/>
      <c r="H36" s="1859"/>
      <c r="I36" s="1860"/>
      <c r="J36" s="1861"/>
      <c r="K36" s="749"/>
      <c r="L36" s="1859"/>
      <c r="M36" s="1859"/>
    </row>
    <row r="37" spans="1:18" ht="18" customHeight="1">
      <c r="A37" s="1202" t="s">
        <v>1075</v>
      </c>
      <c r="B37" s="346" t="s">
        <v>1453</v>
      </c>
      <c r="C37" s="23">
        <f ca="1">ROUND(C13*F37,0)</f>
        <v>0</v>
      </c>
      <c r="D37" s="1798" t="s">
        <v>1454</v>
      </c>
      <c r="E37" s="346" t="s">
        <v>1455</v>
      </c>
      <c r="F37" s="375">
        <f ca="1">INDIRECT("'数据-取费表'!Al"&amp;$G$1)</f>
        <v>0</v>
      </c>
      <c r="G37" s="1851"/>
      <c r="H37" s="1859"/>
      <c r="I37" s="1860"/>
      <c r="J37" s="1861"/>
      <c r="K37" s="749"/>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4">
        <f ca="1">C5-C30</f>
        <v>0</v>
      </c>
      <c r="D39" s="1345" t="s">
        <v>1484</v>
      </c>
      <c r="E39" s="1346"/>
      <c r="F39" s="1347"/>
      <c r="G39" s="1851"/>
      <c r="H39" s="1859"/>
      <c r="I39" s="1860"/>
      <c r="J39" s="1861"/>
      <c r="K39" s="1865"/>
      <c r="L39" s="1859"/>
      <c r="M39" s="1859"/>
    </row>
    <row r="40" spans="1:18" ht="18" customHeight="1">
      <c r="A40" s="343" t="s">
        <v>1032</v>
      </c>
      <c r="B40" s="344" t="s">
        <v>1485</v>
      </c>
      <c r="C40" s="345" t="e">
        <f ca="1">ROUND(C39*(1-((1+F42)/(1+F40))^F41)/(F40-F42),0)</f>
        <v>#DIV/0!</v>
      </c>
      <c r="D40" s="369" t="s">
        <v>1469</v>
      </c>
      <c r="E40" s="346" t="s">
        <v>1470</v>
      </c>
      <c r="F40" s="356">
        <f ca="1">INDIRECT("'数据-取费表'!I"&amp;$G$1)</f>
        <v>0</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0</v>
      </c>
      <c r="G41" s="1851"/>
      <c r="H41" s="730"/>
      <c r="I41" s="1860"/>
      <c r="J41" s="1861"/>
      <c r="K41" s="749"/>
      <c r="L41" s="730"/>
      <c r="M41" s="730"/>
    </row>
    <row r="42" spans="1:18" ht="18" customHeight="1">
      <c r="A42" s="352"/>
      <c r="B42" s="353"/>
      <c r="C42" s="354"/>
      <c r="D42" s="372"/>
      <c r="E42" s="346" t="s">
        <v>1477</v>
      </c>
      <c r="F42" s="356">
        <f ca="1">INDIRECT("'数据-取费表'!v"&amp;$G$1)</f>
        <v>0</v>
      </c>
      <c r="G42" s="1851"/>
      <c r="H42" s="730"/>
      <c r="I42" s="1860"/>
      <c r="J42" s="1861"/>
      <c r="K42" s="749"/>
      <c r="L42" s="730"/>
      <c r="M42" s="730"/>
    </row>
    <row r="43" spans="1:18" ht="18" customHeight="1" thickBot="1">
      <c r="A43" s="379" t="s">
        <v>1033</v>
      </c>
      <c r="B43" s="380" t="s">
        <v>1487</v>
      </c>
      <c r="C43" s="381" t="e">
        <f ca="1">ROUND(C40/F43,0)</f>
        <v>#DIV/0!</v>
      </c>
      <c r="D43" s="382" t="s">
        <v>1488</v>
      </c>
      <c r="E43" s="383" t="s">
        <v>1489</v>
      </c>
      <c r="F43" s="384">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198" t="s">
        <v>1398</v>
      </c>
      <c r="D47" s="1198" t="s">
        <v>1399</v>
      </c>
      <c r="E47" s="1279" t="s">
        <v>1400</v>
      </c>
      <c r="F47" s="1280"/>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4" t="s">
        <v>1401</v>
      </c>
      <c r="C48" s="1817">
        <f ca="1">C49+C53+C55</f>
        <v>0</v>
      </c>
      <c r="D48" s="1362"/>
      <c r="E48" s="1363"/>
      <c r="F48" s="1182"/>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4">
        <f ca="1">ROUND(F49*F51*F50*(1-F52),0)</f>
        <v>0</v>
      </c>
      <c r="D49" s="1276" t="s">
        <v>1404</v>
      </c>
      <c r="E49" s="1830" t="s">
        <v>1491</v>
      </c>
      <c r="F49" s="1281"/>
      <c r="G49" s="1891"/>
      <c r="H49" s="791"/>
      <c r="I49" s="1887" t="s">
        <v>1534</v>
      </c>
      <c r="J49" s="1892"/>
      <c r="K49" s="1889" t="s">
        <v>1535</v>
      </c>
      <c r="L49" s="1893"/>
      <c r="O49" s="1894" t="s">
        <v>1042</v>
      </c>
      <c r="P49" s="1885" t="s">
        <v>1536</v>
      </c>
      <c r="Q49" s="1886">
        <f ca="1">C29</f>
        <v>0</v>
      </c>
      <c r="R49" s="1886" t="s">
        <v>1529</v>
      </c>
    </row>
    <row r="50" spans="1:18" s="1842" customFormat="1" ht="13.5" thickBot="1">
      <c r="A50" s="1196"/>
      <c r="B50" s="1199"/>
      <c r="C50" s="1200"/>
      <c r="D50" s="1173"/>
      <c r="E50" s="1277" t="s">
        <v>1406</v>
      </c>
      <c r="F50" s="1278">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7">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8" t="s">
        <v>1409</v>
      </c>
      <c r="C53" s="360">
        <f ca="1">ROUND(IF(F53="押一",C49/12*F11,IF(F53="押二",C49/12*2*F11,IF(F53="押三",C49/12*3*F11,C54*F11))),0)</f>
        <v>0</v>
      </c>
      <c r="D53" s="1824" t="s">
        <v>3048</v>
      </c>
      <c r="E53" s="357" t="s">
        <v>1410</v>
      </c>
      <c r="F53" s="1366"/>
      <c r="I53" s="1905" t="s">
        <v>1547</v>
      </c>
      <c r="J53" s="1906" t="b">
        <f>IF(M47="住宅",IF(D1="——",MAX(J51,L48),IF(D1="在建（套用方法）",MAX(J51,L48-'数据-取费表'!B24),MAX(J51,L48-'数据-取费表'!B20))),IF(D1="——",MIN(J51,L48),IF(D1="在建（套用方法）",MIN(J51,L48-'数据-取费表'!B24),IF(D1="土地（套用方法）",MIN(J51,L48-'数据-取费表'!B20)))))</f>
        <v>0</v>
      </c>
      <c r="K53" s="3157" t="s">
        <v>1548</v>
      </c>
      <c r="L53" s="3158"/>
      <c r="O53" s="1884" t="s">
        <v>1046</v>
      </c>
      <c r="P53" s="1885" t="s">
        <v>1549</v>
      </c>
      <c r="Q53" s="1886" t="e">
        <f ca="1">Q47+Q48</f>
        <v>#DIV/0!</v>
      </c>
      <c r="R53" s="1886" t="s">
        <v>1047</v>
      </c>
    </row>
    <row r="54" spans="1:18" s="1842" customFormat="1" ht="13.5" thickBot="1">
      <c r="A54" s="1195"/>
      <c r="B54" s="1941" t="s">
        <v>1603</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7">
        <v>2</v>
      </c>
      <c r="B56" s="1178" t="s">
        <v>1414</v>
      </c>
      <c r="C56" s="275">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70" t="s">
        <v>1478</v>
      </c>
      <c r="C57" s="281">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59" t="s">
        <v>1030</v>
      </c>
      <c r="B58" s="1178" t="s">
        <v>1424</v>
      </c>
      <c r="C58" s="360">
        <f ca="1">ROUND(C59+C64+C65+C66,0)</f>
        <v>0</v>
      </c>
      <c r="D58" s="1180" t="s">
        <v>1425</v>
      </c>
      <c r="E58" s="1181"/>
      <c r="F58" s="1182"/>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3">
        <f ca="1">ROUND(IF(项目基本情况!B11="自然人",C48*F59,C60+C61+C62),0)</f>
        <v>0</v>
      </c>
      <c r="D59" s="1183" t="s">
        <v>1430</v>
      </c>
      <c r="E59" s="1184" t="s">
        <v>1431</v>
      </c>
      <c r="F59" s="367"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3">
        <f ca="1">IF(项目基本情况!B11="自然人","——",ROUND(C48*F60/(1+'数据-取费表'!C42),0))</f>
        <v>0</v>
      </c>
      <c r="D60" s="1184" t="s">
        <v>1434</v>
      </c>
      <c r="E60" s="1170" t="s">
        <v>1422</v>
      </c>
      <c r="F60" s="376">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2" t="s">
        <v>1492</v>
      </c>
      <c r="B61" s="1170" t="s">
        <v>1493</v>
      </c>
      <c r="C61" s="23">
        <f ca="1">IF(项目基本情况!B11="自然人","——",IF(D61="按租金收入计税",ROUND(C48*F61,0),IF(D61="按房产原值计税",ROUND(C57*F61*0.7,0),INDIRECT("'数据-取费表'!Aj"&amp;$G$1))))</f>
        <v>0</v>
      </c>
      <c r="D61" s="1828" t="s">
        <v>1438</v>
      </c>
      <c r="E61" s="1170" t="s">
        <v>1494</v>
      </c>
      <c r="F61" s="366">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2" t="s">
        <v>1495</v>
      </c>
      <c r="B62" s="1169" t="s">
        <v>1496</v>
      </c>
      <c r="C62" s="24">
        <f ca="1">IF(项目基本情况!B11="自然人","——",ROUND(F62*F63,0))</f>
        <v>0</v>
      </c>
      <c r="D62" s="1185" t="s">
        <v>1497</v>
      </c>
      <c r="E62" s="1170" t="s">
        <v>1498</v>
      </c>
      <c r="F62" s="370">
        <f t="shared" si="0"/>
        <v>16</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1"/>
      <c r="B63" s="1176"/>
      <c r="C63" s="28"/>
      <c r="D63" s="1186"/>
      <c r="E63" s="1170" t="s">
        <v>1499</v>
      </c>
      <c r="F63" s="347">
        <f t="shared" ca="1" si="0"/>
        <v>0</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3">
        <f ca="1">ROUND(C57*F64,0)</f>
        <v>0</v>
      </c>
      <c r="D64" s="1184" t="s">
        <v>1502</v>
      </c>
      <c r="E64" s="1170" t="s">
        <v>1494</v>
      </c>
      <c r="F64" s="373">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3">
        <f ca="1">ROUND(C56*F65,0)</f>
        <v>0</v>
      </c>
      <c r="D65" s="1184" t="s">
        <v>1454</v>
      </c>
      <c r="E65" s="1170" t="s">
        <v>1455</v>
      </c>
      <c r="F65" s="375">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2" t="s">
        <v>1504</v>
      </c>
      <c r="B66" s="1170" t="s">
        <v>1439</v>
      </c>
      <c r="C66" s="23">
        <f ca="1">ROUND(C48*F66,0)</f>
        <v>0</v>
      </c>
      <c r="D66" s="1184" t="s">
        <v>1505</v>
      </c>
      <c r="E66" s="1170" t="s">
        <v>1422</v>
      </c>
      <c r="F66" s="356">
        <f t="shared" ca="1" si="0"/>
        <v>0</v>
      </c>
      <c r="O66" s="1884" t="s">
        <v>1041</v>
      </c>
      <c r="P66" s="1885" t="s">
        <v>1558</v>
      </c>
      <c r="Q66" s="1886" t="e">
        <f ca="1">L60</f>
        <v>#DIV/0!</v>
      </c>
      <c r="R66" s="1886" t="s">
        <v>1581</v>
      </c>
    </row>
    <row r="67" spans="1:18" s="1842" customFormat="1" ht="16.5" thickBot="1">
      <c r="A67" s="1177" t="s">
        <v>1031</v>
      </c>
      <c r="B67" s="1187" t="s">
        <v>1463</v>
      </c>
      <c r="C67" s="360">
        <f ca="1">C48-C58</f>
        <v>0</v>
      </c>
      <c r="D67" s="1183" t="s">
        <v>1464</v>
      </c>
      <c r="E67" s="1188"/>
      <c r="F67" s="1189"/>
      <c r="O67" s="1894" t="s">
        <v>1042</v>
      </c>
      <c r="P67" s="1885" t="s">
        <v>1562</v>
      </c>
      <c r="Q67" s="1933">
        <f ca="1">L51</f>
        <v>0</v>
      </c>
      <c r="R67" s="1886" t="s">
        <v>1582</v>
      </c>
    </row>
    <row r="68" spans="1:18" s="1842" customFormat="1" ht="16.5" thickBot="1">
      <c r="A68" s="1167" t="s">
        <v>1032</v>
      </c>
      <c r="B68" s="1168" t="s">
        <v>1485</v>
      </c>
      <c r="C68" s="345" t="e">
        <f ca="1">ROUND(C67*(1-((1+F70)/(1+F68))^F69)/(F68-F70),0)</f>
        <v>#DIV/0!</v>
      </c>
      <c r="D68" s="1185" t="s">
        <v>1469</v>
      </c>
      <c r="E68" s="1170" t="s">
        <v>1470</v>
      </c>
      <c r="F68" s="356">
        <f ca="1">F40</f>
        <v>0</v>
      </c>
      <c r="O68" s="1894" t="s">
        <v>1043</v>
      </c>
      <c r="P68" s="1934" t="s">
        <v>1583</v>
      </c>
      <c r="Q68" s="1886">
        <f ca="1">ROUND(Q69-Q70*Q71,0)</f>
        <v>0</v>
      </c>
      <c r="R68" s="1886" t="s">
        <v>1051</v>
      </c>
    </row>
    <row r="69" spans="1:18" s="1842" customFormat="1" ht="13.5" thickBot="1">
      <c r="A69" s="1171"/>
      <c r="B69" s="1172"/>
      <c r="C69" s="350"/>
      <c r="D69" s="1190" t="s">
        <v>1473</v>
      </c>
      <c r="E69" s="1170" t="s">
        <v>1474</v>
      </c>
      <c r="F69" s="378">
        <f ca="1">F41</f>
        <v>0</v>
      </c>
      <c r="O69" s="1894" t="s">
        <v>1048</v>
      </c>
      <c r="P69" s="1934" t="s">
        <v>1584</v>
      </c>
      <c r="Q69" s="1886">
        <f ca="1">C39</f>
        <v>0</v>
      </c>
      <c r="R69" s="1886" t="s">
        <v>1529</v>
      </c>
    </row>
    <row r="70" spans="1:18" s="1842" customFormat="1" ht="13.5" thickBot="1">
      <c r="A70" s="1174"/>
      <c r="B70" s="1175"/>
      <c r="C70" s="354"/>
      <c r="D70" s="1186"/>
      <c r="E70" s="1170" t="s">
        <v>1477</v>
      </c>
      <c r="F70" s="1275">
        <f ca="1">F42</f>
        <v>0</v>
      </c>
      <c r="O70" s="1894" t="s">
        <v>1049</v>
      </c>
      <c r="P70" s="1934" t="s">
        <v>1585</v>
      </c>
      <c r="Q70" s="1886">
        <f ca="1">C13</f>
        <v>0</v>
      </c>
      <c r="R70" s="1886" t="s">
        <v>1529</v>
      </c>
    </row>
    <row r="71" spans="1:18" s="1842" customFormat="1" ht="13.5" thickBot="1">
      <c r="A71" s="1191" t="s">
        <v>1033</v>
      </c>
      <c r="B71" s="1192" t="s">
        <v>1487</v>
      </c>
      <c r="C71" s="381" t="e">
        <f ca="1">ROUND(C68/F71,0)</f>
        <v>#DIV/0!</v>
      </c>
      <c r="D71" s="1193" t="s">
        <v>1488</v>
      </c>
      <c r="E71" s="1194" t="s">
        <v>1489</v>
      </c>
      <c r="F71" s="384">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5" t="s">
        <v>1506</v>
      </c>
      <c r="C75" s="386">
        <f ca="1">ROUND(C13*C76,0)</f>
        <v>0</v>
      </c>
      <c r="D75" s="1842"/>
      <c r="E75" s="1842"/>
      <c r="F75" s="1842"/>
      <c r="K75" s="1868"/>
      <c r="L75" s="1842"/>
      <c r="O75" s="1884" t="s">
        <v>1046</v>
      </c>
      <c r="P75" s="1885" t="s">
        <v>1549</v>
      </c>
      <c r="Q75" s="1886" t="e">
        <f ca="1">Q65+Q66</f>
        <v>#DIV/0!</v>
      </c>
      <c r="R75" s="1886" t="s">
        <v>1047</v>
      </c>
    </row>
    <row r="76" spans="1:18">
      <c r="B76" s="387" t="s">
        <v>1507</v>
      </c>
      <c r="C76" s="388">
        <f ca="1">INDIRECT("'数据-取费表'!j"&amp;$G$1)</f>
        <v>0</v>
      </c>
      <c r="I76" s="1842"/>
      <c r="J76" s="1842"/>
      <c r="K76" s="1868"/>
      <c r="L76" s="1842"/>
    </row>
    <row r="77" spans="1:18">
      <c r="B77" s="389" t="s">
        <v>1508</v>
      </c>
      <c r="C77" s="390"/>
      <c r="I77" s="1842"/>
      <c r="J77" s="1842"/>
      <c r="K77" s="1868"/>
      <c r="L77" s="1842"/>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2531</v>
      </c>
      <c r="B1" s="2561"/>
      <c r="C1" s="2561"/>
      <c r="D1" s="2561"/>
      <c r="E1" s="2562"/>
    </row>
    <row r="2" spans="1:6" ht="15.75">
      <c r="A2" s="2563" t="s">
        <v>2332</v>
      </c>
      <c r="B2" s="2564">
        <f ca="1">SUMIF(B6:B13,"&lt;&gt;#ref!",B6:B13)</f>
        <v>1914</v>
      </c>
      <c r="C2" s="2565" t="s">
        <v>2524</v>
      </c>
      <c r="D2" s="2566" t="s">
        <v>2525</v>
      </c>
      <c r="E2" s="2567">
        <f>SUM(E6:E13)</f>
        <v>1368.3300000000163</v>
      </c>
    </row>
    <row r="3" spans="1:6" ht="15.75">
      <c r="A3" s="2563" t="s">
        <v>1395</v>
      </c>
      <c r="B3" s="2564">
        <f ca="1">ROUND(B2*10000/E2,0)</f>
        <v>13988</v>
      </c>
      <c r="C3" s="2565" t="s">
        <v>2532</v>
      </c>
      <c r="D3" s="2568"/>
      <c r="E3" s="2569"/>
    </row>
    <row r="4" spans="1:6" ht="15.75">
      <c r="A4" s="2570"/>
      <c r="B4" s="2568"/>
      <c r="C4" s="2568"/>
      <c r="D4" s="2568"/>
      <c r="E4" s="2569"/>
    </row>
    <row r="5" spans="1:6" ht="15">
      <c r="A5" s="2571" t="s">
        <v>2526</v>
      </c>
      <c r="B5" s="3165" t="s">
        <v>2527</v>
      </c>
      <c r="C5" s="3165"/>
      <c r="D5" s="2572"/>
      <c r="E5" s="2573" t="s">
        <v>2528</v>
      </c>
      <c r="F5" s="2574" t="s">
        <v>2529</v>
      </c>
    </row>
    <row r="6" spans="1:6">
      <c r="A6" s="2575" t="str">
        <f>'数据-取费表'!AN6</f>
        <v>收益法</v>
      </c>
      <c r="B6" s="2574">
        <f ca="1">IF(F6="是",'数据-取费表'!AO6,0)</f>
        <v>1914</v>
      </c>
      <c r="C6" s="2565" t="s">
        <v>2524</v>
      </c>
      <c r="D6" s="2568"/>
      <c r="E6" s="2576">
        <f>IF(OR(A6=0,F6="否"),0,'数据-取费表'!K6+'数据-取费表'!S6)</f>
        <v>1368.3300000000163</v>
      </c>
      <c r="F6" s="2577" t="s">
        <v>2530</v>
      </c>
    </row>
    <row r="7" spans="1:6">
      <c r="A7" s="2575">
        <f>'数据-取费表'!AN7</f>
        <v>0</v>
      </c>
      <c r="B7" s="2574" t="e">
        <f ca="1">IF(F7="是",'数据-取费表'!AO7,0)</f>
        <v>#REF!</v>
      </c>
      <c r="C7" s="2565" t="s">
        <v>2524</v>
      </c>
      <c r="D7" s="2568"/>
      <c r="E7" s="2576">
        <f>IF(OR(A7=0,F7="否"),0,'数据-取费表'!K7+'数据-取费表'!S7)</f>
        <v>0</v>
      </c>
      <c r="F7" s="2577" t="s">
        <v>2530</v>
      </c>
    </row>
    <row r="8" spans="1:6">
      <c r="A8" s="2575">
        <f>'数据-取费表'!AN8</f>
        <v>0</v>
      </c>
      <c r="B8" s="2574" t="e">
        <f ca="1">IF(F8="是",'数据-取费表'!AO8,0)</f>
        <v>#REF!</v>
      </c>
      <c r="C8" s="2565" t="s">
        <v>2524</v>
      </c>
      <c r="D8" s="2568"/>
      <c r="E8" s="2576">
        <f>IF(OR(A8=0,F8="否"),0,'数据-取费表'!K8+'数据-取费表'!S8)</f>
        <v>0</v>
      </c>
      <c r="F8" s="2577" t="s">
        <v>2530</v>
      </c>
    </row>
    <row r="9" spans="1:6">
      <c r="A9" s="2575">
        <f>'数据-取费表'!AN9</f>
        <v>0</v>
      </c>
      <c r="B9" s="2574" t="e">
        <f ca="1">IF(F9="是",'数据-取费表'!AO9,0)</f>
        <v>#REF!</v>
      </c>
      <c r="C9" s="2565" t="s">
        <v>2524</v>
      </c>
      <c r="D9" s="2568"/>
      <c r="E9" s="2576">
        <f>IF(OR(A9=0,F9="否"),0,'数据-取费表'!K9+'数据-取费表'!S9)</f>
        <v>0</v>
      </c>
      <c r="F9" s="2577" t="s">
        <v>2530</v>
      </c>
    </row>
    <row r="10" spans="1:6">
      <c r="A10" s="2575">
        <f>'数据-取费表'!AN10</f>
        <v>0</v>
      </c>
      <c r="B10" s="2574" t="e">
        <f ca="1">IF(F10="是",'数据-取费表'!AO10,0)</f>
        <v>#REF!</v>
      </c>
      <c r="C10" s="2565" t="s">
        <v>2524</v>
      </c>
      <c r="D10" s="2568"/>
      <c r="E10" s="2576">
        <f>IF(OR(A10=0,F10="否"),0,'数据-取费表'!K10+'数据-取费表'!S10)</f>
        <v>0</v>
      </c>
      <c r="F10" s="2577" t="s">
        <v>2530</v>
      </c>
    </row>
    <row r="11" spans="1:6">
      <c r="A11" s="2575">
        <f>'数据-取费表'!AN11</f>
        <v>0</v>
      </c>
      <c r="B11" s="2574" t="e">
        <f ca="1">IF(F11="是",'数据-取费表'!AO11,0)</f>
        <v>#REF!</v>
      </c>
      <c r="C11" s="2565" t="s">
        <v>2524</v>
      </c>
      <c r="D11" s="2568"/>
      <c r="E11" s="2576">
        <f>IF(OR(A11=0,F11="否"),0,'数据-取费表'!K11+'数据-取费表'!S11)</f>
        <v>0</v>
      </c>
      <c r="F11" s="2577" t="s">
        <v>2530</v>
      </c>
    </row>
    <row r="12" spans="1:6">
      <c r="A12" s="2575">
        <f>'数据-取费表'!AN12</f>
        <v>0</v>
      </c>
      <c r="B12" s="2574" t="e">
        <f ca="1">IF(F12="是",'数据-取费表'!AO12,0)</f>
        <v>#REF!</v>
      </c>
      <c r="C12" s="2565" t="s">
        <v>2524</v>
      </c>
      <c r="D12" s="2568"/>
      <c r="E12" s="2576">
        <f>IF(OR(A12=0,F12="否"),0,'数据-取费表'!K12+'数据-取费表'!S12)</f>
        <v>0</v>
      </c>
      <c r="F12" s="2577" t="s">
        <v>2530</v>
      </c>
    </row>
    <row r="13" spans="1:6" ht="15" thickBot="1">
      <c r="A13" s="2578">
        <f>'数据-取费表'!AN13</f>
        <v>0</v>
      </c>
      <c r="B13" s="2574" t="e">
        <f ca="1">IF(F13="是",'数据-取费表'!AO13,0)</f>
        <v>#REF!</v>
      </c>
      <c r="C13" s="2579" t="s">
        <v>2524</v>
      </c>
      <c r="D13" s="2580"/>
      <c r="E13" s="2576">
        <f>IF(OR(A13=0,F13="否"),0,'数据-取费表'!K13+'数据-取费表'!S13)</f>
        <v>0</v>
      </c>
      <c r="F13" s="2577"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6" t="s">
        <v>1076</v>
      </c>
      <c r="B1" s="3167"/>
      <c r="C1" s="3168"/>
      <c r="D1" s="3169">
        <f>SUM(I10,I15,I20,I21,I23)</f>
        <v>0</v>
      </c>
      <c r="E1" s="3169"/>
      <c r="F1" s="3169"/>
      <c r="G1" s="3169"/>
      <c r="H1" s="3169"/>
      <c r="I1" s="3170"/>
    </row>
    <row r="2" spans="1:9">
      <c r="A2" s="3171" t="s">
        <v>1077</v>
      </c>
      <c r="B2" s="3172" t="s">
        <v>1078</v>
      </c>
      <c r="C2" s="3172"/>
      <c r="D2" s="1301" t="s">
        <v>1079</v>
      </c>
      <c r="E2" s="1301" t="s">
        <v>1080</v>
      </c>
      <c r="F2" s="1301" t="s">
        <v>1081</v>
      </c>
      <c r="G2" s="1301" t="s">
        <v>1082</v>
      </c>
      <c r="H2" s="1301" t="s">
        <v>1083</v>
      </c>
      <c r="I2" s="1302" t="s">
        <v>1084</v>
      </c>
    </row>
    <row r="3" spans="1:9">
      <c r="A3" s="3171"/>
      <c r="B3" s="3172" t="s">
        <v>1085</v>
      </c>
      <c r="C3" s="3172"/>
      <c r="D3" s="1303"/>
      <c r="E3" s="1301"/>
      <c r="F3" s="1304"/>
      <c r="G3" s="1304"/>
      <c r="H3" s="1305"/>
      <c r="I3" s="1306">
        <f>ROUND(D3*E3*F3*G3*H3/10000,0)</f>
        <v>0</v>
      </c>
    </row>
    <row r="4" spans="1:9">
      <c r="A4" s="3171"/>
      <c r="B4" s="3172" t="s">
        <v>1086</v>
      </c>
      <c r="C4" s="3172"/>
      <c r="D4" s="1303"/>
      <c r="E4" s="1301"/>
      <c r="F4" s="1304"/>
      <c r="G4" s="1304"/>
      <c r="H4" s="1305"/>
      <c r="I4" s="1306">
        <f t="shared" ref="I4:I9" si="0">ROUND(D4*E4*F4*G4*H4/10000,0)</f>
        <v>0</v>
      </c>
    </row>
    <row r="5" spans="1:9">
      <c r="A5" s="3171"/>
      <c r="B5" s="3172" t="s">
        <v>1087</v>
      </c>
      <c r="C5" s="3172"/>
      <c r="D5" s="1303"/>
      <c r="E5" s="1301"/>
      <c r="F5" s="1304"/>
      <c r="G5" s="1304"/>
      <c r="H5" s="1305"/>
      <c r="I5" s="1306">
        <f t="shared" si="0"/>
        <v>0</v>
      </c>
    </row>
    <row r="6" spans="1:9">
      <c r="A6" s="3171"/>
      <c r="B6" s="3172" t="s">
        <v>1088</v>
      </c>
      <c r="C6" s="3172"/>
      <c r="D6" s="1303"/>
      <c r="E6" s="1301"/>
      <c r="F6" s="1304"/>
      <c r="G6" s="1304"/>
      <c r="H6" s="1305"/>
      <c r="I6" s="1306">
        <f t="shared" si="0"/>
        <v>0</v>
      </c>
    </row>
    <row r="7" spans="1:9">
      <c r="A7" s="3171"/>
      <c r="B7" s="3172" t="s">
        <v>1089</v>
      </c>
      <c r="C7" s="3172"/>
      <c r="D7" s="1303"/>
      <c r="E7" s="1301"/>
      <c r="F7" s="1304"/>
      <c r="G7" s="1304"/>
      <c r="H7" s="1305"/>
      <c r="I7" s="1306">
        <f t="shared" si="0"/>
        <v>0</v>
      </c>
    </row>
    <row r="8" spans="1:9">
      <c r="A8" s="3171"/>
      <c r="B8" s="3172" t="s">
        <v>1090</v>
      </c>
      <c r="C8" s="3172"/>
      <c r="D8" s="1303"/>
      <c r="E8" s="1301"/>
      <c r="F8" s="1304"/>
      <c r="G8" s="1304"/>
      <c r="H8" s="1305"/>
      <c r="I8" s="1306">
        <f t="shared" si="0"/>
        <v>0</v>
      </c>
    </row>
    <row r="9" spans="1:9">
      <c r="A9" s="3171"/>
      <c r="B9" s="3172" t="s">
        <v>1091</v>
      </c>
      <c r="C9" s="3172"/>
      <c r="D9" s="1303"/>
      <c r="E9" s="1301"/>
      <c r="F9" s="1304"/>
      <c r="G9" s="1304"/>
      <c r="H9" s="1305"/>
      <c r="I9" s="1306">
        <f t="shared" si="0"/>
        <v>0</v>
      </c>
    </row>
    <row r="10" spans="1:9">
      <c r="A10" s="3171"/>
      <c r="B10" s="3173" t="s">
        <v>1092</v>
      </c>
      <c r="C10" s="3173"/>
      <c r="D10" s="1307"/>
      <c r="E10" s="1307" t="e">
        <f>ROUND(D1*10000/D10/H9,0)</f>
        <v>#DIV/0!</v>
      </c>
      <c r="F10" s="1308"/>
      <c r="G10" s="1308"/>
      <c r="H10" s="1309"/>
      <c r="I10" s="1310">
        <f>SUM(I3:I9)</f>
        <v>0</v>
      </c>
    </row>
    <row r="11" spans="1:9" ht="14.25">
      <c r="A11" s="3171" t="s">
        <v>1093</v>
      </c>
      <c r="B11" s="3172" t="s">
        <v>1094</v>
      </c>
      <c r="C11" s="3172"/>
      <c r="D11" s="1303" t="s">
        <v>1095</v>
      </c>
      <c r="E11" s="1303" t="s">
        <v>1096</v>
      </c>
      <c r="F11" s="1304" t="s">
        <v>1097</v>
      </c>
      <c r="G11" s="1304" t="s">
        <v>1083</v>
      </c>
      <c r="H11" s="1311" t="s">
        <v>1098</v>
      </c>
      <c r="I11" s="1302" t="s">
        <v>1084</v>
      </c>
    </row>
    <row r="12" spans="1:9">
      <c r="A12" s="3171"/>
      <c r="B12" s="3172" t="s">
        <v>1099</v>
      </c>
      <c r="C12" s="3172"/>
      <c r="D12" s="1303"/>
      <c r="E12" s="1303"/>
      <c r="F12" s="1304"/>
      <c r="G12" s="1305"/>
      <c r="H12" s="1312"/>
      <c r="I12" s="1302">
        <f>ROUND(D12*E12*F12*G12/10000,0)</f>
        <v>0</v>
      </c>
    </row>
    <row r="13" spans="1:9">
      <c r="A13" s="3171"/>
      <c r="B13" s="3172" t="s">
        <v>1100</v>
      </c>
      <c r="C13" s="3172"/>
      <c r="D13" s="1303"/>
      <c r="E13" s="1303"/>
      <c r="F13" s="1304"/>
      <c r="G13" s="1305"/>
      <c r="H13" s="1312"/>
      <c r="I13" s="1302">
        <f>ROUND(D13*E13*F13*G13/10000,0)</f>
        <v>0</v>
      </c>
    </row>
    <row r="14" spans="1:9">
      <c r="A14" s="3171"/>
      <c r="B14" s="3172" t="s">
        <v>1101</v>
      </c>
      <c r="C14" s="3172"/>
      <c r="D14" s="1303"/>
      <c r="E14" s="1303"/>
      <c r="F14" s="1304"/>
      <c r="G14" s="1305"/>
      <c r="H14" s="1312"/>
      <c r="I14" s="1302">
        <f>ROUND(D14*E14*F14*G14/10000,0)</f>
        <v>0</v>
      </c>
    </row>
    <row r="15" spans="1:9">
      <c r="A15" s="3171"/>
      <c r="B15" s="3173" t="s">
        <v>1092</v>
      </c>
      <c r="C15" s="3173"/>
      <c r="D15" s="1307"/>
      <c r="E15" s="1307">
        <f>SUM(E12:E14)</f>
        <v>0</v>
      </c>
      <c r="F15" s="1308"/>
      <c r="G15" s="1305"/>
      <c r="H15" s="1312"/>
      <c r="I15" s="1313">
        <f>SUM(I12:I14)</f>
        <v>0</v>
      </c>
    </row>
    <row r="16" spans="1:9" ht="24">
      <c r="A16" s="3171" t="s">
        <v>1102</v>
      </c>
      <c r="B16" s="3172" t="s">
        <v>1103</v>
      </c>
      <c r="C16" s="3172"/>
      <c r="D16" s="1303" t="s">
        <v>1079</v>
      </c>
      <c r="E16" s="1314" t="s">
        <v>1104</v>
      </c>
      <c r="F16" s="1304" t="s">
        <v>1105</v>
      </c>
      <c r="G16" s="1305" t="s">
        <v>1083</v>
      </c>
      <c r="H16" s="1311" t="s">
        <v>1098</v>
      </c>
      <c r="I16" s="1302" t="s">
        <v>1084</v>
      </c>
    </row>
    <row r="17" spans="1:9" ht="14.25">
      <c r="A17" s="3171"/>
      <c r="B17" s="3172" t="s">
        <v>1106</v>
      </c>
      <c r="C17" s="3172"/>
      <c r="D17" s="1303"/>
      <c r="E17" s="1303"/>
      <c r="F17" s="1304"/>
      <c r="G17" s="1305"/>
      <c r="H17" s="1315"/>
      <c r="I17" s="1316">
        <f>ROUND(D17*E17*F17*G17/10000,0)</f>
        <v>0</v>
      </c>
    </row>
    <row r="18" spans="1:9" ht="14.25">
      <c r="A18" s="3171"/>
      <c r="B18" s="3172" t="s">
        <v>1107</v>
      </c>
      <c r="C18" s="3172"/>
      <c r="D18" s="1303"/>
      <c r="E18" s="1303"/>
      <c r="F18" s="1304"/>
      <c r="G18" s="1305"/>
      <c r="H18" s="1315"/>
      <c r="I18" s="1316">
        <f>ROUND(D18*E18*F18*G18/10000,0)</f>
        <v>0</v>
      </c>
    </row>
    <row r="19" spans="1:9" ht="14.25">
      <c r="A19" s="3171"/>
      <c r="B19" s="3172" t="s">
        <v>1108</v>
      </c>
      <c r="C19" s="3172"/>
      <c r="D19" s="1303"/>
      <c r="E19" s="1303"/>
      <c r="F19" s="1304"/>
      <c r="G19" s="1305"/>
      <c r="H19" s="1315"/>
      <c r="I19" s="1316">
        <f>ROUND(D19*E19*F19*G19/10000,0)</f>
        <v>0</v>
      </c>
    </row>
    <row r="20" spans="1:9">
      <c r="A20" s="3171"/>
      <c r="B20" s="3173" t="s">
        <v>1092</v>
      </c>
      <c r="C20" s="3173"/>
      <c r="D20" s="1307">
        <f>SUM(D17:D19)</f>
        <v>0</v>
      </c>
      <c r="E20" s="1307"/>
      <c r="F20" s="1308"/>
      <c r="G20" s="1305"/>
      <c r="H20" s="1312"/>
      <c r="I20" s="1313">
        <f>SUM(I17:I19)</f>
        <v>0</v>
      </c>
    </row>
    <row r="21" spans="1:9">
      <c r="A21" s="3171" t="s">
        <v>1109</v>
      </c>
      <c r="B21" s="3175"/>
      <c r="C21" s="3175"/>
      <c r="D21" s="3175"/>
      <c r="E21" s="3175"/>
      <c r="F21" s="3175"/>
      <c r="G21" s="3175"/>
      <c r="H21" s="1765">
        <v>0.1</v>
      </c>
      <c r="I21" s="1310">
        <f>ROUND(I10*H21,0)</f>
        <v>0</v>
      </c>
    </row>
    <row r="22" spans="1:9" ht="14.25">
      <c r="A22" s="3176" t="s">
        <v>1110</v>
      </c>
      <c r="B22" s="3177"/>
      <c r="C22" s="3178"/>
      <c r="D22" s="1317" t="s">
        <v>1111</v>
      </c>
      <c r="E22" s="1317" t="s">
        <v>1112</v>
      </c>
      <c r="F22" s="1318" t="s">
        <v>1113</v>
      </c>
      <c r="G22" s="1318" t="s">
        <v>1114</v>
      </c>
      <c r="H22" s="1311" t="s">
        <v>1115</v>
      </c>
      <c r="I22" s="1302" t="s">
        <v>1116</v>
      </c>
    </row>
    <row r="23" spans="1:9" ht="14.25" thickBot="1">
      <c r="A23" s="3179"/>
      <c r="B23" s="3180"/>
      <c r="C23" s="3181"/>
      <c r="D23" s="1319"/>
      <c r="E23" s="1319"/>
      <c r="F23" s="1319"/>
      <c r="G23" s="1320"/>
      <c r="H23" s="1321"/>
      <c r="I23" s="1322">
        <f>ROUND(E23*D23*F23*(1-G23)/10000,0)</f>
        <v>0</v>
      </c>
    </row>
    <row r="26" spans="1:9">
      <c r="A26" s="1323" t="s">
        <v>1117</v>
      </c>
      <c r="B26" s="1323"/>
      <c r="C26" s="1323"/>
      <c r="D26" s="1323"/>
      <c r="E26" s="3182">
        <f>C27-C30-C31-C32</f>
        <v>0</v>
      </c>
      <c r="F26" s="3182"/>
      <c r="G26" s="3182"/>
      <c r="H26" s="1737" t="s">
        <v>1340</v>
      </c>
    </row>
    <row r="27" spans="1:9">
      <c r="A27" s="1324">
        <v>1</v>
      </c>
      <c r="B27" s="1325" t="s">
        <v>1118</v>
      </c>
      <c r="C27" s="1325">
        <f>C28+C29</f>
        <v>0</v>
      </c>
      <c r="D27" s="1325"/>
      <c r="E27" s="3183"/>
      <c r="F27" s="3183"/>
      <c r="G27" s="3183"/>
    </row>
    <row r="28" spans="1:9">
      <c r="A28" s="1326" t="s">
        <v>1119</v>
      </c>
      <c r="B28" s="1325" t="s">
        <v>1120</v>
      </c>
      <c r="C28" s="1325"/>
      <c r="D28" s="1325"/>
      <c r="E28" s="3183"/>
      <c r="F28" s="3183"/>
      <c r="G28" s="3183"/>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74"/>
      <c r="F32" s="3174"/>
      <c r="G32" s="3174"/>
    </row>
    <row r="33" spans="1:7" hidden="1">
      <c r="A33" s="3184" t="s">
        <v>1129</v>
      </c>
      <c r="B33" s="3185"/>
      <c r="C33" s="3185"/>
      <c r="D33" s="3186"/>
      <c r="E33" s="3182"/>
      <c r="F33" s="3182"/>
      <c r="G33" s="3182"/>
    </row>
    <row r="34" spans="1:7" hidden="1">
      <c r="A34" s="1328">
        <v>1</v>
      </c>
      <c r="B34" s="1325" t="s">
        <v>1130</v>
      </c>
      <c r="C34" s="1325"/>
      <c r="D34" s="1325"/>
      <c r="E34" s="3183"/>
      <c r="F34" s="3183"/>
      <c r="G34" s="3183"/>
    </row>
    <row r="35" spans="1:7" hidden="1">
      <c r="A35" s="1328">
        <v>2</v>
      </c>
      <c r="B35" s="1325" t="s">
        <v>1131</v>
      </c>
      <c r="C35" s="1325"/>
      <c r="D35" s="1325"/>
      <c r="E35" s="3183"/>
      <c r="F35" s="3183"/>
      <c r="G35" s="3183"/>
    </row>
    <row r="36" spans="1:7" hidden="1">
      <c r="A36" s="1328">
        <v>3</v>
      </c>
      <c r="B36" s="1325" t="s">
        <v>1132</v>
      </c>
      <c r="C36" s="1325"/>
      <c r="D36" s="1325"/>
      <c r="E36" s="3183"/>
      <c r="F36" s="3183"/>
      <c r="G36" s="3183"/>
    </row>
    <row r="37" spans="1:7" hidden="1">
      <c r="A37" s="1328">
        <v>4</v>
      </c>
      <c r="B37" s="1325" t="s">
        <v>1133</v>
      </c>
      <c r="C37" s="1325"/>
      <c r="D37" s="1325"/>
      <c r="E37" s="3183"/>
      <c r="F37" s="3183"/>
      <c r="G37" s="3183"/>
    </row>
    <row r="38" spans="1:7" hidden="1">
      <c r="A38" s="3184" t="s">
        <v>1134</v>
      </c>
      <c r="B38" s="3185"/>
      <c r="C38" s="3185"/>
      <c r="D38" s="3186"/>
      <c r="E38" s="3182"/>
      <c r="F38" s="3182"/>
      <c r="G38" s="31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2533</v>
      </c>
      <c r="B1" s="2581" t="s">
        <v>2534</v>
      </c>
      <c r="C1" s="1634" t="s">
        <v>2535</v>
      </c>
      <c r="D1" s="1621"/>
      <c r="E1" s="2582"/>
      <c r="F1" s="2583" t="s">
        <v>2536</v>
      </c>
      <c r="G1" s="1631" t="s">
        <v>2537</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2" customFormat="1" ht="28.5" customHeight="1" thickTop="1">
      <c r="A2" s="1617" t="s">
        <v>1394</v>
      </c>
      <c r="B2" s="1418" t="e">
        <f ca="1">IF(C2="——",ROUND(C49*D3/10000,0),ROUND(C49*D3/10000,0)-D2)</f>
        <v>#DIV/0!</v>
      </c>
      <c r="C2" s="2585"/>
      <c r="D2" s="1365" t="e">
        <f ca="1">SUMIF(INDIRECT("'"&amp;F2&amp;"'"&amp;"!A:A"),"承租人权益价值",INDIRECT("'"&amp;F2&amp;"'"&amp;"!c:c"))</f>
        <v>#REF!</v>
      </c>
      <c r="E2" s="2586" t="s">
        <v>2538</v>
      </c>
      <c r="F2" s="2587"/>
      <c r="G2" s="1125"/>
      <c r="H2" s="1125"/>
      <c r="I2" s="1125"/>
      <c r="J2" s="1125"/>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1395</v>
      </c>
      <c r="B3" s="398" t="e">
        <f ca="1">IF(C2="——",C49,ROUND(B2*10000/D3,0))</f>
        <v>#DIV/0!</v>
      </c>
      <c r="C3" s="399" t="s">
        <v>2539</v>
      </c>
      <c r="D3" s="398">
        <f>IF(D1="",'数据-汇总表'!E3,SUMIF('数据-汇总表'!$C19:$C33,D1,'数据-汇总表'!$E19:$E33))</f>
        <v>1368.3300000000163</v>
      </c>
      <c r="E3" s="1125"/>
      <c r="F3" s="2594"/>
      <c r="G3" s="1125"/>
      <c r="H3" s="1125"/>
      <c r="I3" s="1125"/>
      <c r="J3" s="1125"/>
      <c r="K3" s="2588"/>
      <c r="L3" s="2589"/>
      <c r="M3" s="2590"/>
      <c r="N3" s="2590"/>
      <c r="O3" s="2590"/>
      <c r="P3" s="2591"/>
      <c r="Q3" s="2592"/>
      <c r="R3" s="2592"/>
      <c r="S3" s="2592"/>
      <c r="T3" s="2592"/>
      <c r="U3" s="2592"/>
      <c r="V3" s="2592"/>
      <c r="W3" s="2592"/>
      <c r="X3" s="2592"/>
      <c r="Y3" s="2592"/>
      <c r="Z3" s="2592"/>
      <c r="AA3" s="2592"/>
      <c r="AB3" s="2592"/>
      <c r="AC3" s="1282"/>
    </row>
    <row r="4" spans="1:29" ht="15">
      <c r="A4" s="400" t="s">
        <v>2540</v>
      </c>
      <c r="B4" s="401"/>
      <c r="C4" s="3205" t="s">
        <v>2541</v>
      </c>
      <c r="D4" s="3206"/>
      <c r="E4" s="3207" t="s">
        <v>2542</v>
      </c>
      <c r="F4" s="3208"/>
      <c r="G4" s="3205" t="s">
        <v>2543</v>
      </c>
      <c r="H4" s="3206"/>
      <c r="I4" s="3205" t="s">
        <v>2544</v>
      </c>
      <c r="J4" s="3206"/>
      <c r="K4" s="2595" t="s">
        <v>2545</v>
      </c>
      <c r="L4" s="1131"/>
      <c r="M4" s="1132"/>
      <c r="N4" s="1132"/>
      <c r="O4" s="1132"/>
      <c r="P4" s="3209" t="s">
        <v>2546</v>
      </c>
      <c r="Q4" s="3210"/>
      <c r="R4" s="3192" t="s">
        <v>2542</v>
      </c>
      <c r="S4" s="3193"/>
      <c r="T4" s="3192" t="s">
        <v>2543</v>
      </c>
      <c r="U4" s="3193"/>
      <c r="V4" s="3217" t="s">
        <v>2544</v>
      </c>
      <c r="W4" s="3217"/>
      <c r="X4" s="1813"/>
      <c r="Y4" s="3192" t="s">
        <v>2546</v>
      </c>
      <c r="Z4" s="3193"/>
      <c r="AA4" s="3187" t="s">
        <v>2542</v>
      </c>
      <c r="AB4" s="3187" t="s">
        <v>2543</v>
      </c>
      <c r="AC4" s="3187" t="s">
        <v>2544</v>
      </c>
    </row>
    <row r="5" spans="1:29" ht="15">
      <c r="A5" s="403"/>
      <c r="B5" s="404"/>
      <c r="C5" s="3198" t="s">
        <v>2547</v>
      </c>
      <c r="D5" s="3199"/>
      <c r="E5" s="3196" t="s">
        <v>2548</v>
      </c>
      <c r="F5" s="3197"/>
      <c r="G5" s="3198" t="s">
        <v>2549</v>
      </c>
      <c r="H5" s="3199"/>
      <c r="I5" s="3198" t="s">
        <v>2550</v>
      </c>
      <c r="J5" s="3199"/>
      <c r="K5" s="2596"/>
      <c r="L5" s="1131"/>
      <c r="M5" s="1132"/>
      <c r="N5" s="1132"/>
      <c r="O5" s="1132"/>
      <c r="P5" s="3211"/>
      <c r="Q5" s="3212"/>
      <c r="R5" s="3194"/>
      <c r="S5" s="3195"/>
      <c r="T5" s="3194"/>
      <c r="U5" s="3195"/>
      <c r="V5" s="3217"/>
      <c r="W5" s="3217"/>
      <c r="X5" s="1813"/>
      <c r="Y5" s="3194"/>
      <c r="Z5" s="3195"/>
      <c r="AA5" s="3188"/>
      <c r="AB5" s="3188"/>
      <c r="AC5" s="3188"/>
    </row>
    <row r="6" spans="1:29" ht="15.75" thickBot="1">
      <c r="A6" s="405"/>
      <c r="B6" s="406"/>
      <c r="C6" s="3200" t="s">
        <v>2551</v>
      </c>
      <c r="D6" s="3201"/>
      <c r="E6" s="3202" t="s">
        <v>2551</v>
      </c>
      <c r="F6" s="3203"/>
      <c r="G6" s="3200" t="s">
        <v>2551</v>
      </c>
      <c r="H6" s="3201"/>
      <c r="I6" s="3200" t="s">
        <v>2551</v>
      </c>
      <c r="J6" s="3201"/>
      <c r="K6" s="2596" t="s">
        <v>2552</v>
      </c>
      <c r="L6" s="1131"/>
      <c r="M6" s="1132"/>
      <c r="N6" s="1132"/>
      <c r="O6" s="1132"/>
      <c r="P6" s="3213"/>
      <c r="Q6" s="3214"/>
      <c r="R6" s="3194"/>
      <c r="S6" s="3195"/>
      <c r="T6" s="3215"/>
      <c r="U6" s="3216"/>
      <c r="V6" s="3217"/>
      <c r="W6" s="3217"/>
      <c r="X6" s="1813"/>
      <c r="Y6" s="3215"/>
      <c r="Z6" s="3216"/>
      <c r="AA6" s="3189"/>
      <c r="AB6" s="3189"/>
      <c r="AC6" s="3189"/>
    </row>
    <row r="7" spans="1:29" s="116" customFormat="1" ht="15.75" thickBot="1">
      <c r="A7" s="407" t="s">
        <v>2553</v>
      </c>
      <c r="B7" s="408"/>
      <c r="C7" s="409">
        <f>'数据-取费表'!B2</f>
        <v>43432</v>
      </c>
      <c r="D7" s="410">
        <v>100</v>
      </c>
      <c r="E7" s="411"/>
      <c r="F7" s="412">
        <f>SUMIF(58:58,YEAR(E7)&amp;"-"&amp;MONTH(E7),59:59)</f>
        <v>0</v>
      </c>
      <c r="G7" s="411"/>
      <c r="H7" s="410">
        <f>SUMIF(58:58,YEAR(G7)&amp;"-"&amp;MONTH(G7),59:59)</f>
        <v>0</v>
      </c>
      <c r="I7" s="411"/>
      <c r="J7" s="410">
        <f>SUMIF(58:58,YEAR(I7)&amp;"-"&amp;MONTH(I7),59:59)</f>
        <v>0</v>
      </c>
      <c r="K7" s="2597"/>
      <c r="L7" s="1133"/>
      <c r="M7" s="1134"/>
      <c r="N7" s="1134"/>
      <c r="O7" s="1134"/>
      <c r="P7" s="3190" t="s">
        <v>2554</v>
      </c>
      <c r="Q7" s="3218"/>
      <c r="R7" s="768" t="s">
        <v>23</v>
      </c>
      <c r="S7" s="769">
        <f t="shared" ref="S7:S15" si="0">F7</f>
        <v>0</v>
      </c>
      <c r="T7" s="768" t="s">
        <v>23</v>
      </c>
      <c r="U7" s="769">
        <f t="shared" ref="U7:U15" si="1">H7</f>
        <v>0</v>
      </c>
      <c r="V7" s="768" t="s">
        <v>23</v>
      </c>
      <c r="W7" s="769">
        <f t="shared" ref="W7:W15" si="2">J7</f>
        <v>0</v>
      </c>
      <c r="X7" s="770"/>
      <c r="Y7" s="3190" t="s">
        <v>2554</v>
      </c>
      <c r="Z7" s="3191"/>
      <c r="AA7" s="771" t="e">
        <f>D7/F7</f>
        <v>#DIV/0!</v>
      </c>
      <c r="AB7" s="771" t="e">
        <f>D7/H7</f>
        <v>#DIV/0!</v>
      </c>
      <c r="AC7" s="771" t="e">
        <f>D7/J7</f>
        <v>#DIV/0!</v>
      </c>
    </row>
    <row r="8" spans="1:29" s="116" customFormat="1" ht="15.75" thickBot="1">
      <c r="A8" s="407" t="s">
        <v>2555</v>
      </c>
      <c r="B8" s="408"/>
      <c r="C8" s="413" t="s">
        <v>2556</v>
      </c>
      <c r="D8" s="410">
        <v>100</v>
      </c>
      <c r="E8" s="2598"/>
      <c r="F8" s="412">
        <f>SUMIF(61:61,E8,62:62)-SUMIF(61:61,C8,62:62)+100</f>
        <v>0</v>
      </c>
      <c r="G8" s="413"/>
      <c r="H8" s="410">
        <f>SUMIF(61:61,G8,62:62)-SUMIF(61:61,C8,62:62)+100</f>
        <v>0</v>
      </c>
      <c r="I8" s="2598"/>
      <c r="J8" s="410">
        <f>SUMIF(61:61,I8,62:62)-SUMIF(61:61,C8,62:62)+100</f>
        <v>0</v>
      </c>
      <c r="K8" s="2597"/>
      <c r="L8" s="1133"/>
      <c r="M8" s="1134"/>
      <c r="N8" s="1134"/>
      <c r="O8" s="1134"/>
      <c r="P8" s="3190" t="s">
        <v>2557</v>
      </c>
      <c r="Q8" s="3191"/>
      <c r="R8" s="768" t="s">
        <v>23</v>
      </c>
      <c r="S8" s="769">
        <f t="shared" si="0"/>
        <v>0</v>
      </c>
      <c r="T8" s="768" t="s">
        <v>23</v>
      </c>
      <c r="U8" s="769">
        <f t="shared" si="1"/>
        <v>0</v>
      </c>
      <c r="V8" s="768" t="s">
        <v>23</v>
      </c>
      <c r="W8" s="769">
        <f t="shared" si="2"/>
        <v>0</v>
      </c>
      <c r="X8" s="770"/>
      <c r="Y8" s="3190" t="s">
        <v>2557</v>
      </c>
      <c r="Z8" s="3191"/>
      <c r="AA8" s="771" t="e">
        <f t="shared" ref="AA8:AA19" si="3">D8/F8</f>
        <v>#DIV/0!</v>
      </c>
      <c r="AB8" s="771" t="e">
        <f t="shared" ref="AB8:AB19" si="4">D8/H8</f>
        <v>#DIV/0!</v>
      </c>
      <c r="AC8" s="771" t="e">
        <f t="shared" ref="AC8:AC19" si="5">D8/J8</f>
        <v>#DIV/0!</v>
      </c>
    </row>
    <row r="9" spans="1:29" s="116" customFormat="1">
      <c r="A9" s="414" t="s">
        <v>2558</v>
      </c>
      <c r="B9" s="70" t="s">
        <v>2559</v>
      </c>
      <c r="C9" s="415"/>
      <c r="D9" s="134">
        <v>100</v>
      </c>
      <c r="E9" s="416"/>
      <c r="F9" s="417">
        <f>SUMIF(63:63,E9,64:64)-SUMIF(63:63,C9,64:64)+100</f>
        <v>100</v>
      </c>
      <c r="G9" s="418"/>
      <c r="H9" s="134">
        <f>SUMIF(63:63,G9,64:64)-SUMIF(63:63,C9,64:64)+100</f>
        <v>100</v>
      </c>
      <c r="I9" s="418"/>
      <c r="J9" s="134">
        <f>SUMIF(63:63,I9,64:64)-SUMIF(63:63,C9,64:64)+100</f>
        <v>100</v>
      </c>
      <c r="K9" s="2597"/>
      <c r="L9" s="1133"/>
      <c r="M9" s="1134"/>
      <c r="N9" s="1134"/>
      <c r="O9" s="1134"/>
      <c r="P9" s="3204" t="s">
        <v>2560</v>
      </c>
      <c r="Q9" s="1795" t="str">
        <f t="shared" ref="Q9:Q15" si="6">B9</f>
        <v>用途</v>
      </c>
      <c r="R9" s="768" t="s">
        <v>17</v>
      </c>
      <c r="S9" s="769">
        <f t="shared" si="0"/>
        <v>100</v>
      </c>
      <c r="T9" s="768" t="s">
        <v>17</v>
      </c>
      <c r="U9" s="769">
        <f t="shared" si="1"/>
        <v>100</v>
      </c>
      <c r="V9" s="768" t="s">
        <v>17</v>
      </c>
      <c r="W9" s="769">
        <f t="shared" si="2"/>
        <v>100</v>
      </c>
      <c r="X9" s="770"/>
      <c r="Y9" s="3037" t="s">
        <v>2561</v>
      </c>
      <c r="Z9" s="54" t="str">
        <f t="shared" ref="Z9:Z15" si="7">Q9</f>
        <v>用途</v>
      </c>
      <c r="AA9" s="771">
        <f t="shared" si="3"/>
        <v>1</v>
      </c>
      <c r="AB9" s="771">
        <f t="shared" si="4"/>
        <v>1</v>
      </c>
      <c r="AC9" s="771">
        <f t="shared" si="5"/>
        <v>1</v>
      </c>
    </row>
    <row r="10" spans="1:29" s="426" customFormat="1" ht="27">
      <c r="A10" s="420"/>
      <c r="B10" s="421" t="s">
        <v>2562</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204"/>
      <c r="Q10" s="1795" t="str">
        <f t="shared" si="6"/>
        <v>土地使用年限（年）</v>
      </c>
      <c r="R10" s="768" t="s">
        <v>17</v>
      </c>
      <c r="S10" s="769">
        <f t="shared" si="0"/>
        <v>100</v>
      </c>
      <c r="T10" s="768" t="s">
        <v>17</v>
      </c>
      <c r="U10" s="769">
        <f t="shared" si="1"/>
        <v>100</v>
      </c>
      <c r="V10" s="768" t="s">
        <v>17</v>
      </c>
      <c r="W10" s="769">
        <f t="shared" si="2"/>
        <v>100</v>
      </c>
      <c r="X10" s="770"/>
      <c r="Y10" s="3037"/>
      <c r="Z10" s="54" t="str">
        <f t="shared" si="7"/>
        <v>土地使用年限（年）</v>
      </c>
      <c r="AA10" s="771">
        <f t="shared" si="3"/>
        <v>1</v>
      </c>
      <c r="AB10" s="771">
        <f t="shared" si="4"/>
        <v>1</v>
      </c>
      <c r="AC10" s="771">
        <f t="shared" si="5"/>
        <v>1</v>
      </c>
    </row>
    <row r="11" spans="1:29" ht="15">
      <c r="A11" s="427"/>
      <c r="B11" s="421" t="s">
        <v>2563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204"/>
      <c r="Q11" s="1795" t="str">
        <f t="shared" si="6"/>
        <v>容积率</v>
      </c>
      <c r="R11" s="768" t="s">
        <v>21</v>
      </c>
      <c r="S11" s="769" t="e">
        <f t="shared" si="0"/>
        <v>#N/A</v>
      </c>
      <c r="T11" s="768" t="s">
        <v>21</v>
      </c>
      <c r="U11" s="769" t="e">
        <f t="shared" si="1"/>
        <v>#N/A</v>
      </c>
      <c r="V11" s="768" t="s">
        <v>21</v>
      </c>
      <c r="W11" s="769" t="e">
        <f t="shared" si="2"/>
        <v>#N/A</v>
      </c>
      <c r="X11" s="770"/>
      <c r="Y11" s="3037"/>
      <c r="Z11" s="54" t="str">
        <f t="shared" si="7"/>
        <v>容积率</v>
      </c>
      <c r="AA11" s="771" t="e">
        <f t="shared" si="3"/>
        <v>#N/A</v>
      </c>
      <c r="AB11" s="771" t="e">
        <f t="shared" si="4"/>
        <v>#N/A</v>
      </c>
      <c r="AC11" s="771" t="e">
        <f t="shared" si="5"/>
        <v>#N/A</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3"/>
      <c r="M12" s="1134"/>
      <c r="N12" s="1134"/>
      <c r="O12" s="1134"/>
      <c r="P12" s="3204"/>
      <c r="Q12" s="1795">
        <f t="shared" si="6"/>
        <v>111</v>
      </c>
      <c r="R12" s="768" t="s">
        <v>21</v>
      </c>
      <c r="S12" s="769">
        <f t="shared" si="0"/>
        <v>100</v>
      </c>
      <c r="T12" s="768" t="s">
        <v>21</v>
      </c>
      <c r="U12" s="769">
        <f t="shared" si="1"/>
        <v>100</v>
      </c>
      <c r="V12" s="768" t="s">
        <v>21</v>
      </c>
      <c r="W12" s="769">
        <f t="shared" si="2"/>
        <v>100</v>
      </c>
      <c r="X12" s="770"/>
      <c r="Y12" s="3037"/>
      <c r="Z12" s="54">
        <f t="shared" si="7"/>
        <v>111</v>
      </c>
      <c r="AA12" s="771">
        <f>D12/F12</f>
        <v>1</v>
      </c>
      <c r="AB12" s="771">
        <f>D12/H12</f>
        <v>1</v>
      </c>
      <c r="AC12" s="771">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1"/>
      <c r="M13" s="1132"/>
      <c r="N13" s="1132"/>
      <c r="O13" s="1132"/>
      <c r="P13" s="3204"/>
      <c r="Q13" s="1795">
        <f t="shared" si="6"/>
        <v>111</v>
      </c>
      <c r="R13" s="768" t="s">
        <v>21</v>
      </c>
      <c r="S13" s="769">
        <f t="shared" si="0"/>
        <v>100</v>
      </c>
      <c r="T13" s="768" t="s">
        <v>21</v>
      </c>
      <c r="U13" s="769">
        <f t="shared" si="1"/>
        <v>100</v>
      </c>
      <c r="V13" s="768" t="s">
        <v>21</v>
      </c>
      <c r="W13" s="769">
        <f t="shared" si="2"/>
        <v>100</v>
      </c>
      <c r="X13" s="770"/>
      <c r="Y13" s="3037"/>
      <c r="Z13" s="54">
        <f t="shared" si="7"/>
        <v>111</v>
      </c>
      <c r="AA13" s="771">
        <f t="shared" si="3"/>
        <v>1</v>
      </c>
      <c r="AB13" s="771">
        <f t="shared" si="4"/>
        <v>1</v>
      </c>
      <c r="AC13" s="771">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1"/>
      <c r="M14" s="1132"/>
      <c r="N14" s="1132"/>
      <c r="O14" s="1132"/>
      <c r="P14" s="3204"/>
      <c r="Q14" s="1795">
        <f t="shared" si="6"/>
        <v>111</v>
      </c>
      <c r="R14" s="768" t="s">
        <v>21</v>
      </c>
      <c r="S14" s="769">
        <f t="shared" si="0"/>
        <v>100</v>
      </c>
      <c r="T14" s="768" t="s">
        <v>21</v>
      </c>
      <c r="U14" s="769">
        <f t="shared" si="1"/>
        <v>100</v>
      </c>
      <c r="V14" s="768" t="s">
        <v>21</v>
      </c>
      <c r="W14" s="769">
        <f t="shared" si="2"/>
        <v>100</v>
      </c>
      <c r="X14" s="770"/>
      <c r="Y14" s="3037"/>
      <c r="Z14" s="54">
        <f t="shared" si="7"/>
        <v>111</v>
      </c>
      <c r="AA14" s="771">
        <f t="shared" si="3"/>
        <v>1</v>
      </c>
      <c r="AB14" s="771">
        <f t="shared" si="4"/>
        <v>1</v>
      </c>
      <c r="AC14" s="771">
        <f t="shared" si="5"/>
        <v>1</v>
      </c>
    </row>
    <row r="15" spans="1:29" ht="99.75">
      <c r="A15" s="439" t="s">
        <v>2564</v>
      </c>
      <c r="B15" s="68" t="s">
        <v>2089</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31" t="s">
        <v>2565</v>
      </c>
      <c r="Q15" s="1810" t="str">
        <f t="shared" si="6"/>
        <v>居住社区成熟度</v>
      </c>
      <c r="R15" s="772" t="s">
        <v>21</v>
      </c>
      <c r="S15" s="773">
        <f t="shared" si="0"/>
        <v>100</v>
      </c>
      <c r="T15" s="772" t="s">
        <v>21</v>
      </c>
      <c r="U15" s="773">
        <f t="shared" si="1"/>
        <v>100</v>
      </c>
      <c r="V15" s="772" t="s">
        <v>21</v>
      </c>
      <c r="W15" s="773">
        <f t="shared" si="2"/>
        <v>100</v>
      </c>
      <c r="X15" s="1813"/>
      <c r="Y15" s="3224" t="s">
        <v>2565</v>
      </c>
      <c r="Z15" s="1814" t="str">
        <f t="shared" si="7"/>
        <v>居住社区成熟度</v>
      </c>
      <c r="AA15" s="1811">
        <f t="shared" si="3"/>
        <v>1</v>
      </c>
      <c r="AB15" s="1811">
        <f t="shared" si="4"/>
        <v>1</v>
      </c>
      <c r="AC15" s="1811">
        <f t="shared" si="5"/>
        <v>1</v>
      </c>
    </row>
    <row r="16" spans="1:29" ht="15">
      <c r="A16" s="427"/>
      <c r="B16" s="445"/>
      <c r="C16" s="446"/>
      <c r="D16" s="447"/>
      <c r="E16" s="2603"/>
      <c r="F16" s="447"/>
      <c r="G16" s="2604"/>
      <c r="H16" s="449"/>
      <c r="I16" s="2604"/>
      <c r="J16" s="447"/>
      <c r="K16" s="2605"/>
      <c r="L16" s="1141"/>
      <c r="M16" s="1132"/>
      <c r="N16" s="1132"/>
      <c r="O16" s="1132"/>
      <c r="P16" s="3232"/>
      <c r="Q16" s="1810"/>
      <c r="R16" s="772"/>
      <c r="S16" s="773"/>
      <c r="T16" s="772"/>
      <c r="U16" s="773"/>
      <c r="V16" s="772"/>
      <c r="W16" s="773"/>
      <c r="X16" s="1813"/>
      <c r="Y16" s="3225"/>
      <c r="Z16" s="1814"/>
      <c r="AA16" s="1811">
        <v>1</v>
      </c>
      <c r="AB16" s="1811">
        <v>1</v>
      </c>
      <c r="AC16" s="1811">
        <v>1</v>
      </c>
    </row>
    <row r="17" spans="1:29" ht="85.5">
      <c r="A17" s="427"/>
      <c r="B17" s="450" t="s">
        <v>2101</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32"/>
      <c r="Q17" s="1810" t="str">
        <f>B17</f>
        <v>交通便捷度</v>
      </c>
      <c r="R17" s="772" t="s">
        <v>21</v>
      </c>
      <c r="S17" s="773">
        <f>F17</f>
        <v>100</v>
      </c>
      <c r="T17" s="772" t="s">
        <v>21</v>
      </c>
      <c r="U17" s="773">
        <f>H17</f>
        <v>100</v>
      </c>
      <c r="V17" s="772" t="s">
        <v>21</v>
      </c>
      <c r="W17" s="773">
        <f>J17</f>
        <v>100</v>
      </c>
      <c r="X17" s="1813"/>
      <c r="Y17" s="3225"/>
      <c r="Z17" s="1814" t="str">
        <f>Q17</f>
        <v>交通便捷度</v>
      </c>
      <c r="AA17" s="1811">
        <f t="shared" si="3"/>
        <v>1</v>
      </c>
      <c r="AB17" s="1811">
        <f t="shared" si="4"/>
        <v>1</v>
      </c>
      <c r="AC17" s="1811">
        <f t="shared" si="5"/>
        <v>1</v>
      </c>
    </row>
    <row r="18" spans="1:29" ht="15">
      <c r="A18" s="427"/>
      <c r="B18" s="455"/>
      <c r="C18" s="2607"/>
      <c r="D18" s="449"/>
      <c r="E18" s="2608"/>
      <c r="F18" s="449"/>
      <c r="G18" s="2609"/>
      <c r="H18" s="447"/>
      <c r="I18" s="2609"/>
      <c r="J18" s="447"/>
      <c r="K18" s="2605"/>
      <c r="L18" s="1141"/>
      <c r="M18" s="1132"/>
      <c r="N18" s="1132"/>
      <c r="O18" s="1132"/>
      <c r="P18" s="3232"/>
      <c r="Q18" s="1810"/>
      <c r="R18" s="772"/>
      <c r="S18" s="773"/>
      <c r="T18" s="772"/>
      <c r="U18" s="773"/>
      <c r="V18" s="772"/>
      <c r="W18" s="773"/>
      <c r="X18" s="1813"/>
      <c r="Y18" s="3225"/>
      <c r="Z18" s="1814"/>
      <c r="AA18" s="1811">
        <v>1</v>
      </c>
      <c r="AB18" s="1811">
        <v>1</v>
      </c>
      <c r="AC18" s="1811">
        <v>1</v>
      </c>
    </row>
    <row r="19" spans="1:29" ht="42.75">
      <c r="A19" s="427"/>
      <c r="B19" s="450" t="s">
        <v>2099</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32"/>
      <c r="Q19" s="1810" t="str">
        <f>B19</f>
        <v>公共配套设施</v>
      </c>
      <c r="R19" s="772" t="s">
        <v>21</v>
      </c>
      <c r="S19" s="773">
        <f>F19</f>
        <v>100</v>
      </c>
      <c r="T19" s="772" t="s">
        <v>21</v>
      </c>
      <c r="U19" s="773">
        <f>H19</f>
        <v>100</v>
      </c>
      <c r="V19" s="772" t="s">
        <v>21</v>
      </c>
      <c r="W19" s="773">
        <f>J19</f>
        <v>100</v>
      </c>
      <c r="X19" s="1813"/>
      <c r="Y19" s="3225"/>
      <c r="Z19" s="1814" t="str">
        <f>Q19</f>
        <v>公共配套设施</v>
      </c>
      <c r="AA19" s="1811">
        <f t="shared" si="3"/>
        <v>1</v>
      </c>
      <c r="AB19" s="1811">
        <f t="shared" si="4"/>
        <v>1</v>
      </c>
      <c r="AC19" s="1811">
        <f t="shared" si="5"/>
        <v>1</v>
      </c>
    </row>
    <row r="20" spans="1:29" ht="15">
      <c r="A20" s="427"/>
      <c r="B20" s="455"/>
      <c r="C20" s="446"/>
      <c r="D20" s="447"/>
      <c r="E20" s="2603"/>
      <c r="F20" s="447"/>
      <c r="G20" s="2604"/>
      <c r="H20" s="447"/>
      <c r="I20" s="2604"/>
      <c r="J20" s="447"/>
      <c r="K20" s="2605"/>
      <c r="L20" s="1141"/>
      <c r="M20" s="1132"/>
      <c r="N20" s="1132"/>
      <c r="O20" s="1132"/>
      <c r="P20" s="3232"/>
      <c r="Q20" s="1810"/>
      <c r="R20" s="772"/>
      <c r="S20" s="773"/>
      <c r="T20" s="772"/>
      <c r="U20" s="773"/>
      <c r="V20" s="772"/>
      <c r="W20" s="773"/>
      <c r="X20" s="1813"/>
      <c r="Y20" s="3225"/>
      <c r="Z20" s="1814"/>
      <c r="AA20" s="1811">
        <v>1</v>
      </c>
      <c r="AB20" s="1811">
        <v>1</v>
      </c>
      <c r="AC20" s="1811">
        <v>1</v>
      </c>
    </row>
    <row r="21" spans="1:29" ht="28.5">
      <c r="A21" s="427"/>
      <c r="B21" s="1384" t="s">
        <v>2102</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32"/>
      <c r="Q21" s="1810" t="str">
        <f>B21</f>
        <v>基础设施水平</v>
      </c>
      <c r="R21" s="772" t="s">
        <v>17</v>
      </c>
      <c r="S21" s="773">
        <f>F21</f>
        <v>100</v>
      </c>
      <c r="T21" s="772" t="s">
        <v>17</v>
      </c>
      <c r="U21" s="773">
        <f>H21</f>
        <v>100</v>
      </c>
      <c r="V21" s="772" t="s">
        <v>17</v>
      </c>
      <c r="W21" s="773">
        <f>J21</f>
        <v>100</v>
      </c>
      <c r="X21" s="1813"/>
      <c r="Y21" s="3225"/>
      <c r="Z21" s="1814" t="str">
        <f>Q21</f>
        <v>基础设施水平</v>
      </c>
      <c r="AA21" s="1811">
        <f t="shared" ref="AA21" si="8">D21/F21</f>
        <v>1</v>
      </c>
      <c r="AB21" s="1811">
        <f t="shared" ref="AB21" si="9">D21/H21</f>
        <v>1</v>
      </c>
      <c r="AC21" s="1811">
        <f t="shared" ref="AC21" si="10">D21/J21</f>
        <v>1</v>
      </c>
    </row>
    <row r="22" spans="1:29" ht="15">
      <c r="A22" s="427"/>
      <c r="B22" s="1384"/>
      <c r="C22" s="2607"/>
      <c r="D22" s="447"/>
      <c r="E22" s="446"/>
      <c r="F22" s="447"/>
      <c r="G22" s="2610"/>
      <c r="H22" s="447"/>
      <c r="I22" s="446"/>
      <c r="J22" s="447"/>
      <c r="K22" s="2611"/>
      <c r="L22" s="1141"/>
      <c r="M22" s="1132"/>
      <c r="N22" s="1132"/>
      <c r="O22" s="1132"/>
      <c r="P22" s="3232"/>
      <c r="Q22" s="1810"/>
      <c r="R22" s="772"/>
      <c r="S22" s="773"/>
      <c r="T22" s="772"/>
      <c r="U22" s="773"/>
      <c r="V22" s="772"/>
      <c r="W22" s="773"/>
      <c r="X22" s="1813"/>
      <c r="Y22" s="3225"/>
      <c r="Z22" s="1814"/>
      <c r="AA22" s="1811">
        <v>1</v>
      </c>
      <c r="AB22" s="1811">
        <v>1</v>
      </c>
      <c r="AC22" s="1811">
        <v>1</v>
      </c>
    </row>
    <row r="23" spans="1:29" ht="57">
      <c r="A23" s="427"/>
      <c r="B23" s="450" t="s">
        <v>2106</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32"/>
      <c r="Q23" s="1810" t="str">
        <f>B23</f>
        <v>自然及人文环境</v>
      </c>
      <c r="R23" s="772" t="s">
        <v>21</v>
      </c>
      <c r="S23" s="773">
        <f>F23</f>
        <v>100</v>
      </c>
      <c r="T23" s="772" t="s">
        <v>21</v>
      </c>
      <c r="U23" s="773">
        <f>H23</f>
        <v>100</v>
      </c>
      <c r="V23" s="772" t="s">
        <v>21</v>
      </c>
      <c r="W23" s="773">
        <f>J23</f>
        <v>100</v>
      </c>
      <c r="X23" s="1813"/>
      <c r="Y23" s="3225"/>
      <c r="Z23" s="1814" t="str">
        <f>Q23</f>
        <v>自然及人文环境</v>
      </c>
      <c r="AA23" s="1811">
        <f>D23/F23</f>
        <v>1</v>
      </c>
      <c r="AB23" s="1811">
        <f>D23/H23</f>
        <v>1</v>
      </c>
      <c r="AC23" s="1811">
        <f>D23/J23</f>
        <v>1</v>
      </c>
    </row>
    <row r="24" spans="1:29" ht="15">
      <c r="A24" s="427"/>
      <c r="B24" s="455"/>
      <c r="C24" s="446"/>
      <c r="D24" s="447"/>
      <c r="E24" s="2603"/>
      <c r="F24" s="447"/>
      <c r="G24" s="2604"/>
      <c r="H24" s="447"/>
      <c r="I24" s="2604"/>
      <c r="J24" s="447"/>
      <c r="K24" s="2605"/>
      <c r="L24" s="1141"/>
      <c r="M24" s="1132"/>
      <c r="N24" s="1132"/>
      <c r="O24" s="1132"/>
      <c r="P24" s="3232"/>
      <c r="Q24" s="1810"/>
      <c r="R24" s="772"/>
      <c r="S24" s="773"/>
      <c r="T24" s="772"/>
      <c r="U24" s="773"/>
      <c r="V24" s="772"/>
      <c r="W24" s="773"/>
      <c r="X24" s="1813"/>
      <c r="Y24" s="3225"/>
      <c r="Z24" s="1814"/>
      <c r="AA24" s="1811">
        <v>1</v>
      </c>
      <c r="AB24" s="1811">
        <v>1</v>
      </c>
      <c r="AC24" s="1811">
        <v>1</v>
      </c>
    </row>
    <row r="25" spans="1:29" ht="15">
      <c r="A25" s="427"/>
      <c r="B25" s="421" t="s">
        <v>2566</v>
      </c>
      <c r="C25" s="459"/>
      <c r="D25" s="434">
        <v>100</v>
      </c>
      <c r="E25" s="2612"/>
      <c r="F25" s="434">
        <f>SUMIF(86:86,E25,87:87)-SUMIF(86:86,C25,87:87)+100</f>
        <v>100</v>
      </c>
      <c r="G25" s="2613"/>
      <c r="H25" s="434">
        <f>SUMIF(86:86,G25,87:87)-SUMIF(86:86,C25,87:87)+100</f>
        <v>100</v>
      </c>
      <c r="I25" s="2613"/>
      <c r="J25" s="434">
        <f>SUMIF(86:86,I25,87:87)-SUMIF(86:86,C25,87:87)+100</f>
        <v>100</v>
      </c>
      <c r="K25" s="425"/>
      <c r="L25" s="1141"/>
      <c r="M25" s="1132"/>
      <c r="N25" s="1132"/>
      <c r="O25" s="1132"/>
      <c r="P25" s="3232"/>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225"/>
      <c r="Z25" s="1814" t="str">
        <f>Q25</f>
        <v>楼层-1</v>
      </c>
      <c r="AA25" s="1811">
        <f t="shared" ref="AA25:AA46" si="15">D25/F25</f>
        <v>1</v>
      </c>
      <c r="AB25" s="1811">
        <f t="shared" ref="AB25:AB46" si="16">D25/H25</f>
        <v>1</v>
      </c>
      <c r="AC25" s="1811">
        <f t="shared" ref="AC25:AC46" si="17">D25/J25</f>
        <v>1</v>
      </c>
    </row>
    <row r="26" spans="1:29" ht="15">
      <c r="A26" s="427"/>
      <c r="B26" s="421" t="s">
        <v>2567</v>
      </c>
      <c r="C26" s="459"/>
      <c r="D26" s="434">
        <v>100</v>
      </c>
      <c r="E26" s="2612"/>
      <c r="F26" s="434">
        <f>SUMIF(88:88,E26,89:89)-SUMIF(88:88,C26,89:89)+100</f>
        <v>100</v>
      </c>
      <c r="G26" s="2613"/>
      <c r="H26" s="434">
        <f>SUMIF(88:88,G26,89:89)-SUMIF(88:88,C26,89:89)+100</f>
        <v>100</v>
      </c>
      <c r="I26" s="2613"/>
      <c r="J26" s="434">
        <f>SUMIF(88:88,I26,89:89)-SUMIF(88:88,C26,89:89)+100</f>
        <v>100</v>
      </c>
      <c r="K26" s="425"/>
      <c r="L26" s="1141"/>
      <c r="M26" s="1132"/>
      <c r="N26" s="1132"/>
      <c r="O26" s="1132"/>
      <c r="P26" s="3232"/>
      <c r="Q26" s="1810" t="str">
        <f t="shared" si="11"/>
        <v>朝向</v>
      </c>
      <c r="R26" s="772" t="s">
        <v>21</v>
      </c>
      <c r="S26" s="773">
        <f t="shared" si="12"/>
        <v>100</v>
      </c>
      <c r="T26" s="772" t="s">
        <v>21</v>
      </c>
      <c r="U26" s="773">
        <f t="shared" si="13"/>
        <v>100</v>
      </c>
      <c r="V26" s="772" t="s">
        <v>21</v>
      </c>
      <c r="W26" s="773">
        <f t="shared" si="14"/>
        <v>100</v>
      </c>
      <c r="X26" s="1813"/>
      <c r="Y26" s="3225"/>
      <c r="Z26" s="1814" t="str">
        <f>Q26</f>
        <v>朝向</v>
      </c>
      <c r="AA26" s="1811">
        <f t="shared" si="15"/>
        <v>1</v>
      </c>
      <c r="AB26" s="1811">
        <f t="shared" si="16"/>
        <v>1</v>
      </c>
      <c r="AC26" s="1811">
        <f t="shared" si="17"/>
        <v>1</v>
      </c>
    </row>
    <row r="27" spans="1:29" s="116"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600"/>
      <c r="L27" s="1133"/>
      <c r="M27" s="1134"/>
      <c r="N27" s="1134"/>
      <c r="O27" s="1134"/>
      <c r="P27" s="3232"/>
      <c r="Q27" s="1795">
        <f t="shared" si="11"/>
        <v>111</v>
      </c>
      <c r="R27" s="768" t="s">
        <v>21</v>
      </c>
      <c r="S27" s="769">
        <f t="shared" si="12"/>
        <v>100</v>
      </c>
      <c r="T27" s="768" t="s">
        <v>21</v>
      </c>
      <c r="U27" s="769">
        <f t="shared" si="13"/>
        <v>100</v>
      </c>
      <c r="V27" s="768" t="s">
        <v>21</v>
      </c>
      <c r="W27" s="769">
        <f t="shared" si="14"/>
        <v>100</v>
      </c>
      <c r="X27" s="770"/>
      <c r="Y27" s="3225"/>
      <c r="Z27" s="54">
        <f>Q27</f>
        <v>111</v>
      </c>
      <c r="AA27" s="1811">
        <f t="shared" si="15"/>
        <v>1</v>
      </c>
      <c r="AB27" s="1811">
        <f t="shared" si="16"/>
        <v>1</v>
      </c>
      <c r="AC27" s="1811">
        <f t="shared" si="17"/>
        <v>1</v>
      </c>
    </row>
    <row r="28" spans="1:29" ht="15">
      <c r="A28" s="427"/>
      <c r="B28" s="1386">
        <v>111</v>
      </c>
      <c r="C28" s="433"/>
      <c r="D28" s="434">
        <v>100</v>
      </c>
      <c r="E28" s="433"/>
      <c r="F28" s="434">
        <f>SUMIF(92:92,E28,93:93)-SUMIF(92:92,C28,93:93)+100</f>
        <v>100</v>
      </c>
      <c r="G28" s="2614"/>
      <c r="H28" s="434">
        <f>SUMIF(92:92,G28,93:93)-SUMIF(92:92,C28,93:93)+100</f>
        <v>100</v>
      </c>
      <c r="I28" s="433"/>
      <c r="J28" s="434">
        <f>SUMIF(92:92,I28,93:93)-SUMIF(92:92,C28,93:93)+100</f>
        <v>100</v>
      </c>
      <c r="K28" s="2600"/>
      <c r="L28" s="1141"/>
      <c r="M28" s="1132"/>
      <c r="N28" s="1132"/>
      <c r="O28" s="1132"/>
      <c r="P28" s="3232"/>
      <c r="Q28" s="1810">
        <f t="shared" si="11"/>
        <v>111</v>
      </c>
      <c r="R28" s="772" t="s">
        <v>21</v>
      </c>
      <c r="S28" s="773">
        <f t="shared" si="12"/>
        <v>100</v>
      </c>
      <c r="T28" s="772" t="s">
        <v>21</v>
      </c>
      <c r="U28" s="773">
        <f t="shared" si="13"/>
        <v>100</v>
      </c>
      <c r="V28" s="772" t="s">
        <v>21</v>
      </c>
      <c r="W28" s="773">
        <f t="shared" si="14"/>
        <v>100</v>
      </c>
      <c r="X28" s="1813"/>
      <c r="Y28" s="3225"/>
      <c r="Z28" s="1814">
        <f t="shared" ref="Z28:Z46" si="18">Q28</f>
        <v>111</v>
      </c>
      <c r="AA28" s="1811">
        <f t="shared" si="15"/>
        <v>1</v>
      </c>
      <c r="AB28" s="1811">
        <f t="shared" si="16"/>
        <v>1</v>
      </c>
      <c r="AC28" s="1811">
        <f t="shared" si="17"/>
        <v>1</v>
      </c>
    </row>
    <row r="29" spans="1:29" ht="15">
      <c r="A29" s="427"/>
      <c r="B29" s="1386">
        <v>111</v>
      </c>
      <c r="C29" s="433"/>
      <c r="D29" s="434">
        <v>100</v>
      </c>
      <c r="E29" s="433"/>
      <c r="F29" s="434">
        <f>SUMIF(94:94,E29,95:95)-SUMIF(94:94,C29,95:95)+100</f>
        <v>100</v>
      </c>
      <c r="G29" s="2614"/>
      <c r="H29" s="434">
        <f>SUMIF(94:94,G29,95:95)-SUMIF(94:94,C29,95:95)+100</f>
        <v>100</v>
      </c>
      <c r="I29" s="433"/>
      <c r="J29" s="434">
        <f>SUMIF(94:94,I29,95:95)-SUMIF(94:94,C29,95:95)+100</f>
        <v>100</v>
      </c>
      <c r="K29" s="2600"/>
      <c r="L29" s="1141"/>
      <c r="M29" s="1132"/>
      <c r="N29" s="1132"/>
      <c r="O29" s="1132"/>
      <c r="P29" s="3232"/>
      <c r="Q29" s="1810">
        <f t="shared" si="11"/>
        <v>111</v>
      </c>
      <c r="R29" s="772" t="s">
        <v>21</v>
      </c>
      <c r="S29" s="773">
        <f t="shared" si="12"/>
        <v>100</v>
      </c>
      <c r="T29" s="772" t="s">
        <v>21</v>
      </c>
      <c r="U29" s="773">
        <f t="shared" si="13"/>
        <v>100</v>
      </c>
      <c r="V29" s="772" t="s">
        <v>21</v>
      </c>
      <c r="W29" s="773">
        <f t="shared" si="14"/>
        <v>100</v>
      </c>
      <c r="X29" s="1813"/>
      <c r="Y29" s="3225"/>
      <c r="Z29" s="1814">
        <f t="shared" si="18"/>
        <v>111</v>
      </c>
      <c r="AA29" s="1811">
        <f t="shared" si="15"/>
        <v>1</v>
      </c>
      <c r="AB29" s="1811">
        <f t="shared" si="16"/>
        <v>1</v>
      </c>
      <c r="AC29" s="1811">
        <f t="shared" si="17"/>
        <v>1</v>
      </c>
    </row>
    <row r="30" spans="1:29" ht="15">
      <c r="A30" s="427"/>
      <c r="B30" s="1386">
        <v>111</v>
      </c>
      <c r="C30" s="433"/>
      <c r="D30" s="434">
        <v>100</v>
      </c>
      <c r="E30" s="433"/>
      <c r="F30" s="434">
        <f>SUMIF(96:96,E30,97:97)-SUMIF(96:96,C30,97:97)+100</f>
        <v>100</v>
      </c>
      <c r="G30" s="2614"/>
      <c r="H30" s="434">
        <f>SUMIF(96:96,G30,97:97)-SUMIF(96:96,C30,97:97)+100</f>
        <v>100</v>
      </c>
      <c r="I30" s="433"/>
      <c r="J30" s="434">
        <f>SUMIF(96:96,I30,97:97)-SUMIF(96:96,C30,97:97)+100</f>
        <v>100</v>
      </c>
      <c r="K30" s="2600"/>
      <c r="L30" s="1141"/>
      <c r="M30" s="1132"/>
      <c r="N30" s="1132"/>
      <c r="O30" s="1132"/>
      <c r="P30" s="3232"/>
      <c r="Q30" s="1810">
        <f t="shared" si="11"/>
        <v>111</v>
      </c>
      <c r="R30" s="772" t="s">
        <v>21</v>
      </c>
      <c r="S30" s="773">
        <f t="shared" si="12"/>
        <v>100</v>
      </c>
      <c r="T30" s="772" t="s">
        <v>21</v>
      </c>
      <c r="U30" s="773">
        <f t="shared" si="13"/>
        <v>100</v>
      </c>
      <c r="V30" s="772" t="s">
        <v>21</v>
      </c>
      <c r="W30" s="773">
        <f t="shared" si="14"/>
        <v>100</v>
      </c>
      <c r="X30" s="1813"/>
      <c r="Y30" s="3225"/>
      <c r="Z30" s="1814">
        <f t="shared" si="18"/>
        <v>111</v>
      </c>
      <c r="AA30" s="1811">
        <f t="shared" si="15"/>
        <v>1</v>
      </c>
      <c r="AB30" s="1811">
        <f t="shared" si="16"/>
        <v>1</v>
      </c>
      <c r="AC30" s="1811">
        <f t="shared" si="17"/>
        <v>1</v>
      </c>
    </row>
    <row r="31" spans="1:29" ht="15.75" thickBot="1">
      <c r="A31" s="435"/>
      <c r="B31" s="1386">
        <v>111</v>
      </c>
      <c r="C31" s="436"/>
      <c r="D31" s="437">
        <v>100</v>
      </c>
      <c r="E31" s="436"/>
      <c r="F31" s="437">
        <f>SUMIF(98:98,E31,99:99)-SUMIF(98:98,C31,99:99)+100</f>
        <v>100</v>
      </c>
      <c r="G31" s="2615"/>
      <c r="H31" s="437">
        <f>SUMIF(98:98,G31,99:99)-SUMIF(98:98,C31,99:99)+100</f>
        <v>100</v>
      </c>
      <c r="I31" s="436"/>
      <c r="J31" s="437">
        <f>SUMIF(98:98,I31,99:99)-SUMIF(98:98,C31,99:99)+100</f>
        <v>100</v>
      </c>
      <c r="K31" s="2600"/>
      <c r="L31" s="1141"/>
      <c r="M31" s="1132"/>
      <c r="N31" s="1132"/>
      <c r="O31" s="1132"/>
      <c r="P31" s="3232"/>
      <c r="Q31" s="1810">
        <f t="shared" si="11"/>
        <v>111</v>
      </c>
      <c r="R31" s="772" t="s">
        <v>21</v>
      </c>
      <c r="S31" s="773">
        <f t="shared" si="12"/>
        <v>100</v>
      </c>
      <c r="T31" s="772" t="s">
        <v>21</v>
      </c>
      <c r="U31" s="773">
        <f t="shared" si="13"/>
        <v>100</v>
      </c>
      <c r="V31" s="772" t="s">
        <v>21</v>
      </c>
      <c r="W31" s="773">
        <f t="shared" si="14"/>
        <v>100</v>
      </c>
      <c r="X31" s="1813"/>
      <c r="Y31" s="3225"/>
      <c r="Z31" s="1814">
        <f t="shared" si="18"/>
        <v>111</v>
      </c>
      <c r="AA31" s="1811">
        <f t="shared" si="15"/>
        <v>1</v>
      </c>
      <c r="AB31" s="1811">
        <f t="shared" si="16"/>
        <v>1</v>
      </c>
      <c r="AC31" s="1811">
        <f t="shared" si="17"/>
        <v>1</v>
      </c>
    </row>
    <row r="32" spans="1:29" ht="15">
      <c r="A32" s="439" t="s">
        <v>2568</v>
      </c>
      <c r="B32" s="70" t="s">
        <v>2569</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1"/>
      <c r="M32" s="1132"/>
      <c r="N32" s="1132"/>
      <c r="O32" s="1132"/>
      <c r="P32" s="3226" t="s">
        <v>2570</v>
      </c>
      <c r="Q32" s="1810" t="str">
        <f t="shared" si="11"/>
        <v>建筑类型</v>
      </c>
      <c r="R32" s="772" t="s">
        <v>21</v>
      </c>
      <c r="S32" s="773">
        <f t="shared" si="12"/>
        <v>100</v>
      </c>
      <c r="T32" s="772" t="s">
        <v>21</v>
      </c>
      <c r="U32" s="773">
        <f t="shared" si="13"/>
        <v>100</v>
      </c>
      <c r="V32" s="772" t="s">
        <v>21</v>
      </c>
      <c r="W32" s="773">
        <f t="shared" si="14"/>
        <v>100</v>
      </c>
      <c r="X32" s="1813"/>
      <c r="Y32" s="3229" t="s">
        <v>2570</v>
      </c>
      <c r="Z32" s="1814" t="str">
        <f t="shared" si="18"/>
        <v>建筑类型</v>
      </c>
      <c r="AA32" s="1811">
        <f t="shared" si="15"/>
        <v>1</v>
      </c>
      <c r="AB32" s="1811">
        <f t="shared" si="16"/>
        <v>1</v>
      </c>
      <c r="AC32" s="1811">
        <f t="shared" si="17"/>
        <v>1</v>
      </c>
    </row>
    <row r="33" spans="1:29" s="470" customFormat="1" ht="15">
      <c r="A33" s="467"/>
      <c r="B33" s="421" t="s">
        <v>2571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9"/>
      <c r="M33" s="1142"/>
      <c r="N33" s="1142"/>
      <c r="O33" s="1142"/>
      <c r="P33" s="3227"/>
      <c r="Q33" s="774" t="str">
        <f t="shared" si="11"/>
        <v>项目建筑规模</v>
      </c>
      <c r="R33" s="775" t="s">
        <v>21</v>
      </c>
      <c r="S33" s="776" t="e">
        <f t="shared" si="12"/>
        <v>#N/A</v>
      </c>
      <c r="T33" s="775" t="s">
        <v>21</v>
      </c>
      <c r="U33" s="776" t="e">
        <f t="shared" si="13"/>
        <v>#N/A</v>
      </c>
      <c r="V33" s="775" t="s">
        <v>21</v>
      </c>
      <c r="W33" s="776" t="e">
        <f t="shared" si="14"/>
        <v>#N/A</v>
      </c>
      <c r="X33" s="777"/>
      <c r="Y33" s="3229"/>
      <c r="Z33" s="778" t="str">
        <f t="shared" si="18"/>
        <v>项目建筑规模</v>
      </c>
      <c r="AA33" s="1811" t="e">
        <f t="shared" si="15"/>
        <v>#N/A</v>
      </c>
      <c r="AB33" s="1811" t="e">
        <f t="shared" si="16"/>
        <v>#N/A</v>
      </c>
      <c r="AC33" s="1811" t="e">
        <f t="shared" si="17"/>
        <v>#N/A</v>
      </c>
    </row>
    <row r="34" spans="1:29" ht="15">
      <c r="A34" s="471"/>
      <c r="B34" s="421" t="s">
        <v>2572</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1"/>
      <c r="M34" s="1132"/>
      <c r="N34" s="1132"/>
      <c r="O34" s="1132"/>
      <c r="P34" s="3227"/>
      <c r="Q34" s="1810" t="str">
        <f t="shared" si="11"/>
        <v>建筑结构</v>
      </c>
      <c r="R34" s="772" t="s">
        <v>21</v>
      </c>
      <c r="S34" s="773">
        <f t="shared" si="12"/>
        <v>100</v>
      </c>
      <c r="T34" s="772" t="s">
        <v>21</v>
      </c>
      <c r="U34" s="773">
        <f t="shared" si="13"/>
        <v>100</v>
      </c>
      <c r="V34" s="772" t="s">
        <v>21</v>
      </c>
      <c r="W34" s="773">
        <f t="shared" si="14"/>
        <v>100</v>
      </c>
      <c r="X34" s="1813"/>
      <c r="Y34" s="3229"/>
      <c r="Z34" s="1814" t="str">
        <f t="shared" si="18"/>
        <v>建筑结构</v>
      </c>
      <c r="AA34" s="1811">
        <f t="shared" si="15"/>
        <v>1</v>
      </c>
      <c r="AB34" s="1811">
        <f t="shared" si="16"/>
        <v>1</v>
      </c>
      <c r="AC34" s="1811">
        <f t="shared" si="17"/>
        <v>1</v>
      </c>
    </row>
    <row r="35" spans="1:29" ht="15">
      <c r="A35" s="471"/>
      <c r="B35" s="421" t="s">
        <v>2573</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1"/>
      <c r="M35" s="1132"/>
      <c r="N35" s="1132"/>
      <c r="O35" s="1132"/>
      <c r="P35" s="3227"/>
      <c r="Q35" s="1810" t="str">
        <f t="shared" si="11"/>
        <v>建筑品质</v>
      </c>
      <c r="R35" s="772" t="s">
        <v>21</v>
      </c>
      <c r="S35" s="773">
        <f t="shared" si="12"/>
        <v>100</v>
      </c>
      <c r="T35" s="772" t="s">
        <v>21</v>
      </c>
      <c r="U35" s="773">
        <f t="shared" si="13"/>
        <v>100</v>
      </c>
      <c r="V35" s="772" t="s">
        <v>21</v>
      </c>
      <c r="W35" s="773">
        <f t="shared" si="14"/>
        <v>100</v>
      </c>
      <c r="X35" s="1813"/>
      <c r="Y35" s="3229"/>
      <c r="Z35" s="1814" t="str">
        <f t="shared" si="18"/>
        <v>建筑品质</v>
      </c>
      <c r="AA35" s="1811">
        <f t="shared" si="15"/>
        <v>1</v>
      </c>
      <c r="AB35" s="1811">
        <f t="shared" si="16"/>
        <v>1</v>
      </c>
      <c r="AC35" s="1811">
        <f t="shared" si="17"/>
        <v>1</v>
      </c>
    </row>
    <row r="36" spans="1:29" ht="15">
      <c r="A36" s="471"/>
      <c r="B36" s="421" t="s">
        <v>2574</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1"/>
      <c r="M36" s="1132"/>
      <c r="N36" s="1132"/>
      <c r="O36" s="1132"/>
      <c r="P36" s="3227"/>
      <c r="Q36" s="1810" t="str">
        <f t="shared" si="11"/>
        <v>公共部分装修</v>
      </c>
      <c r="R36" s="772" t="s">
        <v>21</v>
      </c>
      <c r="S36" s="773">
        <f t="shared" si="12"/>
        <v>100</v>
      </c>
      <c r="T36" s="772" t="s">
        <v>21</v>
      </c>
      <c r="U36" s="773">
        <f t="shared" si="13"/>
        <v>100</v>
      </c>
      <c r="V36" s="772" t="s">
        <v>21</v>
      </c>
      <c r="W36" s="773">
        <f t="shared" si="14"/>
        <v>100</v>
      </c>
      <c r="X36" s="1813"/>
      <c r="Y36" s="3229"/>
      <c r="Z36" s="1814" t="str">
        <f t="shared" si="18"/>
        <v>公共部分装修</v>
      </c>
      <c r="AA36" s="1811">
        <f t="shared" si="15"/>
        <v>1</v>
      </c>
      <c r="AB36" s="1811">
        <f t="shared" si="16"/>
        <v>1</v>
      </c>
      <c r="AC36" s="1811">
        <f t="shared" si="17"/>
        <v>1</v>
      </c>
    </row>
    <row r="37" spans="1:29" s="116" customFormat="1" ht="15">
      <c r="A37" s="472"/>
      <c r="B37" s="421" t="s">
        <v>2575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27"/>
      <c r="Q37" s="1795" t="str">
        <f t="shared" si="11"/>
        <v>成新度</v>
      </c>
      <c r="R37" s="768" t="s">
        <v>21</v>
      </c>
      <c r="S37" s="769" t="e">
        <f t="shared" si="12"/>
        <v>#N/A</v>
      </c>
      <c r="T37" s="768" t="s">
        <v>21</v>
      </c>
      <c r="U37" s="769" t="e">
        <f t="shared" si="13"/>
        <v>#N/A</v>
      </c>
      <c r="V37" s="768" t="s">
        <v>21</v>
      </c>
      <c r="W37" s="769" t="e">
        <f t="shared" si="14"/>
        <v>#N/A</v>
      </c>
      <c r="X37" s="770"/>
      <c r="Y37" s="3229"/>
      <c r="Z37" s="54" t="str">
        <f t="shared" si="18"/>
        <v>成新度</v>
      </c>
      <c r="AA37" s="771" t="e">
        <f t="shared" si="15"/>
        <v>#N/A</v>
      </c>
      <c r="AB37" s="771" t="e">
        <f t="shared" si="16"/>
        <v>#N/A</v>
      </c>
      <c r="AC37" s="771" t="e">
        <f t="shared" si="17"/>
        <v>#N/A</v>
      </c>
    </row>
    <row r="38" spans="1:29" ht="15">
      <c r="A38" s="471"/>
      <c r="B38" s="421" t="s">
        <v>2576</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1"/>
      <c r="M38" s="1132"/>
      <c r="N38" s="1132"/>
      <c r="O38" s="1132"/>
      <c r="P38" s="3227" t="s">
        <v>2570</v>
      </c>
      <c r="Q38" s="1810" t="str">
        <f t="shared" si="11"/>
        <v>物业管理</v>
      </c>
      <c r="R38" s="772" t="s">
        <v>21</v>
      </c>
      <c r="S38" s="773">
        <f t="shared" si="12"/>
        <v>100</v>
      </c>
      <c r="T38" s="772" t="s">
        <v>21</v>
      </c>
      <c r="U38" s="773">
        <f t="shared" si="13"/>
        <v>100</v>
      </c>
      <c r="V38" s="772" t="s">
        <v>21</v>
      </c>
      <c r="W38" s="773">
        <f t="shared" si="14"/>
        <v>100</v>
      </c>
      <c r="X38" s="1813"/>
      <c r="Y38" s="3229" t="s">
        <v>2570</v>
      </c>
      <c r="Z38" s="1814" t="str">
        <f t="shared" si="18"/>
        <v>物业管理</v>
      </c>
      <c r="AA38" s="1811">
        <f t="shared" si="15"/>
        <v>1</v>
      </c>
      <c r="AB38" s="1811">
        <f t="shared" si="16"/>
        <v>1</v>
      </c>
      <c r="AC38" s="1811">
        <f t="shared" si="17"/>
        <v>1</v>
      </c>
    </row>
    <row r="39" spans="1:29" ht="15">
      <c r="A39" s="471"/>
      <c r="B39" s="421" t="s">
        <v>2577</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1"/>
      <c r="M39" s="1132"/>
      <c r="N39" s="1132"/>
      <c r="O39" s="1132"/>
      <c r="P39" s="3227"/>
      <c r="Q39" s="1810" t="str">
        <f t="shared" si="11"/>
        <v>市政基础设施</v>
      </c>
      <c r="R39" s="772" t="s">
        <v>21</v>
      </c>
      <c r="S39" s="773">
        <f t="shared" si="12"/>
        <v>100</v>
      </c>
      <c r="T39" s="772" t="s">
        <v>21</v>
      </c>
      <c r="U39" s="773">
        <f t="shared" si="13"/>
        <v>100</v>
      </c>
      <c r="V39" s="772" t="s">
        <v>21</v>
      </c>
      <c r="W39" s="773">
        <f t="shared" si="14"/>
        <v>100</v>
      </c>
      <c r="X39" s="1813"/>
      <c r="Y39" s="3229"/>
      <c r="Z39" s="1814" t="str">
        <f t="shared" si="18"/>
        <v>市政基础设施</v>
      </c>
      <c r="AA39" s="1811">
        <f t="shared" si="15"/>
        <v>1</v>
      </c>
      <c r="AB39" s="1811">
        <f t="shared" si="16"/>
        <v>1</v>
      </c>
      <c r="AC39" s="1811">
        <f t="shared" si="17"/>
        <v>1</v>
      </c>
    </row>
    <row r="40" spans="1:29" ht="15">
      <c r="A40" s="471"/>
      <c r="B40" s="421" t="s">
        <v>2578</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1"/>
      <c r="M40" s="1132"/>
      <c r="N40" s="1132"/>
      <c r="O40" s="1132"/>
      <c r="P40" s="3227"/>
      <c r="Q40" s="1810" t="str">
        <f t="shared" si="11"/>
        <v>房型</v>
      </c>
      <c r="R40" s="772" t="s">
        <v>21</v>
      </c>
      <c r="S40" s="773">
        <f t="shared" si="12"/>
        <v>100</v>
      </c>
      <c r="T40" s="772" t="s">
        <v>21</v>
      </c>
      <c r="U40" s="773">
        <f t="shared" si="13"/>
        <v>100</v>
      </c>
      <c r="V40" s="772" t="s">
        <v>21</v>
      </c>
      <c r="W40" s="773">
        <f t="shared" si="14"/>
        <v>100</v>
      </c>
      <c r="X40" s="1813"/>
      <c r="Y40" s="3229"/>
      <c r="Z40" s="1814" t="str">
        <f t="shared" si="18"/>
        <v>房型</v>
      </c>
      <c r="AA40" s="1811">
        <f t="shared" si="15"/>
        <v>1</v>
      </c>
      <c r="AB40" s="1811">
        <f t="shared" si="16"/>
        <v>1</v>
      </c>
      <c r="AC40" s="1811">
        <f t="shared" si="17"/>
        <v>1</v>
      </c>
    </row>
    <row r="41" spans="1:29" s="470" customFormat="1" ht="28.5">
      <c r="A41" s="467"/>
      <c r="B41" s="421" t="s">
        <v>2579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9"/>
      <c r="M41" s="1142"/>
      <c r="N41" s="1142"/>
      <c r="O41" s="1142"/>
      <c r="P41" s="3227"/>
      <c r="Q41" s="774" t="str">
        <f t="shared" si="11"/>
        <v>单套/主力户型建筑面积</v>
      </c>
      <c r="R41" s="775" t="s">
        <v>21</v>
      </c>
      <c r="S41" s="776">
        <f t="shared" si="12"/>
        <v>100</v>
      </c>
      <c r="T41" s="775" t="s">
        <v>21</v>
      </c>
      <c r="U41" s="776">
        <f t="shared" si="13"/>
        <v>100</v>
      </c>
      <c r="V41" s="775" t="s">
        <v>21</v>
      </c>
      <c r="W41" s="776">
        <f t="shared" si="14"/>
        <v>100</v>
      </c>
      <c r="X41" s="777"/>
      <c r="Y41" s="3229"/>
      <c r="Z41" s="778" t="str">
        <f t="shared" si="18"/>
        <v>单套/主力户型建筑面积</v>
      </c>
      <c r="AA41" s="1811">
        <f t="shared" si="15"/>
        <v>1</v>
      </c>
      <c r="AB41" s="1811">
        <f t="shared" si="16"/>
        <v>1</v>
      </c>
      <c r="AC41" s="1811">
        <f t="shared" si="17"/>
        <v>1</v>
      </c>
    </row>
    <row r="42" spans="1:29" ht="15">
      <c r="A42" s="471"/>
      <c r="B42" s="421" t="s">
        <v>2580</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1"/>
      <c r="M42" s="1132"/>
      <c r="N42" s="1132"/>
      <c r="O42" s="1132"/>
      <c r="P42" s="3227"/>
      <c r="Q42" s="1810" t="str">
        <f t="shared" si="11"/>
        <v>内部装修</v>
      </c>
      <c r="R42" s="772" t="s">
        <v>21</v>
      </c>
      <c r="S42" s="773">
        <f t="shared" si="12"/>
        <v>100</v>
      </c>
      <c r="T42" s="772" t="s">
        <v>21</v>
      </c>
      <c r="U42" s="773">
        <f t="shared" si="13"/>
        <v>100</v>
      </c>
      <c r="V42" s="772" t="s">
        <v>21</v>
      </c>
      <c r="W42" s="773">
        <f t="shared" si="14"/>
        <v>100</v>
      </c>
      <c r="X42" s="1813"/>
      <c r="Y42" s="3229"/>
      <c r="Z42" s="1814" t="str">
        <f t="shared" si="18"/>
        <v>内部装修</v>
      </c>
      <c r="AA42" s="1811">
        <f t="shared" si="15"/>
        <v>1</v>
      </c>
      <c r="AB42" s="1811">
        <f t="shared" si="16"/>
        <v>1</v>
      </c>
      <c r="AC42" s="1811">
        <f t="shared" si="17"/>
        <v>1</v>
      </c>
    </row>
    <row r="43" spans="1:29" ht="15">
      <c r="A43" s="471"/>
      <c r="B43" s="421" t="s">
        <v>2581</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1"/>
      <c r="M43" s="1132"/>
      <c r="N43" s="1132"/>
      <c r="O43" s="1132"/>
      <c r="P43" s="3227"/>
      <c r="Q43" s="1810" t="str">
        <f t="shared" si="11"/>
        <v>内部装修维护情况</v>
      </c>
      <c r="R43" s="772" t="s">
        <v>21</v>
      </c>
      <c r="S43" s="773">
        <f t="shared" si="12"/>
        <v>100</v>
      </c>
      <c r="T43" s="772" t="s">
        <v>21</v>
      </c>
      <c r="U43" s="773">
        <f t="shared" si="13"/>
        <v>100</v>
      </c>
      <c r="V43" s="772" t="s">
        <v>21</v>
      </c>
      <c r="W43" s="773">
        <f t="shared" si="14"/>
        <v>100</v>
      </c>
      <c r="X43" s="1813"/>
      <c r="Y43" s="3229"/>
      <c r="Z43" s="1814" t="str">
        <f t="shared" si="18"/>
        <v>内部装修维护情况</v>
      </c>
      <c r="AA43" s="1811">
        <f t="shared" si="15"/>
        <v>1</v>
      </c>
      <c r="AB43" s="1811">
        <f t="shared" si="16"/>
        <v>1</v>
      </c>
      <c r="AC43" s="1811">
        <f t="shared" si="17"/>
        <v>1</v>
      </c>
    </row>
    <row r="44" spans="1:29" s="116" customFormat="1" ht="15">
      <c r="A44" s="472"/>
      <c r="B44" s="1386">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3"/>
      <c r="M44" s="1134"/>
      <c r="N44" s="1134"/>
      <c r="O44" s="1134"/>
      <c r="P44" s="3227"/>
      <c r="Q44" s="1795">
        <f t="shared" si="11"/>
        <v>111</v>
      </c>
      <c r="R44" s="768" t="s">
        <v>21</v>
      </c>
      <c r="S44" s="769">
        <f t="shared" si="12"/>
        <v>100</v>
      </c>
      <c r="T44" s="768" t="s">
        <v>21</v>
      </c>
      <c r="U44" s="769">
        <f t="shared" si="13"/>
        <v>100</v>
      </c>
      <c r="V44" s="768" t="s">
        <v>21</v>
      </c>
      <c r="W44" s="769">
        <f t="shared" si="14"/>
        <v>100</v>
      </c>
      <c r="X44" s="770"/>
      <c r="Y44" s="3229"/>
      <c r="Z44" s="54">
        <f t="shared" si="18"/>
        <v>111</v>
      </c>
      <c r="AA44" s="771">
        <f t="shared" si="15"/>
        <v>1</v>
      </c>
      <c r="AB44" s="771">
        <f t="shared" si="16"/>
        <v>1</v>
      </c>
      <c r="AC44" s="771">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1"/>
      <c r="M45" s="1132"/>
      <c r="N45" s="1132"/>
      <c r="O45" s="1132"/>
      <c r="P45" s="3227"/>
      <c r="Q45" s="1810">
        <f t="shared" si="11"/>
        <v>111</v>
      </c>
      <c r="R45" s="772" t="s">
        <v>21</v>
      </c>
      <c r="S45" s="773">
        <f t="shared" si="12"/>
        <v>100</v>
      </c>
      <c r="T45" s="772" t="s">
        <v>21</v>
      </c>
      <c r="U45" s="773">
        <f t="shared" si="13"/>
        <v>100</v>
      </c>
      <c r="V45" s="772" t="s">
        <v>21</v>
      </c>
      <c r="W45" s="773">
        <f t="shared" si="14"/>
        <v>100</v>
      </c>
      <c r="X45" s="1813"/>
      <c r="Y45" s="3229"/>
      <c r="Z45" s="1814">
        <f t="shared" si="18"/>
        <v>111</v>
      </c>
      <c r="AA45" s="1811">
        <f t="shared" si="15"/>
        <v>1</v>
      </c>
      <c r="AB45" s="1811">
        <f t="shared" si="16"/>
        <v>1</v>
      </c>
      <c r="AC45" s="1811">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1"/>
      <c r="M46" s="1132"/>
      <c r="N46" s="1132"/>
      <c r="O46" s="1132"/>
      <c r="P46" s="3228"/>
      <c r="Q46" s="1810">
        <f t="shared" si="11"/>
        <v>111</v>
      </c>
      <c r="R46" s="772" t="s">
        <v>20</v>
      </c>
      <c r="S46" s="773">
        <f t="shared" si="12"/>
        <v>100</v>
      </c>
      <c r="T46" s="772" t="s">
        <v>20</v>
      </c>
      <c r="U46" s="773">
        <f t="shared" si="13"/>
        <v>100</v>
      </c>
      <c r="V46" s="772" t="s">
        <v>20</v>
      </c>
      <c r="W46" s="773">
        <f t="shared" si="14"/>
        <v>100</v>
      </c>
      <c r="X46" s="1813"/>
      <c r="Y46" s="3230"/>
      <c r="Z46" s="1814">
        <f t="shared" si="18"/>
        <v>111</v>
      </c>
      <c r="AA46" s="1811">
        <f t="shared" si="15"/>
        <v>1</v>
      </c>
      <c r="AB46" s="1811">
        <f t="shared" si="16"/>
        <v>1</v>
      </c>
      <c r="AC46" s="1811">
        <f t="shared" si="17"/>
        <v>1</v>
      </c>
    </row>
    <row r="47" spans="1:29" ht="15">
      <c r="A47" s="478" t="s">
        <v>2582</v>
      </c>
      <c r="B47" s="479"/>
      <c r="C47" s="1407" t="s">
        <v>19</v>
      </c>
      <c r="D47" s="1408"/>
      <c r="E47" s="1409"/>
      <c r="F47" s="1410"/>
      <c r="G47" s="1411"/>
      <c r="H47" s="1412"/>
      <c r="I47" s="1409"/>
      <c r="J47" s="1412"/>
      <c r="K47" s="2620"/>
      <c r="L47" s="1144"/>
      <c r="M47" s="1145"/>
      <c r="N47" s="1132"/>
      <c r="O47" s="1145"/>
      <c r="P47" s="3222" t="str">
        <f>A47</f>
        <v>成交单价（元/平方米）</v>
      </c>
      <c r="Q47" s="3222"/>
      <c r="R47" s="3223">
        <f>E47</f>
        <v>0</v>
      </c>
      <c r="S47" s="3223"/>
      <c r="T47" s="3223">
        <f>G47</f>
        <v>0</v>
      </c>
      <c r="U47" s="3223"/>
      <c r="V47" s="3223">
        <f>I47</f>
        <v>0</v>
      </c>
      <c r="W47" s="3223"/>
      <c r="X47" s="757"/>
      <c r="Y47" s="779"/>
      <c r="Z47" s="757"/>
      <c r="AA47" s="757"/>
      <c r="AB47" s="757"/>
      <c r="AC47" s="757"/>
    </row>
    <row r="48" spans="1:29" ht="15.75" thickBot="1">
      <c r="A48" s="485" t="s">
        <v>2583</v>
      </c>
      <c r="B48" s="486"/>
      <c r="C48" s="1413" t="e">
        <f>R49</f>
        <v>#DIV/0!</v>
      </c>
      <c r="D48" s="1414"/>
      <c r="E48" s="1415" t="e">
        <f>R48</f>
        <v>#DIV/0!</v>
      </c>
      <c r="F48" s="1415"/>
      <c r="G48" s="1413" t="e">
        <f>T48</f>
        <v>#DIV/0!</v>
      </c>
      <c r="H48" s="1414"/>
      <c r="I48" s="1415" t="e">
        <f>V48</f>
        <v>#DIV/0!</v>
      </c>
      <c r="J48" s="1414"/>
      <c r="K48" s="2621"/>
      <c r="L48" s="1144"/>
      <c r="M48" s="1145"/>
      <c r="N48" s="1145"/>
      <c r="O48" s="1145"/>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7"/>
      <c r="Y48" s="757"/>
      <c r="Z48" s="757"/>
      <c r="AA48" s="757"/>
      <c r="AB48" s="757"/>
      <c r="AC48" s="757"/>
    </row>
    <row r="49" spans="1:29" ht="15.75" thickBot="1">
      <c r="A49" s="491" t="s">
        <v>2584</v>
      </c>
      <c r="B49" s="492"/>
      <c r="C49" s="1416" t="e">
        <f>R49</f>
        <v>#DIV/0!</v>
      </c>
      <c r="D49" s="1417"/>
      <c r="E49" s="1417"/>
      <c r="F49" s="1417"/>
      <c r="G49" s="1417"/>
      <c r="H49" s="1417"/>
      <c r="I49" s="1417"/>
      <c r="J49" s="1417"/>
      <c r="K49" s="2622"/>
      <c r="L49" s="1144"/>
      <c r="M49" s="1145"/>
      <c r="N49" s="1145"/>
      <c r="O49" s="1145"/>
      <c r="P49" s="3219" t="str">
        <f>A49</f>
        <v>估价对象XX用房的比较价值（楼面单价，元/平方米）</v>
      </c>
      <c r="Q49" s="3220"/>
      <c r="R49" s="3221" t="e">
        <f>IF(F1="售价",ROUND(AVERAGE(R48:V48),0),ROUND(AVERAGE(R48:V48),1))</f>
        <v>#DIV/0!</v>
      </c>
      <c r="S49" s="3221"/>
      <c r="T49" s="3221"/>
      <c r="U49" s="3221"/>
      <c r="V49" s="3221"/>
      <c r="W49" s="322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4"/>
    </row>
    <row r="55" spans="1:29" s="501" customFormat="1">
      <c r="A55" s="1146"/>
      <c r="B55" s="1147"/>
      <c r="C55" s="1151"/>
      <c r="D55" s="1146"/>
      <c r="E55" s="1146"/>
      <c r="F55" s="1146"/>
      <c r="G55" s="1146"/>
      <c r="H55" s="1146"/>
      <c r="I55" s="1146"/>
      <c r="J55" s="1146"/>
      <c r="K55" s="1149"/>
      <c r="L55" s="1150"/>
      <c r="M55" s="1146"/>
      <c r="N55" s="1146"/>
      <c r="O55" s="1146"/>
      <c r="P55" s="2624"/>
    </row>
    <row r="56" spans="1:29">
      <c r="A56" s="1145"/>
      <c r="B56" s="1147"/>
      <c r="C56" s="1151"/>
      <c r="D56" s="1145"/>
      <c r="E56" s="1145"/>
      <c r="F56" s="1145"/>
      <c r="G56" s="1145"/>
      <c r="H56" s="1145"/>
      <c r="I56" s="1145"/>
      <c r="J56" s="1145"/>
      <c r="K56" s="1106"/>
      <c r="L56" s="1107"/>
      <c r="M56" s="1145"/>
      <c r="N56" s="1145"/>
      <c r="O56" s="1145"/>
    </row>
    <row r="57" spans="1:29" ht="21.75" thickBot="1">
      <c r="A57" s="761" t="s">
        <v>2588</v>
      </c>
      <c r="B57" s="757"/>
      <c r="C57" s="762"/>
      <c r="D57" s="762"/>
      <c r="E57" s="762"/>
      <c r="F57" s="763"/>
      <c r="G57" s="763"/>
      <c r="H57" s="762"/>
      <c r="I57" s="762"/>
      <c r="J57" s="762"/>
      <c r="K57" s="1161"/>
      <c r="L57" s="1162"/>
      <c r="M57" s="1160"/>
      <c r="N57" s="1160"/>
      <c r="O57" s="1160"/>
      <c r="P57" s="2625"/>
      <c r="Q57" s="503"/>
    </row>
    <row r="58" spans="1:29" s="507" customFormat="1" ht="15">
      <c r="A58" s="504" t="s">
        <v>2589</v>
      </c>
      <c r="B58" s="505"/>
      <c r="C58" s="1576" t="str">
        <f>YEAR(C7)&amp;"-"&amp;MONTH(C7)</f>
        <v>2018-11</v>
      </c>
      <c r="D58" s="1575">
        <f>EDATE(C58,-1)</f>
        <v>43374</v>
      </c>
      <c r="E58" s="1575">
        <f>EDATE(D58,-1)</f>
        <v>43344</v>
      </c>
      <c r="F58" s="1575">
        <f t="shared" ref="F58:O58" si="19">EDATE(E58,-1)</f>
        <v>43313</v>
      </c>
      <c r="G58" s="1575">
        <f t="shared" si="19"/>
        <v>43282</v>
      </c>
      <c r="H58" s="1575">
        <f t="shared" si="19"/>
        <v>43252</v>
      </c>
      <c r="I58" s="1575">
        <f t="shared" si="19"/>
        <v>43221</v>
      </c>
      <c r="J58" s="1575">
        <f t="shared" si="19"/>
        <v>43191</v>
      </c>
      <c r="K58" s="1575">
        <f t="shared" si="19"/>
        <v>43160</v>
      </c>
      <c r="L58" s="1575">
        <f t="shared" si="19"/>
        <v>43132</v>
      </c>
      <c r="M58" s="1575">
        <f t="shared" si="19"/>
        <v>43101</v>
      </c>
      <c r="N58" s="1575">
        <f t="shared" si="19"/>
        <v>43070</v>
      </c>
      <c r="O58" s="1575">
        <f t="shared" si="19"/>
        <v>43040</v>
      </c>
      <c r="P58" s="1570"/>
    </row>
    <row r="59" spans="1:29" s="116" customFormat="1" ht="15">
      <c r="A59" s="508"/>
      <c r="B59" s="2626"/>
      <c r="C59" s="1573">
        <v>100</v>
      </c>
      <c r="D59" s="510"/>
      <c r="E59" s="511"/>
      <c r="F59" s="511"/>
      <c r="G59" s="511"/>
      <c r="H59" s="511"/>
      <c r="I59" s="511"/>
      <c r="J59" s="511"/>
      <c r="K59" s="511"/>
      <c r="L59" s="511"/>
      <c r="M59" s="512"/>
      <c r="N59" s="511"/>
      <c r="O59" s="512"/>
      <c r="P59" s="2627"/>
    </row>
    <row r="60" spans="1:29" s="116" customFormat="1" ht="15.75" thickBot="1">
      <c r="A60" s="514" t="s">
        <v>2590</v>
      </c>
      <c r="B60" s="515"/>
      <c r="C60" s="516"/>
      <c r="D60" s="517"/>
      <c r="E60" s="517"/>
      <c r="F60" s="517"/>
      <c r="G60" s="517"/>
      <c r="H60" s="517"/>
      <c r="I60" s="517"/>
      <c r="J60" s="517"/>
      <c r="K60" s="517"/>
      <c r="L60" s="517"/>
      <c r="M60" s="518"/>
      <c r="N60" s="517"/>
      <c r="O60" s="518"/>
      <c r="P60" s="2627"/>
      <c r="Q60" s="503"/>
    </row>
    <row r="61" spans="1:29" s="116" customFormat="1" ht="15">
      <c r="A61" s="520" t="s">
        <v>2591</v>
      </c>
      <c r="B61" s="509"/>
      <c r="C61" s="521" t="s">
        <v>2592</v>
      </c>
      <c r="D61" s="522"/>
      <c r="E61" s="522"/>
      <c r="F61" s="522"/>
      <c r="G61" s="522"/>
      <c r="H61" s="522"/>
      <c r="I61" s="522"/>
      <c r="J61" s="522"/>
      <c r="K61" s="522"/>
      <c r="L61" s="523"/>
      <c r="M61" s="524"/>
      <c r="N61" s="1152"/>
      <c r="O61" s="1152"/>
      <c r="P61" s="2628"/>
      <c r="Q61" s="503"/>
    </row>
    <row r="62" spans="1:29" s="116" customFormat="1" ht="15.75" thickBot="1">
      <c r="A62" s="520"/>
      <c r="B62" s="509"/>
      <c r="C62" s="510">
        <v>100</v>
      </c>
      <c r="D62" s="511"/>
      <c r="E62" s="511"/>
      <c r="F62" s="511"/>
      <c r="G62" s="511"/>
      <c r="H62" s="511"/>
      <c r="I62" s="511"/>
      <c r="J62" s="511"/>
      <c r="K62" s="511"/>
      <c r="L62" s="511"/>
      <c r="M62" s="513"/>
      <c r="N62" s="1152"/>
      <c r="O62" s="1152"/>
      <c r="P62" s="2627"/>
      <c r="Q62" s="503"/>
    </row>
    <row r="63" spans="1:29">
      <c r="A63" s="526" t="s">
        <v>2593</v>
      </c>
      <c r="B63" s="527" t="s">
        <v>2559</v>
      </c>
      <c r="C63" s="528">
        <f>C9</f>
        <v>0</v>
      </c>
      <c r="D63" s="529"/>
      <c r="E63" s="529"/>
      <c r="F63" s="529"/>
      <c r="G63" s="529"/>
      <c r="H63" s="529"/>
      <c r="I63" s="529"/>
      <c r="J63" s="529"/>
      <c r="K63" s="530"/>
      <c r="L63" s="531"/>
      <c r="M63" s="532"/>
      <c r="N63" s="1153"/>
      <c r="O63" s="1153"/>
      <c r="P63" s="2629"/>
      <c r="Q63" s="503"/>
    </row>
    <row r="64" spans="1:29" ht="15.75" thickBot="1">
      <c r="A64" s="533"/>
      <c r="B64" s="534"/>
      <c r="C64" s="535">
        <v>100</v>
      </c>
      <c r="D64" s="535"/>
      <c r="E64" s="535"/>
      <c r="F64" s="535"/>
      <c r="G64" s="535"/>
      <c r="H64" s="535"/>
      <c r="I64" s="535"/>
      <c r="J64" s="535"/>
      <c r="K64" s="535"/>
      <c r="L64" s="535"/>
      <c r="M64" s="536"/>
      <c r="N64" s="1154"/>
      <c r="O64" s="1154"/>
      <c r="P64" s="2629"/>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3"/>
      <c r="O65" s="1153"/>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29"/>
      <c r="Q66" s="503"/>
    </row>
    <row r="67" spans="1:17" ht="15.75" thickTop="1">
      <c r="A67" s="533"/>
      <c r="B67" s="545" t="s">
        <v>2563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29"/>
      <c r="Q67" s="503"/>
    </row>
    <row r="68" spans="1:17" ht="15">
      <c r="A68" s="533"/>
      <c r="B68" s="547"/>
      <c r="C68" s="548"/>
      <c r="D68" s="548"/>
      <c r="E68" s="548"/>
      <c r="F68" s="548"/>
      <c r="G68" s="548"/>
      <c r="H68" s="548"/>
      <c r="I68" s="548"/>
      <c r="J68" s="548"/>
      <c r="K68" s="549"/>
      <c r="L68" s="550"/>
      <c r="M68" s="551"/>
      <c r="N68" s="1153"/>
      <c r="O68" s="1153"/>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29"/>
      <c r="Q69" s="503"/>
    </row>
    <row r="70" spans="1:17" s="470" customFormat="1" ht="15.75" thickTop="1">
      <c r="A70" s="552"/>
      <c r="B70" s="537">
        <f>B12</f>
        <v>111</v>
      </c>
      <c r="C70" s="553"/>
      <c r="D70" s="553"/>
      <c r="E70" s="553"/>
      <c r="F70" s="553"/>
      <c r="G70" s="553"/>
      <c r="H70" s="554"/>
      <c r="I70" s="554"/>
      <c r="J70" s="554"/>
      <c r="K70" s="554"/>
      <c r="L70" s="555"/>
      <c r="M70" s="556"/>
      <c r="N70" s="1155"/>
      <c r="O70" s="1155"/>
      <c r="P70" s="2630"/>
      <c r="Q70" s="558"/>
    </row>
    <row r="71" spans="1:17" s="470" customFormat="1" ht="15.75" thickBot="1">
      <c r="A71" s="552"/>
      <c r="B71" s="542"/>
      <c r="C71" s="559"/>
      <c r="D71" s="535"/>
      <c r="E71" s="535"/>
      <c r="F71" s="535"/>
      <c r="G71" s="535"/>
      <c r="H71" s="535"/>
      <c r="I71" s="535"/>
      <c r="J71" s="535"/>
      <c r="K71" s="535"/>
      <c r="L71" s="535"/>
      <c r="M71" s="536"/>
      <c r="N71" s="1154"/>
      <c r="O71" s="1154"/>
      <c r="P71" s="2630"/>
      <c r="Q71" s="558"/>
    </row>
    <row r="72" spans="1:17" s="470" customFormat="1" ht="15.75" thickTop="1">
      <c r="A72" s="552"/>
      <c r="B72" s="537">
        <f>B13</f>
        <v>111</v>
      </c>
      <c r="C72" s="553"/>
      <c r="D72" s="553"/>
      <c r="E72" s="553"/>
      <c r="F72" s="553"/>
      <c r="G72" s="553"/>
      <c r="H72" s="554"/>
      <c r="I72" s="554"/>
      <c r="J72" s="554"/>
      <c r="K72" s="554"/>
      <c r="L72" s="555"/>
      <c r="M72" s="556"/>
      <c r="N72" s="1155"/>
      <c r="O72" s="1155"/>
      <c r="P72" s="2631"/>
      <c r="Q72" s="560"/>
    </row>
    <row r="73" spans="1:17" s="470" customFormat="1" ht="15.75" thickBot="1">
      <c r="A73" s="552"/>
      <c r="B73" s="542"/>
      <c r="C73" s="559"/>
      <c r="D73" s="559"/>
      <c r="E73" s="559"/>
      <c r="F73" s="559"/>
      <c r="G73" s="559"/>
      <c r="H73" s="561"/>
      <c r="I73" s="561"/>
      <c r="J73" s="561"/>
      <c r="K73" s="561"/>
      <c r="L73" s="561"/>
      <c r="M73" s="562"/>
      <c r="N73" s="1155"/>
      <c r="O73" s="1155"/>
      <c r="P73" s="2630"/>
      <c r="Q73" s="558"/>
    </row>
    <row r="74" spans="1:17" s="470" customFormat="1" ht="15.75" thickTop="1">
      <c r="A74" s="552"/>
      <c r="B74" s="545">
        <f>B14</f>
        <v>111</v>
      </c>
      <c r="C74" s="553"/>
      <c r="D74" s="553"/>
      <c r="E74" s="553"/>
      <c r="F74" s="553"/>
      <c r="G74" s="522"/>
      <c r="H74" s="563"/>
      <c r="I74" s="563"/>
      <c r="J74" s="563"/>
      <c r="K74" s="563"/>
      <c r="L74" s="564"/>
      <c r="M74" s="565"/>
      <c r="N74" s="1155"/>
      <c r="O74" s="1155"/>
      <c r="P74" s="2632"/>
      <c r="Q74" s="558"/>
    </row>
    <row r="75" spans="1:17" s="470" customFormat="1" ht="15.75" thickBot="1">
      <c r="A75" s="567"/>
      <c r="B75" s="568"/>
      <c r="C75" s="569"/>
      <c r="D75" s="569"/>
      <c r="E75" s="569"/>
      <c r="F75" s="569"/>
      <c r="G75" s="569"/>
      <c r="H75" s="570"/>
      <c r="I75" s="570"/>
      <c r="J75" s="570"/>
      <c r="K75" s="570"/>
      <c r="L75" s="570"/>
      <c r="M75" s="571"/>
      <c r="N75" s="1155"/>
      <c r="O75" s="1155"/>
      <c r="P75" s="2630"/>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3"/>
      <c r="O76" s="1153"/>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9"/>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3"/>
      <c r="O78" s="1153"/>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9"/>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3"/>
      <c r="O80" s="1153"/>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9"/>
      <c r="Q81" s="503"/>
    </row>
    <row r="82" spans="1:17" ht="15.75" thickTop="1">
      <c r="A82" s="533"/>
      <c r="B82" s="545" t="s">
        <v>2102</v>
      </c>
      <c r="C82" s="538" t="s">
        <v>2609</v>
      </c>
      <c r="D82" s="538" t="s">
        <v>2610</v>
      </c>
      <c r="E82" s="538" t="s">
        <v>2611</v>
      </c>
      <c r="F82" s="538" t="s">
        <v>2612</v>
      </c>
      <c r="G82" s="538" t="s">
        <v>2613</v>
      </c>
      <c r="H82" s="538"/>
      <c r="I82" s="538"/>
      <c r="J82" s="538"/>
      <c r="K82" s="538"/>
      <c r="L82" s="538"/>
      <c r="M82" s="1382"/>
      <c r="N82" s="1154"/>
      <c r="O82" s="1154"/>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29"/>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3"/>
      <c r="O84" s="1153"/>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9"/>
      <c r="Q85" s="503"/>
    </row>
    <row r="86" spans="1:17" s="116" customFormat="1" ht="15.75" thickTop="1">
      <c r="A86" s="578"/>
      <c r="B86" s="537" t="s">
        <v>2615</v>
      </c>
      <c r="C86" s="553"/>
      <c r="D86" s="553"/>
      <c r="E86" s="553"/>
      <c r="F86" s="553"/>
      <c r="G86" s="553"/>
      <c r="H86" s="553"/>
      <c r="I86" s="553"/>
      <c r="J86" s="553"/>
      <c r="K86" s="553"/>
      <c r="L86" s="579"/>
      <c r="M86" s="580"/>
      <c r="N86" s="1152"/>
      <c r="O86" s="1152"/>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29"/>
      <c r="Q87" s="503"/>
    </row>
    <row r="88" spans="1:17" s="116" customFormat="1" ht="15.75" thickTop="1">
      <c r="A88" s="578"/>
      <c r="B88" s="537" t="s">
        <v>2616</v>
      </c>
      <c r="C88" s="553"/>
      <c r="D88" s="553"/>
      <c r="E88" s="553"/>
      <c r="F88" s="2634"/>
      <c r="G88" s="553"/>
      <c r="H88" s="553"/>
      <c r="I88" s="553"/>
      <c r="J88" s="553"/>
      <c r="K88" s="553"/>
      <c r="L88" s="553"/>
      <c r="M88" s="580"/>
      <c r="N88" s="1152"/>
      <c r="O88" s="1152"/>
      <c r="P88" s="262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29"/>
      <c r="Q89" s="503"/>
    </row>
    <row r="90" spans="1:17" s="470" customFormat="1" ht="15.75" thickTop="1">
      <c r="A90" s="552"/>
      <c r="B90" s="537">
        <f>B27</f>
        <v>111</v>
      </c>
      <c r="C90" s="553"/>
      <c r="D90" s="553"/>
      <c r="E90" s="553"/>
      <c r="F90" s="553"/>
      <c r="G90" s="553"/>
      <c r="H90" s="554"/>
      <c r="I90" s="554"/>
      <c r="J90" s="554"/>
      <c r="K90" s="554"/>
      <c r="L90" s="555"/>
      <c r="M90" s="556"/>
      <c r="N90" s="1155"/>
      <c r="O90" s="1155"/>
      <c r="P90" s="2630"/>
      <c r="Q90" s="558"/>
    </row>
    <row r="91" spans="1:17" s="470" customFormat="1" ht="15.75" thickBot="1">
      <c r="A91" s="552"/>
      <c r="B91" s="542"/>
      <c r="C91" s="559"/>
      <c r="D91" s="559"/>
      <c r="E91" s="559"/>
      <c r="F91" s="559"/>
      <c r="G91" s="559"/>
      <c r="H91" s="561"/>
      <c r="I91" s="561"/>
      <c r="J91" s="561"/>
      <c r="K91" s="561"/>
      <c r="L91" s="561"/>
      <c r="M91" s="562"/>
      <c r="N91" s="1155"/>
      <c r="O91" s="1155"/>
      <c r="P91" s="2630"/>
      <c r="Q91" s="558"/>
    </row>
    <row r="92" spans="1:17" ht="15.75" thickTop="1">
      <c r="A92" s="533"/>
      <c r="B92" s="537">
        <f>B28</f>
        <v>111</v>
      </c>
      <c r="C92" s="553"/>
      <c r="D92" s="553"/>
      <c r="E92" s="553"/>
      <c r="F92" s="553"/>
      <c r="G92" s="582"/>
      <c r="H92" s="582"/>
      <c r="I92" s="582"/>
      <c r="J92" s="582"/>
      <c r="K92" s="583"/>
      <c r="L92" s="584"/>
      <c r="M92" s="585"/>
      <c r="N92" s="1153"/>
      <c r="O92" s="1153"/>
      <c r="P92" s="2629"/>
      <c r="Q92" s="503"/>
    </row>
    <row r="93" spans="1:17" ht="15.75" thickBot="1">
      <c r="A93" s="533"/>
      <c r="B93" s="542"/>
      <c r="C93" s="559"/>
      <c r="D93" s="535"/>
      <c r="E93" s="535"/>
      <c r="F93" s="535"/>
      <c r="G93" s="535"/>
      <c r="H93" s="535"/>
      <c r="I93" s="535"/>
      <c r="J93" s="535"/>
      <c r="K93" s="535"/>
      <c r="L93" s="535"/>
      <c r="M93" s="536"/>
      <c r="N93" s="1154"/>
      <c r="O93" s="1154"/>
      <c r="P93" s="2629"/>
      <c r="Q93" s="503"/>
    </row>
    <row r="94" spans="1:17" ht="15.75" thickTop="1">
      <c r="A94" s="533"/>
      <c r="B94" s="537">
        <f>B29</f>
        <v>111</v>
      </c>
      <c r="C94" s="553"/>
      <c r="D94" s="553"/>
      <c r="E94" s="553"/>
      <c r="F94" s="553"/>
      <c r="G94" s="582"/>
      <c r="H94" s="582"/>
      <c r="I94" s="582"/>
      <c r="J94" s="582"/>
      <c r="K94" s="583"/>
      <c r="L94" s="584"/>
      <c r="M94" s="585"/>
      <c r="N94" s="1153"/>
      <c r="O94" s="1153"/>
      <c r="P94" s="2629"/>
      <c r="Q94" s="503"/>
    </row>
    <row r="95" spans="1:17" ht="15.75" thickBot="1">
      <c r="A95" s="533"/>
      <c r="B95" s="542"/>
      <c r="C95" s="559"/>
      <c r="D95" s="559"/>
      <c r="E95" s="559"/>
      <c r="F95" s="559"/>
      <c r="G95" s="535"/>
      <c r="H95" s="535"/>
      <c r="I95" s="535"/>
      <c r="J95" s="535"/>
      <c r="K95" s="535"/>
      <c r="L95" s="535"/>
      <c r="M95" s="536"/>
      <c r="N95" s="1154"/>
      <c r="O95" s="1154"/>
      <c r="P95" s="2629"/>
      <c r="Q95" s="503"/>
    </row>
    <row r="96" spans="1:17" ht="15.75" thickTop="1">
      <c r="A96" s="533"/>
      <c r="B96" s="537">
        <f>B30</f>
        <v>111</v>
      </c>
      <c r="C96" s="553"/>
      <c r="D96" s="553"/>
      <c r="E96" s="553"/>
      <c r="F96" s="553"/>
      <c r="G96" s="582"/>
      <c r="H96" s="582"/>
      <c r="I96" s="582"/>
      <c r="J96" s="582"/>
      <c r="K96" s="583"/>
      <c r="L96" s="584"/>
      <c r="M96" s="585"/>
      <c r="N96" s="1153"/>
      <c r="O96" s="1153"/>
      <c r="P96" s="2629"/>
      <c r="Q96" s="503"/>
    </row>
    <row r="97" spans="1:17" ht="15.75" thickBot="1">
      <c r="A97" s="533"/>
      <c r="B97" s="542"/>
      <c r="C97" s="569"/>
      <c r="D97" s="569"/>
      <c r="E97" s="569"/>
      <c r="F97" s="569"/>
      <c r="G97" s="535"/>
      <c r="H97" s="535"/>
      <c r="I97" s="535"/>
      <c r="J97" s="535"/>
      <c r="K97" s="535"/>
      <c r="L97" s="535"/>
      <c r="M97" s="536"/>
      <c r="N97" s="1154"/>
      <c r="O97" s="1154"/>
      <c r="P97" s="2629"/>
      <c r="Q97" s="503"/>
    </row>
    <row r="98" spans="1:17" ht="15.75" thickTop="1">
      <c r="A98" s="533"/>
      <c r="B98" s="545">
        <f>B31</f>
        <v>111</v>
      </c>
      <c r="C98" s="586"/>
      <c r="D98" s="586"/>
      <c r="E98" s="586"/>
      <c r="F98" s="586"/>
      <c r="G98" s="586"/>
      <c r="H98" s="586"/>
      <c r="I98" s="586"/>
      <c r="J98" s="586"/>
      <c r="K98" s="587"/>
      <c r="L98" s="588"/>
      <c r="M98" s="589"/>
      <c r="N98" s="1153"/>
      <c r="O98" s="1153"/>
      <c r="P98" s="2629"/>
      <c r="Q98" s="503"/>
    </row>
    <row r="99" spans="1:17" ht="15.75" thickBot="1">
      <c r="A99" s="2635"/>
      <c r="B99" s="568"/>
      <c r="C99" s="590"/>
      <c r="D99" s="590"/>
      <c r="E99" s="590"/>
      <c r="F99" s="590"/>
      <c r="G99" s="590"/>
      <c r="H99" s="590"/>
      <c r="I99" s="590"/>
      <c r="J99" s="590"/>
      <c r="K99" s="590"/>
      <c r="L99" s="590"/>
      <c r="M99" s="591"/>
      <c r="N99" s="1154"/>
      <c r="O99" s="1154"/>
      <c r="P99" s="2629"/>
      <c r="Q99" s="503"/>
    </row>
    <row r="100" spans="1:17">
      <c r="A100" s="526" t="s">
        <v>2568</v>
      </c>
      <c r="B100" s="527" t="s">
        <v>2617</v>
      </c>
      <c r="C100" s="529"/>
      <c r="D100" s="529"/>
      <c r="E100" s="529"/>
      <c r="F100" s="529"/>
      <c r="G100" s="529"/>
      <c r="H100" s="529"/>
      <c r="I100" s="529"/>
      <c r="J100" s="529"/>
      <c r="K100" s="530"/>
      <c r="L100" s="531"/>
      <c r="M100" s="532"/>
      <c r="N100" s="1153"/>
      <c r="O100" s="1153"/>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29"/>
      <c r="Q101" s="503"/>
    </row>
    <row r="102" spans="1:17" ht="15.75" thickTop="1">
      <c r="A102" s="533"/>
      <c r="B102" s="537" t="s">
        <v>2618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29"/>
      <c r="Q102" s="503"/>
    </row>
    <row r="103" spans="1:17" s="470" customFormat="1">
      <c r="A103" s="592"/>
      <c r="B103" s="593"/>
      <c r="C103" s="594"/>
      <c r="D103" s="594"/>
      <c r="E103" s="594"/>
      <c r="F103" s="594"/>
      <c r="G103" s="594"/>
      <c r="H103" s="594"/>
      <c r="I103" s="594"/>
      <c r="J103" s="595"/>
      <c r="K103" s="595"/>
      <c r="L103" s="596"/>
      <c r="M103" s="597"/>
      <c r="N103" s="1155"/>
      <c r="O103" s="1155"/>
      <c r="P103" s="2630"/>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0"/>
      <c r="Q104" s="558"/>
    </row>
    <row r="105" spans="1:17" ht="15" thickTop="1">
      <c r="A105" s="598"/>
      <c r="B105" s="537" t="s">
        <v>2619</v>
      </c>
      <c r="C105" s="553"/>
      <c r="D105" s="553"/>
      <c r="E105" s="582"/>
      <c r="F105" s="582"/>
      <c r="G105" s="582"/>
      <c r="H105" s="582"/>
      <c r="I105" s="582"/>
      <c r="J105" s="582"/>
      <c r="K105" s="583"/>
      <c r="L105" s="584"/>
      <c r="M105" s="585"/>
      <c r="N105" s="1153"/>
      <c r="O105" s="1153"/>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29"/>
      <c r="Q106" s="503"/>
    </row>
    <row r="107" spans="1:17" ht="15" thickTop="1">
      <c r="A107" s="598"/>
      <c r="B107" s="537" t="s">
        <v>2620</v>
      </c>
      <c r="C107" s="582"/>
      <c r="D107" s="582"/>
      <c r="E107" s="582"/>
      <c r="F107" s="582"/>
      <c r="G107" s="582"/>
      <c r="H107" s="582"/>
      <c r="I107" s="582"/>
      <c r="J107" s="582"/>
      <c r="K107" s="583"/>
      <c r="L107" s="584"/>
      <c r="M107" s="585"/>
      <c r="N107" s="1153"/>
      <c r="O107" s="1153"/>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29"/>
      <c r="Q108" s="503"/>
    </row>
    <row r="109" spans="1:17" ht="15" thickTop="1">
      <c r="A109" s="598"/>
      <c r="B109" s="537" t="s">
        <v>2621</v>
      </c>
      <c r="C109" s="553"/>
      <c r="D109" s="553"/>
      <c r="E109" s="553"/>
      <c r="F109" s="582"/>
      <c r="G109" s="582"/>
      <c r="H109" s="582"/>
      <c r="I109" s="582"/>
      <c r="J109" s="582"/>
      <c r="K109" s="583"/>
      <c r="L109" s="584"/>
      <c r="M109" s="585"/>
      <c r="N109" s="1153"/>
      <c r="O109" s="1153"/>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29"/>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0"/>
      <c r="Q113" s="558"/>
    </row>
    <row r="114" spans="1:17" ht="15" thickTop="1">
      <c r="A114" s="598"/>
      <c r="B114" s="537" t="s">
        <v>2622</v>
      </c>
      <c r="C114" s="553"/>
      <c r="D114" s="553"/>
      <c r="E114" s="582"/>
      <c r="F114" s="582"/>
      <c r="G114" s="582"/>
      <c r="H114" s="582"/>
      <c r="I114" s="582"/>
      <c r="J114" s="582"/>
      <c r="K114" s="583"/>
      <c r="L114" s="584"/>
      <c r="M114" s="585"/>
      <c r="N114" s="1153"/>
      <c r="O114" s="1153"/>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29"/>
      <c r="Q115" s="503"/>
    </row>
    <row r="116" spans="1:17" ht="15" thickTop="1">
      <c r="A116" s="598"/>
      <c r="B116" s="537" t="s">
        <v>2623</v>
      </c>
      <c r="C116" s="553"/>
      <c r="D116" s="553"/>
      <c r="E116" s="553"/>
      <c r="F116" s="553"/>
      <c r="G116" s="553"/>
      <c r="H116" s="582"/>
      <c r="I116" s="582"/>
      <c r="J116" s="582"/>
      <c r="K116" s="583"/>
      <c r="L116" s="584"/>
      <c r="M116" s="585"/>
      <c r="N116" s="1153"/>
      <c r="O116" s="1153"/>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9"/>
      <c r="Q117" s="503"/>
    </row>
    <row r="118" spans="1:17" ht="15" thickTop="1">
      <c r="A118" s="598"/>
      <c r="B118" s="537" t="s">
        <v>2624</v>
      </c>
      <c r="C118" s="582"/>
      <c r="D118" s="582"/>
      <c r="E118" s="582"/>
      <c r="F118" s="582"/>
      <c r="G118" s="582"/>
      <c r="H118" s="582"/>
      <c r="I118" s="582"/>
      <c r="J118" s="582"/>
      <c r="K118" s="583"/>
      <c r="L118" s="584"/>
      <c r="M118" s="585"/>
      <c r="N118" s="1153"/>
      <c r="O118" s="1153"/>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29"/>
      <c r="Q119" s="503"/>
    </row>
    <row r="120" spans="1:17" s="470" customFormat="1" ht="28.5" thickTop="1">
      <c r="A120" s="592"/>
      <c r="B120" s="537" t="s">
        <v>2579</v>
      </c>
      <c r="C120" s="553"/>
      <c r="D120" s="553"/>
      <c r="E120" s="553"/>
      <c r="F120" s="553"/>
      <c r="G120" s="553"/>
      <c r="H120" s="553"/>
      <c r="I120" s="553"/>
      <c r="J120" s="553"/>
      <c r="K120" s="553"/>
      <c r="L120" s="579"/>
      <c r="M120" s="580"/>
      <c r="N120" s="1155"/>
      <c r="O120" s="1155"/>
      <c r="P120" s="2630"/>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0"/>
      <c r="Q121" s="558"/>
    </row>
    <row r="122" spans="1:17" ht="15" thickTop="1">
      <c r="A122" s="598"/>
      <c r="B122" s="537" t="s">
        <v>2625</v>
      </c>
      <c r="C122" s="553"/>
      <c r="D122" s="553"/>
      <c r="E122" s="553"/>
      <c r="F122" s="582"/>
      <c r="G122" s="582"/>
      <c r="H122" s="582"/>
      <c r="I122" s="582"/>
      <c r="J122" s="582"/>
      <c r="K122" s="583"/>
      <c r="L122" s="584"/>
      <c r="M122" s="585"/>
      <c r="N122" s="1153"/>
      <c r="O122" s="1153"/>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29"/>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3"/>
      <c r="O124" s="1153"/>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9"/>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0"/>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0"/>
      <c r="Q127" s="558"/>
    </row>
    <row r="128" spans="1:17" ht="15" thickTop="1">
      <c r="A128" s="598"/>
      <c r="B128" s="537">
        <f>B45</f>
        <v>111</v>
      </c>
      <c r="C128" s="553"/>
      <c r="D128" s="553"/>
      <c r="E128" s="553"/>
      <c r="F128" s="553"/>
      <c r="G128" s="582"/>
      <c r="H128" s="582"/>
      <c r="I128" s="582"/>
      <c r="J128" s="582"/>
      <c r="K128" s="583"/>
      <c r="L128" s="584"/>
      <c r="M128" s="585"/>
      <c r="N128" s="1153"/>
      <c r="O128" s="1153"/>
      <c r="P128" s="2629"/>
      <c r="Q128" s="503"/>
    </row>
    <row r="129" spans="1:17" ht="15.75" thickBot="1">
      <c r="A129" s="533"/>
      <c r="B129" s="542"/>
      <c r="C129" s="559"/>
      <c r="D129" s="559"/>
      <c r="E129" s="559"/>
      <c r="F129" s="559"/>
      <c r="G129" s="535"/>
      <c r="H129" s="535"/>
      <c r="I129" s="535"/>
      <c r="J129" s="535"/>
      <c r="K129" s="535"/>
      <c r="L129" s="535"/>
      <c r="M129" s="536"/>
      <c r="N129" s="1154"/>
      <c r="O129" s="1154"/>
      <c r="P129" s="2629"/>
      <c r="Q129" s="503"/>
    </row>
    <row r="130" spans="1:17" ht="15" thickTop="1">
      <c r="A130" s="598"/>
      <c r="B130" s="545">
        <f>B46</f>
        <v>111</v>
      </c>
      <c r="C130" s="553"/>
      <c r="D130" s="553"/>
      <c r="E130" s="553"/>
      <c r="F130" s="553"/>
      <c r="G130" s="586"/>
      <c r="H130" s="586"/>
      <c r="I130" s="586"/>
      <c r="J130" s="586"/>
      <c r="K130" s="522"/>
      <c r="L130" s="523"/>
      <c r="M130" s="589"/>
      <c r="N130" s="1153"/>
      <c r="O130" s="1153"/>
      <c r="P130" s="2629"/>
      <c r="Q130" s="503"/>
    </row>
    <row r="131" spans="1:17" ht="15.75" thickBot="1">
      <c r="A131" s="2635"/>
      <c r="B131" s="568"/>
      <c r="C131" s="569"/>
      <c r="D131" s="569"/>
      <c r="E131" s="569"/>
      <c r="F131" s="569"/>
      <c r="G131" s="590"/>
      <c r="H131" s="590"/>
      <c r="I131" s="590"/>
      <c r="J131" s="590"/>
      <c r="K131" s="590"/>
      <c r="L131" s="590"/>
      <c r="M131" s="591"/>
      <c r="N131" s="1154"/>
      <c r="O131" s="1154"/>
      <c r="P131" s="2629"/>
      <c r="Q131" s="503"/>
    </row>
    <row r="136" spans="1:17" ht="15" thickBot="1">
      <c r="B136" s="2636" t="s">
        <v>2627</v>
      </c>
    </row>
    <row r="137" spans="1:17" ht="15">
      <c r="B137" s="2637" t="s">
        <v>2628</v>
      </c>
      <c r="C137" s="2638"/>
      <c r="D137" s="2638"/>
      <c r="E137" s="2638"/>
      <c r="F137" s="2638"/>
      <c r="G137" s="2639"/>
      <c r="H137" s="2640"/>
      <c r="I137" s="2641" t="s">
        <v>2629</v>
      </c>
      <c r="J137" s="2638"/>
      <c r="K137" s="2642"/>
    </row>
    <row r="138" spans="1:17" ht="15">
      <c r="B138" s="2643"/>
      <c r="C138" s="145" t="s">
        <v>2630</v>
      </c>
      <c r="D138" s="145" t="s">
        <v>2631</v>
      </c>
      <c r="E138" s="2644" t="s">
        <v>2632</v>
      </c>
      <c r="F138" s="2645" t="s">
        <v>2633</v>
      </c>
      <c r="G138" s="145" t="s">
        <v>2631</v>
      </c>
      <c r="H138" s="146" t="s">
        <v>2632</v>
      </c>
      <c r="I138" s="2646"/>
      <c r="J138" s="145" t="s">
        <v>2634</v>
      </c>
      <c r="K138" s="146" t="s">
        <v>2635</v>
      </c>
    </row>
    <row r="139" spans="1:17" ht="15">
      <c r="B139" s="1085">
        <v>6</v>
      </c>
      <c r="C139" s="1086">
        <v>96</v>
      </c>
      <c r="D139" s="2647" t="s">
        <v>2636</v>
      </c>
      <c r="E139" s="1087">
        <v>100</v>
      </c>
      <c r="F139" s="1088">
        <v>102.5</v>
      </c>
      <c r="G139" s="2647" t="s">
        <v>2636</v>
      </c>
      <c r="H139" s="1089">
        <v>105</v>
      </c>
      <c r="I139" s="2648" t="s">
        <v>2637</v>
      </c>
      <c r="J139" s="1086">
        <v>20</v>
      </c>
      <c r="K139" s="1090">
        <f>C145/(J139-2)</f>
        <v>4.0555555555555553E-3</v>
      </c>
    </row>
    <row r="140" spans="1:17" ht="15">
      <c r="B140" s="1091">
        <v>5</v>
      </c>
      <c r="C140" s="1092">
        <v>100</v>
      </c>
      <c r="D140" s="1092"/>
      <c r="E140" s="1093"/>
      <c r="F140" s="1094">
        <v>102</v>
      </c>
      <c r="G140" s="1092"/>
      <c r="H140" s="1095"/>
      <c r="I140" s="2649" t="s">
        <v>2638</v>
      </c>
      <c r="J140" s="314">
        <f>ROUNDUP((J139-1)/2,0)</f>
        <v>10</v>
      </c>
      <c r="K140" s="1096">
        <v>100</v>
      </c>
    </row>
    <row r="141" spans="1:17" ht="15">
      <c r="B141" s="1091">
        <v>4</v>
      </c>
      <c r="C141" s="1092">
        <v>102</v>
      </c>
      <c r="D141" s="1092"/>
      <c r="E141" s="1093"/>
      <c r="F141" s="1094">
        <v>101.5</v>
      </c>
      <c r="G141" s="1092"/>
      <c r="H141" s="1095"/>
      <c r="I141" s="2649" t="s">
        <v>2639</v>
      </c>
      <c r="J141" s="314">
        <v>1</v>
      </c>
      <c r="K141" s="1097">
        <f>ROUND(100+(J141-J140)*K139*100,1)</f>
        <v>96.4</v>
      </c>
    </row>
    <row r="142" spans="1:17" ht="15">
      <c r="B142" s="1091">
        <v>3</v>
      </c>
      <c r="C142" s="1092">
        <v>103</v>
      </c>
      <c r="D142" s="1092"/>
      <c r="E142" s="1093"/>
      <c r="F142" s="1094">
        <v>101</v>
      </c>
      <c r="G142" s="1092"/>
      <c r="H142" s="1095"/>
      <c r="I142" s="2649" t="s">
        <v>2640</v>
      </c>
      <c r="J142" s="314">
        <f>J139</f>
        <v>20</v>
      </c>
      <c r="K142" s="1098">
        <v>95</v>
      </c>
    </row>
    <row r="143" spans="1:17" ht="15">
      <c r="B143" s="1091">
        <v>2</v>
      </c>
      <c r="C143" s="1092">
        <v>100</v>
      </c>
      <c r="D143" s="1092"/>
      <c r="E143" s="1093"/>
      <c r="F143" s="1094">
        <v>100.5</v>
      </c>
      <c r="G143" s="1092"/>
      <c r="H143" s="1095"/>
      <c r="I143" s="2649" t="s">
        <v>2641</v>
      </c>
      <c r="J143" s="1092">
        <v>15</v>
      </c>
      <c r="K143" s="1097">
        <f>ROUND(100+(J143-J140)*K139*100,1)</f>
        <v>102</v>
      </c>
    </row>
    <row r="144" spans="1:17" ht="15">
      <c r="B144" s="1091">
        <v>1</v>
      </c>
      <c r="C144" s="1092">
        <v>98</v>
      </c>
      <c r="D144" s="2650" t="s">
        <v>2642</v>
      </c>
      <c r="E144" s="1093">
        <v>102</v>
      </c>
      <c r="F144" s="1099">
        <v>100</v>
      </c>
      <c r="G144" s="2650" t="s">
        <v>2642</v>
      </c>
      <c r="H144" s="1095">
        <v>105</v>
      </c>
      <c r="I144" s="2649" t="s">
        <v>2641</v>
      </c>
      <c r="J144" s="1092">
        <v>18</v>
      </c>
      <c r="K144" s="1097">
        <f>ROUND(100+(J144-J140)*K139*100,1)</f>
        <v>103.2</v>
      </c>
    </row>
    <row r="145" spans="2:11" ht="15.75" thickBot="1">
      <c r="B145" s="2651" t="s">
        <v>2643</v>
      </c>
      <c r="C145" s="1100">
        <f>ROUND(MAX(C139:C144)/MIN(C139:C144)-1,3)</f>
        <v>7.2999999999999995E-2</v>
      </c>
      <c r="D145" s="1101"/>
      <c r="E145" s="1101"/>
      <c r="F145" s="2652" t="s">
        <v>2644</v>
      </c>
      <c r="G145" s="2653"/>
      <c r="H145" s="2654"/>
      <c r="I145" s="2655" t="s">
        <v>2641</v>
      </c>
      <c r="J145" s="1102">
        <v>8</v>
      </c>
      <c r="K145" s="1103">
        <f>ROUND(100+(J145-J140)*K139*100,1)</f>
        <v>99.2</v>
      </c>
    </row>
    <row r="147" spans="2:11">
      <c r="B147" s="2636" t="s">
        <v>2645</v>
      </c>
    </row>
    <row r="148" spans="2:11">
      <c r="B148" s="2636"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2533</v>
      </c>
      <c r="B1" s="2581" t="s">
        <v>2647</v>
      </c>
      <c r="C1" s="1634" t="s">
        <v>2535</v>
      </c>
      <c r="D1" s="1621"/>
      <c r="E1" s="2656"/>
      <c r="F1" s="2583"/>
      <c r="G1" s="1631" t="s">
        <v>2648</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7" customFormat="1" ht="28.5" customHeight="1" thickTop="1">
      <c r="A2" s="1617" t="s">
        <v>2332</v>
      </c>
      <c r="B2" s="1418" t="e">
        <f ca="1">IF(C2="——",ROUND(C49*D3/10000,0),ROUND(C49*D3/10000,0)-D2)</f>
        <v>#DIV/0!</v>
      </c>
      <c r="C2" s="2585"/>
      <c r="D2" s="1365" t="e">
        <f ca="1">SUMIF(INDIRECT("'"&amp;F2&amp;"'"&amp;"!A:A"),"承租人权益价值",INDIRECT("'"&amp;F2&amp;"'"&amp;"!c:c"))</f>
        <v>#REF!</v>
      </c>
      <c r="E2" s="2586" t="s">
        <v>2333</v>
      </c>
      <c r="F2" s="2587"/>
      <c r="G2" s="1126"/>
      <c r="H2" s="1126"/>
      <c r="I2" s="1126"/>
      <c r="J2" s="1126"/>
      <c r="K2" s="1126"/>
      <c r="L2" s="1129"/>
      <c r="M2" s="1130"/>
      <c r="N2" s="1130"/>
      <c r="O2" s="1130"/>
      <c r="P2" s="2660"/>
      <c r="Q2" s="1130"/>
      <c r="R2" s="1130"/>
      <c r="S2" s="1130"/>
      <c r="T2" s="1130"/>
      <c r="U2" s="1130"/>
      <c r="V2" s="1130"/>
      <c r="W2" s="1130"/>
      <c r="X2" s="1130"/>
      <c r="Y2" s="1130"/>
      <c r="Z2" s="1130"/>
      <c r="AA2" s="1130"/>
      <c r="AB2" s="1130"/>
      <c r="AC2" s="2661"/>
    </row>
    <row r="3" spans="1:29" s="397" customFormat="1" ht="28.5" customHeight="1" thickBot="1">
      <c r="A3" s="246" t="s">
        <v>2334</v>
      </c>
      <c r="B3" s="608" t="e">
        <f ca="1">IF(C2="——",C49,ROUND(B2*10000/D3,0))</f>
        <v>#DIV/0!</v>
      </c>
      <c r="C3" s="399" t="s">
        <v>2649</v>
      </c>
      <c r="D3" s="398">
        <f>IF(D1="",'数据-汇总表'!E3,SUMIF('数据-汇总表'!$C19:$C33,D1,'数据-汇总表'!$E19:$E33))</f>
        <v>1368.3300000000163</v>
      </c>
      <c r="E3" s="2662"/>
      <c r="F3" s="1127"/>
      <c r="G3" s="1126"/>
      <c r="H3" s="1126"/>
      <c r="I3" s="1126"/>
      <c r="J3" s="1126"/>
      <c r="K3" s="1128"/>
      <c r="L3" s="1129"/>
      <c r="M3" s="1130"/>
      <c r="N3" s="1130"/>
      <c r="O3" s="1130"/>
      <c r="P3" s="2660"/>
      <c r="Q3" s="1130"/>
      <c r="R3" s="1130"/>
      <c r="S3" s="1130"/>
      <c r="T3" s="1130"/>
      <c r="U3" s="1130"/>
      <c r="V3" s="1130"/>
      <c r="W3" s="1130"/>
      <c r="X3" s="1130"/>
      <c r="Y3" s="1130"/>
      <c r="Z3" s="1130"/>
      <c r="AA3" s="1130"/>
      <c r="AB3" s="1130"/>
      <c r="AC3" s="2662"/>
    </row>
    <row r="4" spans="1:29" ht="15">
      <c r="A4" s="400" t="s">
        <v>2650</v>
      </c>
      <c r="B4" s="401"/>
      <c r="C4" s="3205" t="s">
        <v>2651</v>
      </c>
      <c r="D4" s="3206"/>
      <c r="E4" s="3207" t="s">
        <v>2652</v>
      </c>
      <c r="F4" s="3208"/>
      <c r="G4" s="3205" t="s">
        <v>2653</v>
      </c>
      <c r="H4" s="3206"/>
      <c r="I4" s="3205" t="s">
        <v>2654</v>
      </c>
      <c r="J4" s="3206"/>
      <c r="K4" s="609" t="s">
        <v>2655</v>
      </c>
      <c r="L4" s="1131"/>
      <c r="M4" s="1132"/>
      <c r="N4" s="1132"/>
      <c r="O4" s="1132"/>
      <c r="P4" s="3209" t="s">
        <v>2656</v>
      </c>
      <c r="Q4" s="3210"/>
      <c r="R4" s="3192" t="s">
        <v>2652</v>
      </c>
      <c r="S4" s="3193"/>
      <c r="T4" s="3192" t="s">
        <v>2653</v>
      </c>
      <c r="U4" s="3193"/>
      <c r="V4" s="3217" t="s">
        <v>2654</v>
      </c>
      <c r="W4" s="3217"/>
      <c r="X4" s="1813"/>
      <c r="Y4" s="3192" t="s">
        <v>2656</v>
      </c>
      <c r="Z4" s="3193"/>
      <c r="AA4" s="3187" t="s">
        <v>2652</v>
      </c>
      <c r="AB4" s="3217" t="s">
        <v>2653</v>
      </c>
      <c r="AC4" s="3187" t="s">
        <v>2654</v>
      </c>
    </row>
    <row r="5" spans="1:29" ht="15">
      <c r="A5" s="403"/>
      <c r="B5" s="404"/>
      <c r="C5" s="3198" t="s">
        <v>2547</v>
      </c>
      <c r="D5" s="3199"/>
      <c r="E5" s="3196" t="s">
        <v>2548</v>
      </c>
      <c r="F5" s="3197"/>
      <c r="G5" s="3198" t="s">
        <v>2549</v>
      </c>
      <c r="H5" s="3199"/>
      <c r="I5" s="3198" t="s">
        <v>2550</v>
      </c>
      <c r="J5" s="3199"/>
      <c r="K5" s="609"/>
      <c r="L5" s="1131"/>
      <c r="M5" s="1132"/>
      <c r="N5" s="1132"/>
      <c r="O5" s="1132"/>
      <c r="P5" s="3211"/>
      <c r="Q5" s="3212"/>
      <c r="R5" s="3194"/>
      <c r="S5" s="3195"/>
      <c r="T5" s="3194"/>
      <c r="U5" s="3195"/>
      <c r="V5" s="3217"/>
      <c r="W5" s="3217"/>
      <c r="X5" s="1813"/>
      <c r="Y5" s="3194"/>
      <c r="Z5" s="3195"/>
      <c r="AA5" s="3188"/>
      <c r="AB5" s="3217"/>
      <c r="AC5" s="3188"/>
    </row>
    <row r="6" spans="1:29" ht="15.75" thickBot="1">
      <c r="A6" s="405"/>
      <c r="B6" s="406"/>
      <c r="C6" s="3200" t="s">
        <v>2551</v>
      </c>
      <c r="D6" s="3201"/>
      <c r="E6" s="3202" t="s">
        <v>2551</v>
      </c>
      <c r="F6" s="3203"/>
      <c r="G6" s="3200" t="s">
        <v>2551</v>
      </c>
      <c r="H6" s="3201"/>
      <c r="I6" s="3200" t="s">
        <v>2551</v>
      </c>
      <c r="J6" s="3201"/>
      <c r="K6" s="609" t="s">
        <v>2552</v>
      </c>
      <c r="L6" s="1131"/>
      <c r="M6" s="1132"/>
      <c r="N6" s="1132"/>
      <c r="O6" s="1132"/>
      <c r="P6" s="3213"/>
      <c r="Q6" s="3214"/>
      <c r="R6" s="3194"/>
      <c r="S6" s="3195"/>
      <c r="T6" s="3215"/>
      <c r="U6" s="3216"/>
      <c r="V6" s="3217"/>
      <c r="W6" s="3217"/>
      <c r="X6" s="1813"/>
      <c r="Y6" s="3215"/>
      <c r="Z6" s="3216"/>
      <c r="AA6" s="3189"/>
      <c r="AB6" s="3217"/>
      <c r="AC6" s="3189"/>
    </row>
    <row r="7" spans="1:29" s="116" customFormat="1" ht="15.75" thickBot="1">
      <c r="A7" s="407" t="s">
        <v>2553</v>
      </c>
      <c r="B7" s="408"/>
      <c r="C7" s="409">
        <f>'数据-取费表'!B2</f>
        <v>43432</v>
      </c>
      <c r="D7" s="410">
        <v>100</v>
      </c>
      <c r="E7" s="411"/>
      <c r="F7" s="412">
        <f>SUMIF(58:58,YEAR(E7)&amp;"-"&amp;MONTH(E7),59:59)</f>
        <v>0</v>
      </c>
      <c r="G7" s="411"/>
      <c r="H7" s="410">
        <f>SUMIF(58:58,YEAR(G7)&amp;"-"&amp;MONTH(G7),59:59)</f>
        <v>0</v>
      </c>
      <c r="I7" s="411"/>
      <c r="J7" s="410">
        <f>SUMIF(58:58,YEAR(I7)&amp;"-"&amp;MONTH(I7),59:59)</f>
        <v>0</v>
      </c>
      <c r="K7" s="610"/>
      <c r="L7" s="1133"/>
      <c r="M7" s="1134"/>
      <c r="N7" s="1134"/>
      <c r="O7" s="1134"/>
      <c r="P7" s="3190" t="s">
        <v>2554</v>
      </c>
      <c r="Q7" s="3218"/>
      <c r="R7" s="768" t="s">
        <v>17</v>
      </c>
      <c r="S7" s="769">
        <f t="shared" ref="S7:S15" si="0">F7</f>
        <v>0</v>
      </c>
      <c r="T7" s="768" t="s">
        <v>17</v>
      </c>
      <c r="U7" s="769">
        <f t="shared" ref="U7:U15" si="1">H7</f>
        <v>0</v>
      </c>
      <c r="V7" s="768" t="s">
        <v>17</v>
      </c>
      <c r="W7" s="769">
        <f t="shared" ref="W7:W15" si="2">J7</f>
        <v>0</v>
      </c>
      <c r="X7" s="770"/>
      <c r="Y7" s="3190" t="s">
        <v>2554</v>
      </c>
      <c r="Z7" s="3191"/>
      <c r="AA7" s="771" t="e">
        <f>D7/F7</f>
        <v>#DIV/0!</v>
      </c>
      <c r="AB7" s="771" t="e">
        <f>D7/H7</f>
        <v>#DIV/0!</v>
      </c>
      <c r="AC7" s="771" t="e">
        <f>D7/J7</f>
        <v>#DIV/0!</v>
      </c>
    </row>
    <row r="8" spans="1:29" s="116" customFormat="1" ht="15.75" thickBot="1">
      <c r="A8" s="407" t="s">
        <v>2555</v>
      </c>
      <c r="B8" s="408"/>
      <c r="C8" s="413" t="s">
        <v>2657</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190" t="s">
        <v>2557</v>
      </c>
      <c r="Q8" s="3191"/>
      <c r="R8" s="768" t="s">
        <v>17</v>
      </c>
      <c r="S8" s="769">
        <f t="shared" si="0"/>
        <v>0</v>
      </c>
      <c r="T8" s="768" t="s">
        <v>17</v>
      </c>
      <c r="U8" s="769">
        <f t="shared" si="1"/>
        <v>0</v>
      </c>
      <c r="V8" s="768" t="s">
        <v>17</v>
      </c>
      <c r="W8" s="769">
        <f t="shared" si="2"/>
        <v>0</v>
      </c>
      <c r="X8" s="770"/>
      <c r="Y8" s="3190" t="s">
        <v>2557</v>
      </c>
      <c r="Z8" s="3191"/>
      <c r="AA8" s="771" t="e">
        <f t="shared" ref="AA8:AA46" si="3">D8/F8</f>
        <v>#DIV/0!</v>
      </c>
      <c r="AB8" s="771" t="e">
        <f t="shared" ref="AB8:AB46" si="4">D8/H8</f>
        <v>#DIV/0!</v>
      </c>
      <c r="AC8" s="771" t="e">
        <f t="shared" ref="AC8:AC46" si="5">D8/J8</f>
        <v>#DIV/0!</v>
      </c>
    </row>
    <row r="9" spans="1:29" s="116" customFormat="1">
      <c r="A9" s="414" t="s">
        <v>2558</v>
      </c>
      <c r="B9" s="70" t="s">
        <v>2559</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204" t="s">
        <v>2560</v>
      </c>
      <c r="Q9" s="1795" t="str">
        <f t="shared" ref="Q9:Q15" si="6">B9</f>
        <v>用途</v>
      </c>
      <c r="R9" s="768" t="s">
        <v>17</v>
      </c>
      <c r="S9" s="769">
        <f t="shared" si="0"/>
        <v>100</v>
      </c>
      <c r="T9" s="768" t="s">
        <v>17</v>
      </c>
      <c r="U9" s="769">
        <f t="shared" si="1"/>
        <v>100</v>
      </c>
      <c r="V9" s="768" t="s">
        <v>17</v>
      </c>
      <c r="W9" s="769">
        <f t="shared" si="2"/>
        <v>100</v>
      </c>
      <c r="X9" s="770"/>
      <c r="Y9" s="3037" t="s">
        <v>2561</v>
      </c>
      <c r="Z9" s="54" t="str">
        <f t="shared" ref="Z9:Z15" si="7">Q9</f>
        <v>用途</v>
      </c>
      <c r="AA9" s="771">
        <f t="shared" si="3"/>
        <v>1</v>
      </c>
      <c r="AB9" s="771">
        <f t="shared" si="4"/>
        <v>1</v>
      </c>
      <c r="AC9" s="771">
        <f t="shared" si="5"/>
        <v>1</v>
      </c>
    </row>
    <row r="10" spans="1:29" s="426" customFormat="1" ht="27">
      <c r="A10" s="420"/>
      <c r="B10" s="421" t="s">
        <v>2562</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204"/>
      <c r="Q10" s="1795" t="str">
        <f t="shared" si="6"/>
        <v>土地使用年限（年）</v>
      </c>
      <c r="R10" s="768" t="s">
        <v>17</v>
      </c>
      <c r="S10" s="769">
        <f t="shared" si="0"/>
        <v>100</v>
      </c>
      <c r="T10" s="768" t="s">
        <v>17</v>
      </c>
      <c r="U10" s="769">
        <f t="shared" si="1"/>
        <v>100</v>
      </c>
      <c r="V10" s="768" t="s">
        <v>17</v>
      </c>
      <c r="W10" s="769">
        <f t="shared" si="2"/>
        <v>100</v>
      </c>
      <c r="X10" s="770"/>
      <c r="Y10" s="3037"/>
      <c r="Z10" s="54" t="str">
        <f t="shared" si="7"/>
        <v>土地使用年限（年）</v>
      </c>
      <c r="AA10" s="771">
        <f t="shared" si="3"/>
        <v>1</v>
      </c>
      <c r="AB10" s="771">
        <f t="shared" si="4"/>
        <v>1</v>
      </c>
      <c r="AC10" s="771">
        <f t="shared" si="5"/>
        <v>1</v>
      </c>
    </row>
    <row r="11" spans="1:29" ht="15">
      <c r="A11" s="427"/>
      <c r="B11" s="421" t="s">
        <v>2563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204"/>
      <c r="Q11" s="1795" t="str">
        <f t="shared" si="6"/>
        <v>容积率</v>
      </c>
      <c r="R11" s="768" t="s">
        <v>17</v>
      </c>
      <c r="S11" s="769" t="e">
        <f t="shared" si="0"/>
        <v>#N/A</v>
      </c>
      <c r="T11" s="768" t="s">
        <v>17</v>
      </c>
      <c r="U11" s="769" t="e">
        <f t="shared" si="1"/>
        <v>#N/A</v>
      </c>
      <c r="V11" s="768" t="s">
        <v>17</v>
      </c>
      <c r="W11" s="769" t="e">
        <f t="shared" si="2"/>
        <v>#N/A</v>
      </c>
      <c r="X11" s="770"/>
      <c r="Y11" s="3037"/>
      <c r="Z11" s="54" t="str">
        <f t="shared" si="7"/>
        <v>容积率</v>
      </c>
      <c r="AA11" s="771" t="e">
        <f t="shared" si="3"/>
        <v>#N/A</v>
      </c>
      <c r="AB11" s="771" t="e">
        <f t="shared" si="4"/>
        <v>#N/A</v>
      </c>
      <c r="AC11" s="771" t="e">
        <f t="shared" si="5"/>
        <v>#N/A</v>
      </c>
    </row>
    <row r="12" spans="1:29" s="116"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204"/>
      <c r="Q12" s="1795">
        <f t="shared" si="6"/>
        <v>111</v>
      </c>
      <c r="R12" s="768" t="s">
        <v>17</v>
      </c>
      <c r="S12" s="769">
        <f t="shared" si="0"/>
        <v>100</v>
      </c>
      <c r="T12" s="768" t="s">
        <v>17</v>
      </c>
      <c r="U12" s="769">
        <f t="shared" si="1"/>
        <v>100</v>
      </c>
      <c r="V12" s="768" t="s">
        <v>17</v>
      </c>
      <c r="W12" s="769">
        <f t="shared" si="2"/>
        <v>100</v>
      </c>
      <c r="X12" s="770"/>
      <c r="Y12" s="3037"/>
      <c r="Z12" s="54">
        <f t="shared" si="7"/>
        <v>111</v>
      </c>
      <c r="AA12" s="771">
        <f>D12/F12</f>
        <v>1</v>
      </c>
      <c r="AB12" s="771">
        <f>D12/H12</f>
        <v>1</v>
      </c>
      <c r="AC12" s="771">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04"/>
      <c r="Q13" s="1795">
        <f t="shared" si="6"/>
        <v>111</v>
      </c>
      <c r="R13" s="768" t="s">
        <v>17</v>
      </c>
      <c r="S13" s="769">
        <f t="shared" si="0"/>
        <v>100</v>
      </c>
      <c r="T13" s="768" t="s">
        <v>17</v>
      </c>
      <c r="U13" s="769">
        <f t="shared" si="1"/>
        <v>100</v>
      </c>
      <c r="V13" s="768" t="s">
        <v>17</v>
      </c>
      <c r="W13" s="769">
        <f t="shared" si="2"/>
        <v>100</v>
      </c>
      <c r="X13" s="770"/>
      <c r="Y13" s="3037"/>
      <c r="Z13" s="54">
        <f t="shared" si="7"/>
        <v>111</v>
      </c>
      <c r="AA13" s="771">
        <f t="shared" si="3"/>
        <v>1</v>
      </c>
      <c r="AB13" s="771">
        <f t="shared" si="4"/>
        <v>1</v>
      </c>
      <c r="AC13" s="771">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04"/>
      <c r="Q14" s="1795">
        <f t="shared" si="6"/>
        <v>111</v>
      </c>
      <c r="R14" s="768" t="s">
        <v>17</v>
      </c>
      <c r="S14" s="769">
        <f t="shared" si="0"/>
        <v>100</v>
      </c>
      <c r="T14" s="768" t="s">
        <v>17</v>
      </c>
      <c r="U14" s="769">
        <f t="shared" si="1"/>
        <v>100</v>
      </c>
      <c r="V14" s="768" t="s">
        <v>17</v>
      </c>
      <c r="W14" s="769">
        <f t="shared" si="2"/>
        <v>100</v>
      </c>
      <c r="X14" s="770"/>
      <c r="Y14" s="3037"/>
      <c r="Z14" s="54">
        <f t="shared" si="7"/>
        <v>111</v>
      </c>
      <c r="AA14" s="771">
        <f t="shared" si="3"/>
        <v>1</v>
      </c>
      <c r="AB14" s="771">
        <f t="shared" si="4"/>
        <v>1</v>
      </c>
      <c r="AC14" s="771">
        <f t="shared" si="5"/>
        <v>1</v>
      </c>
    </row>
    <row r="15" spans="1:29" ht="71.25">
      <c r="A15" s="439" t="s">
        <v>2564</v>
      </c>
      <c r="B15" s="68" t="s">
        <v>2658</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31" t="s">
        <v>2565</v>
      </c>
      <c r="Q15" s="1810" t="str">
        <f t="shared" si="6"/>
        <v>商业繁华度</v>
      </c>
      <c r="R15" s="772" t="s">
        <v>17</v>
      </c>
      <c r="S15" s="773">
        <f t="shared" si="0"/>
        <v>100</v>
      </c>
      <c r="T15" s="772" t="s">
        <v>17</v>
      </c>
      <c r="U15" s="773">
        <f t="shared" si="1"/>
        <v>100</v>
      </c>
      <c r="V15" s="772" t="s">
        <v>17</v>
      </c>
      <c r="W15" s="773">
        <f t="shared" si="2"/>
        <v>100</v>
      </c>
      <c r="X15" s="1813"/>
      <c r="Y15" s="3224" t="s">
        <v>2565</v>
      </c>
      <c r="Z15" s="1814" t="str">
        <f t="shared" si="7"/>
        <v>商业繁华度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32"/>
      <c r="P16" s="3232"/>
      <c r="Q16" s="1810"/>
      <c r="R16" s="772"/>
      <c r="S16" s="773"/>
      <c r="T16" s="772"/>
      <c r="U16" s="773"/>
      <c r="V16" s="772"/>
      <c r="W16" s="773"/>
      <c r="X16" s="1813"/>
      <c r="Y16" s="3225"/>
      <c r="Z16" s="1814"/>
      <c r="AA16" s="1811">
        <v>1</v>
      </c>
      <c r="AB16" s="1811">
        <v>1</v>
      </c>
      <c r="AC16" s="1811">
        <v>1</v>
      </c>
    </row>
    <row r="17" spans="1:29" ht="85.5">
      <c r="A17" s="427"/>
      <c r="B17" s="450" t="s">
        <v>2101</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32"/>
      <c r="Q17" s="1810" t="str">
        <f>B17</f>
        <v>交通便捷度</v>
      </c>
      <c r="R17" s="772" t="s">
        <v>17</v>
      </c>
      <c r="S17" s="773">
        <f>F17</f>
        <v>100</v>
      </c>
      <c r="T17" s="772" t="s">
        <v>17</v>
      </c>
      <c r="U17" s="773">
        <f>H17</f>
        <v>100</v>
      </c>
      <c r="V17" s="772" t="s">
        <v>17</v>
      </c>
      <c r="W17" s="773">
        <f>J17</f>
        <v>100</v>
      </c>
      <c r="X17" s="1813"/>
      <c r="Y17" s="3225"/>
      <c r="Z17" s="1814" t="str">
        <f>Q17</f>
        <v>交通便捷度</v>
      </c>
      <c r="AA17" s="1811">
        <f t="shared" si="3"/>
        <v>1</v>
      </c>
      <c r="AB17" s="1811">
        <f t="shared" si="4"/>
        <v>1</v>
      </c>
      <c r="AC17" s="1811">
        <f t="shared" si="5"/>
        <v>1</v>
      </c>
    </row>
    <row r="18" spans="1:29" ht="15">
      <c r="A18" s="427"/>
      <c r="B18" s="455"/>
      <c r="C18" s="2607"/>
      <c r="D18" s="449"/>
      <c r="E18" s="2609"/>
      <c r="F18" s="452"/>
      <c r="G18" s="2608"/>
      <c r="H18" s="447"/>
      <c r="I18" s="2609"/>
      <c r="J18" s="447"/>
      <c r="K18" s="614"/>
      <c r="L18" s="1141"/>
      <c r="M18" s="1132"/>
      <c r="N18" s="1132"/>
      <c r="O18" s="1132"/>
      <c r="P18" s="3232"/>
      <c r="Q18" s="1810"/>
      <c r="R18" s="772"/>
      <c r="S18" s="773"/>
      <c r="T18" s="772"/>
      <c r="U18" s="773"/>
      <c r="V18" s="772"/>
      <c r="W18" s="773"/>
      <c r="X18" s="1813"/>
      <c r="Y18" s="3225"/>
      <c r="Z18" s="1814"/>
      <c r="AA18" s="1811">
        <v>1</v>
      </c>
      <c r="AB18" s="1811">
        <v>1</v>
      </c>
      <c r="AC18" s="1811">
        <v>1</v>
      </c>
    </row>
    <row r="19" spans="1:29" ht="42.75">
      <c r="A19" s="427"/>
      <c r="B19" s="450" t="s">
        <v>2659</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32"/>
      <c r="Q19" s="1810" t="str">
        <f>B19</f>
        <v>公共配套设施</v>
      </c>
      <c r="R19" s="772" t="s">
        <v>17</v>
      </c>
      <c r="S19" s="773">
        <f>F19</f>
        <v>100</v>
      </c>
      <c r="T19" s="772" t="s">
        <v>17</v>
      </c>
      <c r="U19" s="773">
        <f>H19</f>
        <v>100</v>
      </c>
      <c r="V19" s="772" t="s">
        <v>17</v>
      </c>
      <c r="W19" s="773">
        <f>J19</f>
        <v>100</v>
      </c>
      <c r="X19" s="1813"/>
      <c r="Y19" s="3225"/>
      <c r="Z19" s="1814" t="str">
        <f>Q19</f>
        <v>公共配套设施</v>
      </c>
      <c r="AA19" s="1811">
        <f t="shared" si="3"/>
        <v>1</v>
      </c>
      <c r="AB19" s="1811">
        <f t="shared" si="4"/>
        <v>1</v>
      </c>
      <c r="AC19" s="1811">
        <f t="shared" si="5"/>
        <v>1</v>
      </c>
    </row>
    <row r="20" spans="1:29" ht="15">
      <c r="A20" s="427"/>
      <c r="B20" s="455"/>
      <c r="C20" s="446"/>
      <c r="D20" s="447"/>
      <c r="E20" s="2604"/>
      <c r="F20" s="448"/>
      <c r="G20" s="2603"/>
      <c r="H20" s="447"/>
      <c r="I20" s="2604"/>
      <c r="J20" s="447"/>
      <c r="K20" s="614"/>
      <c r="L20" s="1141"/>
      <c r="M20" s="1132"/>
      <c r="N20" s="1132"/>
      <c r="O20" s="1132"/>
      <c r="P20" s="3232"/>
      <c r="Q20" s="1810"/>
      <c r="R20" s="772"/>
      <c r="S20" s="773"/>
      <c r="T20" s="772"/>
      <c r="U20" s="773"/>
      <c r="V20" s="772"/>
      <c r="W20" s="773"/>
      <c r="X20" s="1813"/>
      <c r="Y20" s="3225"/>
      <c r="Z20" s="1814"/>
      <c r="AA20" s="1811">
        <v>1</v>
      </c>
      <c r="AB20" s="1811">
        <v>1</v>
      </c>
      <c r="AC20" s="1811">
        <v>1</v>
      </c>
    </row>
    <row r="21" spans="1:29" ht="28.5">
      <c r="A21" s="427"/>
      <c r="B21" s="1384" t="s">
        <v>2660</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32"/>
      <c r="Q21" s="1810" t="str">
        <f>B21</f>
        <v>基础设施水平</v>
      </c>
      <c r="R21" s="772" t="s">
        <v>17</v>
      </c>
      <c r="S21" s="773">
        <f>F21</f>
        <v>100</v>
      </c>
      <c r="T21" s="772" t="s">
        <v>17</v>
      </c>
      <c r="U21" s="773">
        <f>H21</f>
        <v>100</v>
      </c>
      <c r="V21" s="772" t="s">
        <v>17</v>
      </c>
      <c r="W21" s="773">
        <f>J21</f>
        <v>100</v>
      </c>
      <c r="X21" s="1813"/>
      <c r="Y21" s="3225"/>
      <c r="Z21" s="1814" t="str">
        <f>Q21</f>
        <v>基础设施水平</v>
      </c>
      <c r="AA21" s="1811">
        <f t="shared" ref="AA21" si="8">D21/F21</f>
        <v>1</v>
      </c>
      <c r="AB21" s="1811">
        <f t="shared" ref="AB21" si="9">D21/H21</f>
        <v>1</v>
      </c>
      <c r="AC21" s="1811">
        <f t="shared" ref="AC21" si="10">D21/J21</f>
        <v>1</v>
      </c>
    </row>
    <row r="22" spans="1:29" ht="15">
      <c r="A22" s="427"/>
      <c r="B22" s="1384"/>
      <c r="C22" s="2607"/>
      <c r="D22" s="447"/>
      <c r="E22" s="446"/>
      <c r="F22" s="448"/>
      <c r="G22" s="446"/>
      <c r="H22" s="447"/>
      <c r="I22" s="446"/>
      <c r="J22" s="447"/>
      <c r="K22" s="1383"/>
      <c r="L22" s="1141"/>
      <c r="M22" s="1132"/>
      <c r="N22" s="1132"/>
      <c r="O22" s="1132"/>
      <c r="P22" s="3232"/>
      <c r="Q22" s="1810"/>
      <c r="R22" s="772"/>
      <c r="S22" s="773"/>
      <c r="T22" s="772"/>
      <c r="U22" s="773"/>
      <c r="V22" s="772"/>
      <c r="W22" s="773"/>
      <c r="X22" s="1813"/>
      <c r="Y22" s="3225"/>
      <c r="Z22" s="1814"/>
      <c r="AA22" s="1811">
        <v>1</v>
      </c>
      <c r="AB22" s="1811">
        <v>1</v>
      </c>
      <c r="AC22" s="1811">
        <v>1</v>
      </c>
    </row>
    <row r="23" spans="1:29" ht="57">
      <c r="A23" s="427"/>
      <c r="B23" s="450" t="s">
        <v>2106</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32"/>
      <c r="Q23" s="1810" t="str">
        <f>B23</f>
        <v>自然及人文环境</v>
      </c>
      <c r="R23" s="772" t="s">
        <v>17</v>
      </c>
      <c r="S23" s="773">
        <f>F23</f>
        <v>100</v>
      </c>
      <c r="T23" s="772" t="s">
        <v>17</v>
      </c>
      <c r="U23" s="773">
        <f>H23</f>
        <v>100</v>
      </c>
      <c r="V23" s="772" t="s">
        <v>17</v>
      </c>
      <c r="W23" s="773">
        <f>J23</f>
        <v>100</v>
      </c>
      <c r="X23" s="1813"/>
      <c r="Y23" s="3225"/>
      <c r="Z23" s="1814" t="str">
        <f>Q23</f>
        <v>自然及人文环境</v>
      </c>
      <c r="AA23" s="1811">
        <f t="shared" si="3"/>
        <v>1</v>
      </c>
      <c r="AB23" s="1811">
        <f t="shared" si="4"/>
        <v>1</v>
      </c>
      <c r="AC23" s="1811">
        <f t="shared" si="5"/>
        <v>1</v>
      </c>
    </row>
    <row r="24" spans="1:29" ht="15">
      <c r="A24" s="427"/>
      <c r="B24" s="455"/>
      <c r="C24" s="446"/>
      <c r="D24" s="447"/>
      <c r="E24" s="2604"/>
      <c r="F24" s="448"/>
      <c r="G24" s="2603"/>
      <c r="H24" s="447"/>
      <c r="I24" s="2604"/>
      <c r="J24" s="447"/>
      <c r="K24" s="614"/>
      <c r="L24" s="1141"/>
      <c r="M24" s="1132"/>
      <c r="N24" s="1132"/>
      <c r="O24" s="1132"/>
      <c r="P24" s="3232"/>
      <c r="Q24" s="1810"/>
      <c r="R24" s="772"/>
      <c r="S24" s="773"/>
      <c r="T24" s="772"/>
      <c r="U24" s="773"/>
      <c r="V24" s="772"/>
      <c r="W24" s="773"/>
      <c r="X24" s="1813"/>
      <c r="Y24" s="3225"/>
      <c r="Z24" s="1814"/>
      <c r="AA24" s="1811">
        <v>1</v>
      </c>
      <c r="AB24" s="1811">
        <v>1</v>
      </c>
      <c r="AC24" s="1811">
        <v>1</v>
      </c>
    </row>
    <row r="25" spans="1:29" ht="15">
      <c r="A25" s="427"/>
      <c r="B25" s="421" t="s">
        <v>2661</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32"/>
      <c r="Q25" s="1810" t="str">
        <f t="shared" ref="Q25:Q46" si="11">B25</f>
        <v>临街状况</v>
      </c>
      <c r="R25" s="772" t="s">
        <v>17</v>
      </c>
      <c r="S25" s="773">
        <f>F25</f>
        <v>100</v>
      </c>
      <c r="T25" s="772" t="s">
        <v>17</v>
      </c>
      <c r="U25" s="773">
        <f>H25</f>
        <v>100</v>
      </c>
      <c r="V25" s="772" t="s">
        <v>17</v>
      </c>
      <c r="W25" s="773">
        <f>J25</f>
        <v>100</v>
      </c>
      <c r="X25" s="1813"/>
      <c r="Y25" s="3225"/>
      <c r="Z25" s="1814" t="str">
        <f>Q25</f>
        <v>临街状况</v>
      </c>
      <c r="AA25" s="1811">
        <f t="shared" si="3"/>
        <v>1</v>
      </c>
      <c r="AB25" s="1811">
        <f t="shared" si="4"/>
        <v>1</v>
      </c>
      <c r="AC25" s="1811">
        <f t="shared" si="5"/>
        <v>1</v>
      </c>
    </row>
    <row r="26" spans="1:29" ht="15">
      <c r="A26" s="427"/>
      <c r="B26" s="1386" t="s">
        <v>2662</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32"/>
      <c r="Q26" s="1810" t="str">
        <f t="shared" si="11"/>
        <v>平面位置/可视性</v>
      </c>
      <c r="R26" s="772" t="s">
        <v>17</v>
      </c>
      <c r="S26" s="773">
        <f>F26</f>
        <v>100</v>
      </c>
      <c r="T26" s="772" t="s">
        <v>17</v>
      </c>
      <c r="U26" s="773">
        <f>H26</f>
        <v>100</v>
      </c>
      <c r="V26" s="772" t="s">
        <v>17</v>
      </c>
      <c r="W26" s="773">
        <f>J26</f>
        <v>100</v>
      </c>
      <c r="X26" s="1813"/>
      <c r="Y26" s="3225"/>
      <c r="Z26" s="1814" t="str">
        <f>Q26</f>
        <v>平面位置/可视性</v>
      </c>
      <c r="AA26" s="1811">
        <f t="shared" si="3"/>
        <v>1</v>
      </c>
      <c r="AB26" s="1811">
        <f t="shared" si="4"/>
        <v>1</v>
      </c>
      <c r="AC26" s="1811">
        <f t="shared" si="5"/>
        <v>1</v>
      </c>
    </row>
    <row r="27" spans="1:29" s="116" customFormat="1" ht="15">
      <c r="A27" s="430"/>
      <c r="B27" s="450" t="s">
        <v>2663</v>
      </c>
      <c r="C27" s="2664"/>
      <c r="D27" s="461">
        <v>100</v>
      </c>
      <c r="E27" s="2664"/>
      <c r="F27" s="463">
        <f>SUMIF(90:90,E27,91:91)-SUMIF(90:90,C27,91:91)+100</f>
        <v>100</v>
      </c>
      <c r="G27" s="2664"/>
      <c r="H27" s="461">
        <f>SUMIF(90:90,G27,91:91)-SUMIF(90:90,C27,91:91)+100</f>
        <v>100</v>
      </c>
      <c r="I27" s="2664"/>
      <c r="J27" s="461">
        <f>SUMIF(90:90,I27,91:91)-SUMIF(90:90,C27,91:91)+100</f>
        <v>100</v>
      </c>
      <c r="K27" s="611"/>
      <c r="L27" s="1133"/>
      <c r="M27" s="1134"/>
      <c r="N27" s="1134"/>
      <c r="O27" s="1134"/>
      <c r="P27" s="3232"/>
      <c r="Q27" s="1795" t="str">
        <f t="shared" si="11"/>
        <v>人流量</v>
      </c>
      <c r="R27" s="768" t="s">
        <v>17</v>
      </c>
      <c r="S27" s="769">
        <f>F27</f>
        <v>100</v>
      </c>
      <c r="T27" s="768" t="s">
        <v>17</v>
      </c>
      <c r="U27" s="769">
        <f>H27</f>
        <v>100</v>
      </c>
      <c r="V27" s="768" t="s">
        <v>17</v>
      </c>
      <c r="W27" s="769">
        <f>J27</f>
        <v>100</v>
      </c>
      <c r="X27" s="770"/>
      <c r="Y27" s="3225"/>
      <c r="Z27" s="54" t="str">
        <f>Q27</f>
        <v>人流量</v>
      </c>
      <c r="AA27" s="1811">
        <f>D27/F27</f>
        <v>1</v>
      </c>
      <c r="AB27" s="1811">
        <f>D27/H27</f>
        <v>1</v>
      </c>
      <c r="AC27" s="1811">
        <f>D27/J27</f>
        <v>1</v>
      </c>
    </row>
    <row r="28" spans="1:29" ht="15">
      <c r="A28" s="427"/>
      <c r="B28" s="421" t="s">
        <v>2664</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32"/>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225"/>
      <c r="Z28" s="1814" t="str">
        <f t="shared" ref="Z28:Z46" si="15">Q28</f>
        <v>楼层</v>
      </c>
      <c r="AA28" s="1811">
        <f t="shared" si="3"/>
        <v>1</v>
      </c>
      <c r="AB28" s="1811">
        <f t="shared" si="4"/>
        <v>1</v>
      </c>
      <c r="AC28" s="1811">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32"/>
      <c r="Q29" s="1810">
        <f t="shared" si="11"/>
        <v>111</v>
      </c>
      <c r="R29" s="772" t="s">
        <v>17</v>
      </c>
      <c r="S29" s="773">
        <f t="shared" si="12"/>
        <v>100</v>
      </c>
      <c r="T29" s="772" t="s">
        <v>17</v>
      </c>
      <c r="U29" s="773">
        <f t="shared" si="13"/>
        <v>100</v>
      </c>
      <c r="V29" s="772" t="s">
        <v>17</v>
      </c>
      <c r="W29" s="773">
        <f t="shared" si="14"/>
        <v>100</v>
      </c>
      <c r="X29" s="1813"/>
      <c r="Y29" s="3225"/>
      <c r="Z29" s="1814">
        <f t="shared" si="15"/>
        <v>111</v>
      </c>
      <c r="AA29" s="1811">
        <f t="shared" si="3"/>
        <v>1</v>
      </c>
      <c r="AB29" s="1811">
        <f t="shared" si="4"/>
        <v>1</v>
      </c>
      <c r="AC29" s="1811">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32"/>
      <c r="Q30" s="1810">
        <f t="shared" si="11"/>
        <v>111</v>
      </c>
      <c r="R30" s="772" t="s">
        <v>17</v>
      </c>
      <c r="S30" s="773">
        <f t="shared" si="12"/>
        <v>100</v>
      </c>
      <c r="T30" s="772" t="s">
        <v>17</v>
      </c>
      <c r="U30" s="773">
        <f t="shared" si="13"/>
        <v>100</v>
      </c>
      <c r="V30" s="772" t="s">
        <v>17</v>
      </c>
      <c r="W30" s="773">
        <f t="shared" si="14"/>
        <v>100</v>
      </c>
      <c r="X30" s="1813"/>
      <c r="Y30" s="3225"/>
      <c r="Z30" s="1814">
        <f t="shared" si="15"/>
        <v>111</v>
      </c>
      <c r="AA30" s="1811">
        <f t="shared" si="3"/>
        <v>1</v>
      </c>
      <c r="AB30" s="1811">
        <f t="shared" si="4"/>
        <v>1</v>
      </c>
      <c r="AC30" s="1811">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32"/>
      <c r="Q31" s="1810">
        <f t="shared" si="11"/>
        <v>111</v>
      </c>
      <c r="R31" s="772" t="s">
        <v>17</v>
      </c>
      <c r="S31" s="773">
        <f t="shared" si="12"/>
        <v>100</v>
      </c>
      <c r="T31" s="772" t="s">
        <v>17</v>
      </c>
      <c r="U31" s="773">
        <f t="shared" si="13"/>
        <v>100</v>
      </c>
      <c r="V31" s="772" t="s">
        <v>17</v>
      </c>
      <c r="W31" s="773">
        <f t="shared" si="14"/>
        <v>100</v>
      </c>
      <c r="X31" s="1813"/>
      <c r="Y31" s="3225"/>
      <c r="Z31" s="1814">
        <f t="shared" si="15"/>
        <v>111</v>
      </c>
      <c r="AA31" s="1811">
        <f t="shared" si="3"/>
        <v>1</v>
      </c>
      <c r="AB31" s="1811">
        <f t="shared" si="4"/>
        <v>1</v>
      </c>
      <c r="AC31" s="1811">
        <f t="shared" si="5"/>
        <v>1</v>
      </c>
    </row>
    <row r="32" spans="1:29" ht="15">
      <c r="A32" s="439" t="s">
        <v>2568</v>
      </c>
      <c r="B32" s="70" t="s">
        <v>2665</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41"/>
      <c r="M32" s="1132"/>
      <c r="N32" s="1132"/>
      <c r="O32" s="1132"/>
      <c r="P32" s="3226" t="s">
        <v>2570</v>
      </c>
      <c r="Q32" s="1810" t="str">
        <f t="shared" si="11"/>
        <v>商业类型</v>
      </c>
      <c r="R32" s="772" t="s">
        <v>17</v>
      </c>
      <c r="S32" s="773">
        <f t="shared" si="12"/>
        <v>100</v>
      </c>
      <c r="T32" s="772" t="s">
        <v>17</v>
      </c>
      <c r="U32" s="773">
        <f t="shared" si="13"/>
        <v>100</v>
      </c>
      <c r="V32" s="772" t="s">
        <v>17</v>
      </c>
      <c r="W32" s="773">
        <f t="shared" si="14"/>
        <v>100</v>
      </c>
      <c r="X32" s="1813"/>
      <c r="Y32" s="3229" t="s">
        <v>2570</v>
      </c>
      <c r="Z32" s="1814" t="str">
        <f t="shared" si="15"/>
        <v>商业类型</v>
      </c>
      <c r="AA32" s="1811">
        <f t="shared" si="3"/>
        <v>1</v>
      </c>
      <c r="AB32" s="1811">
        <f t="shared" si="4"/>
        <v>1</v>
      </c>
      <c r="AC32" s="1811">
        <f t="shared" si="5"/>
        <v>1</v>
      </c>
    </row>
    <row r="33" spans="1:29" s="470" customFormat="1" ht="15">
      <c r="A33" s="467"/>
      <c r="B33" s="421" t="s">
        <v>2571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227"/>
      <c r="Q33" s="774" t="str">
        <f t="shared" si="11"/>
        <v>项目建筑规模</v>
      </c>
      <c r="R33" s="775" t="s">
        <v>17</v>
      </c>
      <c r="S33" s="776" t="e">
        <f t="shared" si="12"/>
        <v>#N/A</v>
      </c>
      <c r="T33" s="775" t="s">
        <v>17</v>
      </c>
      <c r="U33" s="776" t="e">
        <f t="shared" si="13"/>
        <v>#N/A</v>
      </c>
      <c r="V33" s="775" t="s">
        <v>17</v>
      </c>
      <c r="W33" s="776" t="e">
        <f t="shared" si="14"/>
        <v>#N/A</v>
      </c>
      <c r="X33" s="777"/>
      <c r="Y33" s="3229"/>
      <c r="Z33" s="778" t="str">
        <f t="shared" si="15"/>
        <v>项目建筑规模</v>
      </c>
      <c r="AA33" s="1811" t="e">
        <f t="shared" si="3"/>
        <v>#N/A</v>
      </c>
      <c r="AB33" s="1811" t="e">
        <f t="shared" si="4"/>
        <v>#N/A</v>
      </c>
      <c r="AC33" s="1811" t="e">
        <f t="shared" si="5"/>
        <v>#N/A</v>
      </c>
    </row>
    <row r="34" spans="1:29" ht="15">
      <c r="A34" s="471"/>
      <c r="B34" s="421" t="s">
        <v>2572</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1"/>
      <c r="M34" s="1132"/>
      <c r="N34" s="1132"/>
      <c r="O34" s="1132"/>
      <c r="P34" s="3227"/>
      <c r="Q34" s="1810" t="str">
        <f t="shared" si="11"/>
        <v>建筑结构</v>
      </c>
      <c r="R34" s="772" t="s">
        <v>17</v>
      </c>
      <c r="S34" s="773">
        <f t="shared" si="12"/>
        <v>100</v>
      </c>
      <c r="T34" s="772" t="s">
        <v>17</v>
      </c>
      <c r="U34" s="773">
        <f t="shared" si="13"/>
        <v>100</v>
      </c>
      <c r="V34" s="772" t="s">
        <v>17</v>
      </c>
      <c r="W34" s="773">
        <f t="shared" si="14"/>
        <v>100</v>
      </c>
      <c r="X34" s="1813"/>
      <c r="Y34" s="3229"/>
      <c r="Z34" s="1814" t="str">
        <f t="shared" si="15"/>
        <v>建筑结构</v>
      </c>
      <c r="AA34" s="1811">
        <f t="shared" si="3"/>
        <v>1</v>
      </c>
      <c r="AB34" s="1811">
        <f t="shared" si="4"/>
        <v>1</v>
      </c>
      <c r="AC34" s="1811">
        <f t="shared" si="5"/>
        <v>1</v>
      </c>
    </row>
    <row r="35" spans="1:29" ht="15">
      <c r="A35" s="471"/>
      <c r="B35" s="421" t="s">
        <v>2666</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41"/>
      <c r="M35" s="1132"/>
      <c r="N35" s="1132"/>
      <c r="O35" s="1132"/>
      <c r="P35" s="3227"/>
      <c r="Q35" s="1810" t="str">
        <f t="shared" si="11"/>
        <v>公共部分装修</v>
      </c>
      <c r="R35" s="772" t="s">
        <v>17</v>
      </c>
      <c r="S35" s="773">
        <f t="shared" si="12"/>
        <v>100</v>
      </c>
      <c r="T35" s="772" t="s">
        <v>17</v>
      </c>
      <c r="U35" s="773">
        <f t="shared" si="13"/>
        <v>100</v>
      </c>
      <c r="V35" s="772" t="s">
        <v>17</v>
      </c>
      <c r="W35" s="773">
        <f t="shared" si="14"/>
        <v>100</v>
      </c>
      <c r="X35" s="1813"/>
      <c r="Y35" s="3229"/>
      <c r="Z35" s="1814" t="str">
        <f t="shared" si="15"/>
        <v>公共部分装修</v>
      </c>
      <c r="AA35" s="1811">
        <f t="shared" si="3"/>
        <v>1</v>
      </c>
      <c r="AB35" s="1811">
        <f t="shared" si="4"/>
        <v>1</v>
      </c>
      <c r="AC35" s="1811">
        <f t="shared" si="5"/>
        <v>1</v>
      </c>
    </row>
    <row r="36" spans="1:29" ht="15">
      <c r="A36" s="471"/>
      <c r="B36" s="421" t="s">
        <v>2667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27"/>
      <c r="Q36" s="1810" t="str">
        <f t="shared" si="11"/>
        <v>成新度</v>
      </c>
      <c r="R36" s="772" t="s">
        <v>17</v>
      </c>
      <c r="S36" s="773" t="e">
        <f t="shared" si="12"/>
        <v>#N/A</v>
      </c>
      <c r="T36" s="772" t="s">
        <v>17</v>
      </c>
      <c r="U36" s="773" t="e">
        <f t="shared" si="13"/>
        <v>#N/A</v>
      </c>
      <c r="V36" s="772" t="s">
        <v>17</v>
      </c>
      <c r="W36" s="773" t="e">
        <f t="shared" si="14"/>
        <v>#N/A</v>
      </c>
      <c r="X36" s="1813"/>
      <c r="Y36" s="3229"/>
      <c r="Z36" s="1814" t="str">
        <f t="shared" si="15"/>
        <v>成新度</v>
      </c>
      <c r="AA36" s="1811" t="e">
        <f t="shared" si="3"/>
        <v>#N/A</v>
      </c>
      <c r="AB36" s="1811" t="e">
        <f t="shared" si="4"/>
        <v>#N/A</v>
      </c>
      <c r="AC36" s="1811" t="e">
        <f t="shared" si="5"/>
        <v>#N/A</v>
      </c>
    </row>
    <row r="37" spans="1:29" s="116" customFormat="1" ht="15">
      <c r="A37" s="472"/>
      <c r="B37" s="421" t="s">
        <v>2668</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3"/>
      <c r="M37" s="1134"/>
      <c r="N37" s="1134"/>
      <c r="O37" s="1134"/>
      <c r="P37" s="3227"/>
      <c r="Q37" s="1795" t="str">
        <f t="shared" si="11"/>
        <v>市政基础设施</v>
      </c>
      <c r="R37" s="768" t="s">
        <v>17</v>
      </c>
      <c r="S37" s="769">
        <f t="shared" si="12"/>
        <v>100</v>
      </c>
      <c r="T37" s="768" t="s">
        <v>17</v>
      </c>
      <c r="U37" s="769">
        <f t="shared" si="13"/>
        <v>100</v>
      </c>
      <c r="V37" s="768" t="s">
        <v>17</v>
      </c>
      <c r="W37" s="769">
        <f t="shared" si="14"/>
        <v>100</v>
      </c>
      <c r="X37" s="770"/>
      <c r="Y37" s="3229"/>
      <c r="Z37" s="54" t="str">
        <f t="shared" si="15"/>
        <v>市政基础设施</v>
      </c>
      <c r="AA37" s="771">
        <f t="shared" si="3"/>
        <v>1</v>
      </c>
      <c r="AB37" s="771">
        <f t="shared" si="4"/>
        <v>1</v>
      </c>
      <c r="AC37" s="771">
        <f t="shared" si="5"/>
        <v>1</v>
      </c>
    </row>
    <row r="38" spans="1:29" ht="15">
      <c r="A38" s="471"/>
      <c r="B38" s="421" t="s">
        <v>2669</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41"/>
      <c r="M38" s="1132"/>
      <c r="N38" s="1132"/>
      <c r="O38" s="1132"/>
      <c r="P38" s="3227" t="s">
        <v>2570</v>
      </c>
      <c r="Q38" s="1810" t="str">
        <f t="shared" si="11"/>
        <v>业态</v>
      </c>
      <c r="R38" s="772" t="s">
        <v>17</v>
      </c>
      <c r="S38" s="773">
        <f t="shared" si="12"/>
        <v>100</v>
      </c>
      <c r="T38" s="772" t="s">
        <v>17</v>
      </c>
      <c r="U38" s="773">
        <f t="shared" si="13"/>
        <v>100</v>
      </c>
      <c r="V38" s="772" t="s">
        <v>17</v>
      </c>
      <c r="W38" s="773">
        <f t="shared" si="14"/>
        <v>100</v>
      </c>
      <c r="X38" s="1813"/>
      <c r="Y38" s="3229" t="s">
        <v>2570</v>
      </c>
      <c r="Z38" s="1814" t="str">
        <f t="shared" si="15"/>
        <v>业态</v>
      </c>
      <c r="AA38" s="1811">
        <f t="shared" si="3"/>
        <v>1</v>
      </c>
      <c r="AB38" s="1811">
        <f t="shared" si="4"/>
        <v>1</v>
      </c>
      <c r="AC38" s="1811">
        <f t="shared" si="5"/>
        <v>1</v>
      </c>
    </row>
    <row r="39" spans="1:29" ht="15">
      <c r="A39" s="471"/>
      <c r="B39" s="421" t="s">
        <v>2670</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41"/>
      <c r="M39" s="1132"/>
      <c r="N39" s="1132"/>
      <c r="O39" s="1132"/>
      <c r="P39" s="3227"/>
      <c r="Q39" s="1810" t="str">
        <f t="shared" si="11"/>
        <v>层高</v>
      </c>
      <c r="R39" s="772" t="s">
        <v>17</v>
      </c>
      <c r="S39" s="773">
        <f t="shared" si="12"/>
        <v>100</v>
      </c>
      <c r="T39" s="772" t="s">
        <v>17</v>
      </c>
      <c r="U39" s="773">
        <f t="shared" si="13"/>
        <v>100</v>
      </c>
      <c r="V39" s="772" t="s">
        <v>17</v>
      </c>
      <c r="W39" s="773">
        <f t="shared" si="14"/>
        <v>100</v>
      </c>
      <c r="X39" s="1813"/>
      <c r="Y39" s="3229"/>
      <c r="Z39" s="1814" t="str">
        <f t="shared" si="15"/>
        <v>层高</v>
      </c>
      <c r="AA39" s="1811">
        <f t="shared" si="3"/>
        <v>1</v>
      </c>
      <c r="AB39" s="1811">
        <f t="shared" si="4"/>
        <v>1</v>
      </c>
      <c r="AC39" s="1811">
        <f t="shared" si="5"/>
        <v>1</v>
      </c>
    </row>
    <row r="40" spans="1:29" ht="15">
      <c r="A40" s="471"/>
      <c r="B40" s="421" t="s">
        <v>2671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27"/>
      <c r="Q40" s="1810" t="str">
        <f t="shared" si="11"/>
        <v>单套建筑面积</v>
      </c>
      <c r="R40" s="772" t="s">
        <v>17</v>
      </c>
      <c r="S40" s="773">
        <f t="shared" si="12"/>
        <v>100</v>
      </c>
      <c r="T40" s="772" t="s">
        <v>17</v>
      </c>
      <c r="U40" s="773">
        <f t="shared" si="13"/>
        <v>100</v>
      </c>
      <c r="V40" s="772" t="s">
        <v>17</v>
      </c>
      <c r="W40" s="773">
        <f t="shared" si="14"/>
        <v>100</v>
      </c>
      <c r="X40" s="1813"/>
      <c r="Y40" s="3229"/>
      <c r="Z40" s="1814" t="str">
        <f t="shared" si="15"/>
        <v>单套建筑面积</v>
      </c>
      <c r="AA40" s="1811">
        <f t="shared" si="3"/>
        <v>1</v>
      </c>
      <c r="AB40" s="1811">
        <f t="shared" si="4"/>
        <v>1</v>
      </c>
      <c r="AC40" s="1811">
        <f t="shared" si="5"/>
        <v>1</v>
      </c>
    </row>
    <row r="41" spans="1:29" s="470" customFormat="1" ht="15">
      <c r="A41" s="467"/>
      <c r="B41" s="1812" t="s">
        <v>2672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27"/>
      <c r="Q41" s="774" t="str">
        <f t="shared" si="11"/>
        <v>进深比</v>
      </c>
      <c r="R41" s="775" t="s">
        <v>17</v>
      </c>
      <c r="S41" s="776">
        <f t="shared" si="12"/>
        <v>100</v>
      </c>
      <c r="T41" s="775" t="s">
        <v>17</v>
      </c>
      <c r="U41" s="776">
        <f t="shared" si="13"/>
        <v>100</v>
      </c>
      <c r="V41" s="775" t="s">
        <v>17</v>
      </c>
      <c r="W41" s="776">
        <f t="shared" si="14"/>
        <v>100</v>
      </c>
      <c r="X41" s="777"/>
      <c r="Y41" s="3229"/>
      <c r="Z41" s="778" t="str">
        <f t="shared" si="15"/>
        <v>进深比</v>
      </c>
      <c r="AA41" s="1811">
        <f t="shared" si="3"/>
        <v>1</v>
      </c>
      <c r="AB41" s="1811">
        <f t="shared" si="4"/>
        <v>1</v>
      </c>
      <c r="AC41" s="1811">
        <f t="shared" si="5"/>
        <v>1</v>
      </c>
    </row>
    <row r="42" spans="1:29" ht="15">
      <c r="A42" s="471"/>
      <c r="B42" s="421" t="s">
        <v>2673</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41"/>
      <c r="M42" s="1132"/>
      <c r="N42" s="1132"/>
      <c r="O42" s="1132"/>
      <c r="P42" s="3227"/>
      <c r="Q42" s="1810" t="str">
        <f t="shared" si="11"/>
        <v>内部装修</v>
      </c>
      <c r="R42" s="772" t="s">
        <v>17</v>
      </c>
      <c r="S42" s="773">
        <f t="shared" si="12"/>
        <v>100</v>
      </c>
      <c r="T42" s="772" t="s">
        <v>17</v>
      </c>
      <c r="U42" s="773">
        <f t="shared" si="13"/>
        <v>100</v>
      </c>
      <c r="V42" s="772" t="s">
        <v>17</v>
      </c>
      <c r="W42" s="773">
        <f t="shared" si="14"/>
        <v>100</v>
      </c>
      <c r="X42" s="1813"/>
      <c r="Y42" s="3229"/>
      <c r="Z42" s="1814" t="str">
        <f t="shared" si="15"/>
        <v>内部装修</v>
      </c>
      <c r="AA42" s="1811">
        <f t="shared" si="3"/>
        <v>1</v>
      </c>
      <c r="AB42" s="1811">
        <f t="shared" si="4"/>
        <v>1</v>
      </c>
      <c r="AC42" s="1811">
        <f t="shared" si="5"/>
        <v>1</v>
      </c>
    </row>
    <row r="43" spans="1:29" ht="15">
      <c r="A43" s="471"/>
      <c r="B43" s="421" t="s">
        <v>2581</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41"/>
      <c r="M43" s="1132"/>
      <c r="N43" s="1132"/>
      <c r="O43" s="1132"/>
      <c r="P43" s="3227"/>
      <c r="Q43" s="1810" t="str">
        <f t="shared" si="11"/>
        <v>内部装修维护情况</v>
      </c>
      <c r="R43" s="772" t="s">
        <v>17</v>
      </c>
      <c r="S43" s="773">
        <f t="shared" si="12"/>
        <v>100</v>
      </c>
      <c r="T43" s="772" t="s">
        <v>17</v>
      </c>
      <c r="U43" s="773">
        <f t="shared" si="13"/>
        <v>100</v>
      </c>
      <c r="V43" s="772" t="s">
        <v>17</v>
      </c>
      <c r="W43" s="773">
        <f t="shared" si="14"/>
        <v>100</v>
      </c>
      <c r="X43" s="1813"/>
      <c r="Y43" s="3229"/>
      <c r="Z43" s="1814" t="str">
        <f t="shared" si="15"/>
        <v>内部装修维护情况</v>
      </c>
      <c r="AA43" s="1811">
        <f t="shared" si="3"/>
        <v>1</v>
      </c>
      <c r="AB43" s="1811">
        <f t="shared" si="4"/>
        <v>1</v>
      </c>
      <c r="AC43" s="1811">
        <f t="shared" si="5"/>
        <v>1</v>
      </c>
    </row>
    <row r="44" spans="1:29" s="116" customFormat="1" ht="15">
      <c r="A44" s="472"/>
      <c r="B44" s="1386">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27"/>
      <c r="Q44" s="1795">
        <f t="shared" si="11"/>
        <v>111</v>
      </c>
      <c r="R44" s="768" t="s">
        <v>17</v>
      </c>
      <c r="S44" s="769">
        <f t="shared" si="12"/>
        <v>100</v>
      </c>
      <c r="T44" s="768" t="s">
        <v>17</v>
      </c>
      <c r="U44" s="769">
        <f t="shared" si="13"/>
        <v>100</v>
      </c>
      <c r="V44" s="768" t="s">
        <v>17</v>
      </c>
      <c r="W44" s="769">
        <f t="shared" si="14"/>
        <v>100</v>
      </c>
      <c r="X44" s="770"/>
      <c r="Y44" s="3229"/>
      <c r="Z44" s="54">
        <f t="shared" si="15"/>
        <v>111</v>
      </c>
      <c r="AA44" s="771">
        <f t="shared" si="3"/>
        <v>1</v>
      </c>
      <c r="AB44" s="771">
        <f t="shared" si="4"/>
        <v>1</v>
      </c>
      <c r="AC44" s="771">
        <f t="shared" si="5"/>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27"/>
      <c r="Q45" s="1810">
        <f t="shared" si="11"/>
        <v>111</v>
      </c>
      <c r="R45" s="772" t="s">
        <v>17</v>
      </c>
      <c r="S45" s="773">
        <f t="shared" si="12"/>
        <v>100</v>
      </c>
      <c r="T45" s="772" t="s">
        <v>17</v>
      </c>
      <c r="U45" s="773">
        <f t="shared" si="13"/>
        <v>100</v>
      </c>
      <c r="V45" s="772" t="s">
        <v>17</v>
      </c>
      <c r="W45" s="773">
        <f t="shared" si="14"/>
        <v>100</v>
      </c>
      <c r="X45" s="1813"/>
      <c r="Y45" s="3229"/>
      <c r="Z45" s="1814">
        <f t="shared" si="15"/>
        <v>111</v>
      </c>
      <c r="AA45" s="1811">
        <f t="shared" si="3"/>
        <v>1</v>
      </c>
      <c r="AB45" s="1811">
        <f t="shared" si="4"/>
        <v>1</v>
      </c>
      <c r="AC45" s="1811">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28"/>
      <c r="Q46" s="1810">
        <f t="shared" si="11"/>
        <v>111</v>
      </c>
      <c r="R46" s="772" t="s">
        <v>17</v>
      </c>
      <c r="S46" s="773">
        <f t="shared" si="12"/>
        <v>100</v>
      </c>
      <c r="T46" s="772" t="s">
        <v>17</v>
      </c>
      <c r="U46" s="773">
        <f t="shared" si="13"/>
        <v>100</v>
      </c>
      <c r="V46" s="772" t="s">
        <v>17</v>
      </c>
      <c r="W46" s="773">
        <f t="shared" si="14"/>
        <v>100</v>
      </c>
      <c r="X46" s="1813"/>
      <c r="Y46" s="3230"/>
      <c r="Z46" s="1814">
        <f t="shared" si="15"/>
        <v>111</v>
      </c>
      <c r="AA46" s="1811">
        <f t="shared" si="3"/>
        <v>1</v>
      </c>
      <c r="AB46" s="1811">
        <f t="shared" si="4"/>
        <v>1</v>
      </c>
      <c r="AC46" s="1811">
        <f t="shared" si="5"/>
        <v>1</v>
      </c>
    </row>
    <row r="47" spans="1:29" ht="15">
      <c r="A47" s="478" t="s">
        <v>2582</v>
      </c>
      <c r="B47" s="479"/>
      <c r="C47" s="1407" t="s">
        <v>1</v>
      </c>
      <c r="D47" s="1408"/>
      <c r="E47" s="1409"/>
      <c r="F47" s="1410"/>
      <c r="G47" s="1411"/>
      <c r="H47" s="1412"/>
      <c r="I47" s="1409"/>
      <c r="J47" s="1412"/>
      <c r="K47" s="781"/>
      <c r="L47" s="1144"/>
      <c r="M47" s="1145"/>
      <c r="N47" s="1132"/>
      <c r="O47" s="1145"/>
      <c r="P47" s="3222" t="str">
        <f>A47</f>
        <v>成交单价（元/平方米）</v>
      </c>
      <c r="Q47" s="3222"/>
      <c r="R47" s="3217">
        <f>E47</f>
        <v>0</v>
      </c>
      <c r="S47" s="3217"/>
      <c r="T47" s="3217">
        <f>G47</f>
        <v>0</v>
      </c>
      <c r="U47" s="3217"/>
      <c r="V47" s="3217">
        <f>I47</f>
        <v>0</v>
      </c>
      <c r="W47" s="3217"/>
      <c r="X47" s="757"/>
      <c r="Y47" s="779"/>
      <c r="Z47" s="757"/>
      <c r="AA47" s="757"/>
      <c r="AB47" s="757"/>
      <c r="AC47" s="757"/>
    </row>
    <row r="48" spans="1:29" ht="15.75" thickBot="1">
      <c r="A48" s="485" t="s">
        <v>2674</v>
      </c>
      <c r="B48" s="486"/>
      <c r="C48" s="1413" t="e">
        <f>R49</f>
        <v>#DIV/0!</v>
      </c>
      <c r="D48" s="1414"/>
      <c r="E48" s="1415" t="e">
        <f>R48</f>
        <v>#DIV/0!</v>
      </c>
      <c r="F48" s="1415"/>
      <c r="G48" s="1413" t="e">
        <f>T48</f>
        <v>#DIV/0!</v>
      </c>
      <c r="H48" s="1414"/>
      <c r="I48" s="1415" t="e">
        <f>V48</f>
        <v>#DIV/0!</v>
      </c>
      <c r="J48" s="1414"/>
      <c r="K48" s="782"/>
      <c r="L48" s="1144"/>
      <c r="M48" s="1145"/>
      <c r="N48" s="1132"/>
      <c r="O48" s="1145"/>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7"/>
      <c r="Y48" s="757"/>
      <c r="Z48" s="757"/>
      <c r="AA48" s="757"/>
      <c r="AB48" s="757"/>
      <c r="AC48" s="757"/>
    </row>
    <row r="49" spans="1:29" ht="15.75" thickBot="1">
      <c r="A49" s="491" t="s">
        <v>2675</v>
      </c>
      <c r="B49" s="492"/>
      <c r="C49" s="1417" t="e">
        <f>R49</f>
        <v>#DIV/0!</v>
      </c>
      <c r="D49" s="1417"/>
      <c r="E49" s="1417"/>
      <c r="F49" s="1417"/>
      <c r="G49" s="1417"/>
      <c r="H49" s="1417"/>
      <c r="I49" s="1417"/>
      <c r="J49" s="1417"/>
      <c r="K49" s="783"/>
      <c r="L49" s="1144"/>
      <c r="M49" s="1145"/>
      <c r="N49" s="1132"/>
      <c r="O49" s="1145"/>
      <c r="P49" s="3219" t="str">
        <f>A49</f>
        <v>估价对象XX用房的比较价值（楼面单价，元/平方米）</v>
      </c>
      <c r="Q49" s="3220"/>
      <c r="R49" s="3221" t="e">
        <f>IF(F1="售价",ROUND(AVERAGE(R48:V48),0),ROUND(AVERAGE(R48:V48),1))</f>
        <v>#DIV/0!</v>
      </c>
      <c r="S49" s="3221"/>
      <c r="T49" s="3221"/>
      <c r="U49" s="3221"/>
      <c r="V49" s="3221"/>
      <c r="W49" s="322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4"/>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4"/>
      <c r="Q51" s="757"/>
      <c r="R51" s="757"/>
      <c r="S51" s="757"/>
      <c r="T51" s="757"/>
      <c r="U51" s="757"/>
      <c r="V51" s="757"/>
      <c r="W51" s="757"/>
      <c r="X51" s="757"/>
      <c r="Y51" s="757"/>
      <c r="Z51" s="757"/>
      <c r="AA51" s="757"/>
      <c r="AB51" s="757"/>
      <c r="AC51" s="757"/>
    </row>
    <row r="52" spans="1:29" ht="13.5" customHeight="1">
      <c r="A52" s="1145"/>
      <c r="B52" s="1145"/>
      <c r="C52" s="496" t="s">
        <v>2676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7"/>
      <c r="R52" s="757"/>
      <c r="S52" s="757"/>
      <c r="T52" s="757"/>
      <c r="U52" s="757"/>
      <c r="V52" s="757"/>
      <c r="W52" s="757"/>
      <c r="X52" s="757"/>
      <c r="Y52" s="757"/>
      <c r="Z52" s="757"/>
      <c r="AA52" s="757"/>
      <c r="AB52" s="757"/>
      <c r="AC52" s="757"/>
    </row>
    <row r="53" spans="1:29" ht="13.5" customHeight="1">
      <c r="A53" s="1145"/>
      <c r="B53" s="1145"/>
      <c r="C53" s="496" t="s">
        <v>2677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7"/>
      <c r="R53" s="757"/>
      <c r="S53" s="757"/>
      <c r="T53" s="757"/>
      <c r="U53" s="757"/>
      <c r="V53" s="757"/>
      <c r="W53" s="757"/>
      <c r="X53" s="757"/>
      <c r="Y53" s="757"/>
      <c r="Z53" s="757"/>
      <c r="AA53" s="757"/>
      <c r="AB53" s="757"/>
      <c r="AC53" s="757"/>
    </row>
    <row r="54" spans="1:29" s="501" customFormat="1" ht="13.5" customHeight="1">
      <c r="A54" s="1146"/>
      <c r="B54" s="1146"/>
      <c r="C54" s="496" t="s">
        <v>2678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5"/>
      <c r="Q54" s="758"/>
      <c r="R54" s="758"/>
      <c r="S54" s="758"/>
      <c r="T54" s="758"/>
      <c r="U54" s="758"/>
      <c r="V54" s="758"/>
      <c r="W54" s="758"/>
      <c r="X54" s="758"/>
      <c r="Y54" s="758"/>
      <c r="Z54" s="758"/>
      <c r="AA54" s="758"/>
      <c r="AB54" s="758"/>
      <c r="AC54" s="758"/>
    </row>
    <row r="55" spans="1:29" s="501" customFormat="1">
      <c r="A55" s="1146"/>
      <c r="B55" s="1147"/>
      <c r="C55" s="1151"/>
      <c r="D55" s="1146"/>
      <c r="E55" s="1146"/>
      <c r="F55" s="1146"/>
      <c r="G55" s="1146"/>
      <c r="H55" s="1146"/>
      <c r="I55" s="1146"/>
      <c r="J55" s="1146"/>
      <c r="K55" s="1149"/>
      <c r="L55" s="1150"/>
      <c r="M55" s="1146"/>
      <c r="N55" s="1146"/>
      <c r="O55" s="1146"/>
      <c r="P55" s="2665"/>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4"/>
      <c r="Q56" s="757"/>
      <c r="R56" s="757"/>
      <c r="S56" s="757"/>
      <c r="T56" s="757"/>
      <c r="U56" s="757"/>
      <c r="V56" s="757"/>
      <c r="W56" s="757"/>
      <c r="X56" s="757"/>
      <c r="Y56" s="757"/>
      <c r="Z56" s="757"/>
      <c r="AA56" s="757"/>
      <c r="AB56" s="757"/>
      <c r="AC56" s="757"/>
    </row>
    <row r="57" spans="1:29" ht="21.75" thickBot="1">
      <c r="A57" s="761" t="s">
        <v>2679</v>
      </c>
      <c r="B57" s="757"/>
      <c r="C57" s="762"/>
      <c r="D57" s="762"/>
      <c r="E57" s="762"/>
      <c r="F57" s="763"/>
      <c r="G57" s="763"/>
      <c r="H57" s="762"/>
      <c r="I57" s="762"/>
      <c r="J57" s="762"/>
      <c r="K57" s="764"/>
      <c r="L57" s="1162"/>
      <c r="M57" s="1160"/>
      <c r="N57" s="1160"/>
      <c r="O57" s="1160"/>
      <c r="P57" s="2666"/>
      <c r="Q57" s="2667"/>
      <c r="R57" s="757"/>
      <c r="S57" s="757"/>
      <c r="T57" s="757"/>
      <c r="U57" s="757"/>
      <c r="V57" s="757"/>
      <c r="W57" s="757"/>
      <c r="X57" s="757"/>
      <c r="Y57" s="757"/>
      <c r="Z57" s="757"/>
      <c r="AA57" s="757"/>
      <c r="AB57" s="757"/>
      <c r="AC57" s="757"/>
    </row>
    <row r="58" spans="1:29" s="507" customFormat="1" ht="15">
      <c r="A58" s="504" t="s">
        <v>2553</v>
      </c>
      <c r="B58" s="505"/>
      <c r="C58" s="1574" t="str">
        <f>YEAR(C7)&amp;"-"&amp;MONTH(C7)</f>
        <v>2018-11</v>
      </c>
      <c r="D58" s="1575">
        <f>EDATE(C58,-1)</f>
        <v>43374</v>
      </c>
      <c r="E58" s="1575">
        <f t="shared" ref="E58:N58" si="16">EDATE(D58,-1)</f>
        <v>43344</v>
      </c>
      <c r="F58" s="1575">
        <f t="shared" si="16"/>
        <v>43313</v>
      </c>
      <c r="G58" s="1575">
        <f t="shared" si="16"/>
        <v>43282</v>
      </c>
      <c r="H58" s="1575">
        <f t="shared" si="16"/>
        <v>43252</v>
      </c>
      <c r="I58" s="1575">
        <f t="shared" si="16"/>
        <v>43221</v>
      </c>
      <c r="J58" s="1575">
        <f t="shared" si="16"/>
        <v>43191</v>
      </c>
      <c r="K58" s="1575">
        <f t="shared" si="16"/>
        <v>43160</v>
      </c>
      <c r="L58" s="1575">
        <f t="shared" si="16"/>
        <v>43132</v>
      </c>
      <c r="M58" s="1575">
        <f t="shared" si="16"/>
        <v>43101</v>
      </c>
      <c r="N58" s="1575">
        <f t="shared" si="16"/>
        <v>43070</v>
      </c>
      <c r="O58" s="1575">
        <f>EDATE(N58,-1)</f>
        <v>43040</v>
      </c>
      <c r="P58" s="1570"/>
    </row>
    <row r="59" spans="1:29" s="116" customFormat="1" ht="15">
      <c r="A59" s="508"/>
      <c r="B59" s="509"/>
      <c r="C59" s="1573">
        <v>100</v>
      </c>
      <c r="D59" s="511"/>
      <c r="E59" s="511"/>
      <c r="F59" s="511"/>
      <c r="G59" s="511"/>
      <c r="H59" s="511"/>
      <c r="I59" s="511"/>
      <c r="J59" s="511"/>
      <c r="K59" s="511"/>
      <c r="L59" s="511"/>
      <c r="M59" s="512"/>
      <c r="N59" s="511"/>
      <c r="O59" s="512"/>
      <c r="P59" s="2627"/>
    </row>
    <row r="60" spans="1:29" s="116" customFormat="1" ht="15.75" thickBot="1">
      <c r="A60" s="514" t="s">
        <v>2590</v>
      </c>
      <c r="B60" s="515"/>
      <c r="C60" s="516"/>
      <c r="D60" s="517"/>
      <c r="E60" s="517"/>
      <c r="F60" s="517"/>
      <c r="G60" s="517"/>
      <c r="H60" s="517"/>
      <c r="I60" s="517"/>
      <c r="J60" s="517"/>
      <c r="K60" s="517"/>
      <c r="L60" s="517"/>
      <c r="M60" s="518"/>
      <c r="N60" s="517"/>
      <c r="O60" s="518"/>
      <c r="P60" s="2627"/>
      <c r="Q60" s="503"/>
    </row>
    <row r="61" spans="1:29" s="116" customFormat="1" ht="15">
      <c r="A61" s="520" t="s">
        <v>2555</v>
      </c>
      <c r="B61" s="509"/>
      <c r="C61" s="521" t="s">
        <v>2657</v>
      </c>
      <c r="D61" s="522"/>
      <c r="E61" s="522"/>
      <c r="F61" s="522"/>
      <c r="G61" s="522"/>
      <c r="H61" s="522"/>
      <c r="I61" s="522"/>
      <c r="J61" s="522"/>
      <c r="K61" s="522"/>
      <c r="L61" s="523"/>
      <c r="M61" s="524"/>
      <c r="N61" s="1152"/>
      <c r="O61" s="1152"/>
      <c r="P61" s="2628"/>
      <c r="Q61" s="503"/>
    </row>
    <row r="62" spans="1:29" s="116" customFormat="1" ht="15.75" thickBot="1">
      <c r="A62" s="520"/>
      <c r="B62" s="509"/>
      <c r="C62" s="510">
        <v>100</v>
      </c>
      <c r="D62" s="511"/>
      <c r="E62" s="511"/>
      <c r="F62" s="511"/>
      <c r="G62" s="511"/>
      <c r="H62" s="511"/>
      <c r="I62" s="511"/>
      <c r="J62" s="511"/>
      <c r="K62" s="511"/>
      <c r="L62" s="511"/>
      <c r="M62" s="513"/>
      <c r="N62" s="1152"/>
      <c r="O62" s="1152"/>
      <c r="P62" s="2627"/>
      <c r="Q62" s="503"/>
    </row>
    <row r="63" spans="1:29">
      <c r="A63" s="526" t="s">
        <v>2593</v>
      </c>
      <c r="B63" s="527" t="s">
        <v>2559</v>
      </c>
      <c r="C63" s="528">
        <f>C9</f>
        <v>0</v>
      </c>
      <c r="D63" s="529"/>
      <c r="E63" s="529"/>
      <c r="F63" s="529"/>
      <c r="G63" s="529"/>
      <c r="H63" s="529"/>
      <c r="I63" s="529"/>
      <c r="J63" s="529"/>
      <c r="K63" s="530"/>
      <c r="L63" s="531"/>
      <c r="M63" s="532"/>
      <c r="N63" s="1153"/>
      <c r="O63" s="1153"/>
      <c r="P63" s="2629"/>
      <c r="Q63" s="503"/>
    </row>
    <row r="64" spans="1:29" ht="15.75" thickBot="1">
      <c r="A64" s="533"/>
      <c r="B64" s="534"/>
      <c r="C64" s="535">
        <v>100</v>
      </c>
      <c r="D64" s="535"/>
      <c r="E64" s="535"/>
      <c r="F64" s="535"/>
      <c r="G64" s="535"/>
      <c r="H64" s="535"/>
      <c r="I64" s="535"/>
      <c r="J64" s="535"/>
      <c r="K64" s="535"/>
      <c r="L64" s="535"/>
      <c r="M64" s="536"/>
      <c r="N64" s="1154"/>
      <c r="O64" s="1154"/>
      <c r="P64" s="2629"/>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3"/>
      <c r="O65" s="1153"/>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29"/>
      <c r="Q66" s="503"/>
    </row>
    <row r="67" spans="1:17" ht="15.75" thickTop="1">
      <c r="A67" s="533"/>
      <c r="B67" s="545" t="s">
        <v>2563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29"/>
      <c r="Q67" s="503"/>
    </row>
    <row r="68" spans="1:17" ht="15">
      <c r="A68" s="533"/>
      <c r="B68" s="547"/>
      <c r="C68" s="548"/>
      <c r="D68" s="548"/>
      <c r="E68" s="548"/>
      <c r="F68" s="548"/>
      <c r="G68" s="548"/>
      <c r="H68" s="548"/>
      <c r="I68" s="548"/>
      <c r="J68" s="548"/>
      <c r="K68" s="549"/>
      <c r="L68" s="550"/>
      <c r="M68" s="551"/>
      <c r="N68" s="1153"/>
      <c r="O68" s="1153"/>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29"/>
      <c r="Q69" s="503"/>
    </row>
    <row r="70" spans="1:17" s="470" customFormat="1" ht="15.75" thickTop="1">
      <c r="A70" s="552"/>
      <c r="B70" s="537">
        <f>B12</f>
        <v>111</v>
      </c>
      <c r="C70" s="553"/>
      <c r="D70" s="553"/>
      <c r="E70" s="553"/>
      <c r="F70" s="553"/>
      <c r="G70" s="553"/>
      <c r="H70" s="554"/>
      <c r="I70" s="554"/>
      <c r="J70" s="554"/>
      <c r="K70" s="554"/>
      <c r="L70" s="555"/>
      <c r="M70" s="556"/>
      <c r="N70" s="1155"/>
      <c r="O70" s="1155"/>
      <c r="P70" s="2630"/>
      <c r="Q70" s="558"/>
    </row>
    <row r="71" spans="1:17" s="470" customFormat="1" ht="15.75" thickBot="1">
      <c r="A71" s="552"/>
      <c r="B71" s="542"/>
      <c r="C71" s="559"/>
      <c r="D71" s="535"/>
      <c r="E71" s="535"/>
      <c r="F71" s="535"/>
      <c r="G71" s="535"/>
      <c r="H71" s="535"/>
      <c r="I71" s="535"/>
      <c r="J71" s="535"/>
      <c r="K71" s="535"/>
      <c r="L71" s="535"/>
      <c r="M71" s="536"/>
      <c r="N71" s="1154"/>
      <c r="O71" s="1154"/>
      <c r="P71" s="2630"/>
      <c r="Q71" s="558"/>
    </row>
    <row r="72" spans="1:17" s="470" customFormat="1" ht="15.75" thickTop="1">
      <c r="A72" s="552"/>
      <c r="B72" s="537">
        <f>B13</f>
        <v>111</v>
      </c>
      <c r="C72" s="553"/>
      <c r="D72" s="553"/>
      <c r="E72" s="553"/>
      <c r="F72" s="553"/>
      <c r="G72" s="553"/>
      <c r="H72" s="554"/>
      <c r="I72" s="554"/>
      <c r="J72" s="554"/>
      <c r="K72" s="554"/>
      <c r="L72" s="555"/>
      <c r="M72" s="556"/>
      <c r="N72" s="1155"/>
      <c r="O72" s="1155"/>
      <c r="P72" s="2631"/>
      <c r="Q72" s="560"/>
    </row>
    <row r="73" spans="1:17" s="470" customFormat="1" ht="15.75" thickBot="1">
      <c r="A73" s="552"/>
      <c r="B73" s="542"/>
      <c r="C73" s="559"/>
      <c r="D73" s="535"/>
      <c r="E73" s="535"/>
      <c r="F73" s="535"/>
      <c r="G73" s="559"/>
      <c r="H73" s="561"/>
      <c r="I73" s="561"/>
      <c r="J73" s="561"/>
      <c r="K73" s="561"/>
      <c r="L73" s="561"/>
      <c r="M73" s="562"/>
      <c r="N73" s="1155"/>
      <c r="O73" s="1155"/>
      <c r="P73" s="2630"/>
      <c r="Q73" s="558"/>
    </row>
    <row r="74" spans="1:17" s="470" customFormat="1" ht="15.75" thickTop="1">
      <c r="A74" s="552"/>
      <c r="B74" s="545">
        <f>B14</f>
        <v>111</v>
      </c>
      <c r="C74" s="553"/>
      <c r="D74" s="553"/>
      <c r="E74" s="553"/>
      <c r="F74" s="553"/>
      <c r="G74" s="522"/>
      <c r="H74" s="563"/>
      <c r="I74" s="563"/>
      <c r="J74" s="563"/>
      <c r="K74" s="563"/>
      <c r="L74" s="564"/>
      <c r="M74" s="565"/>
      <c r="N74" s="1155"/>
      <c r="O74" s="1155"/>
      <c r="P74" s="2632"/>
      <c r="Q74" s="558"/>
    </row>
    <row r="75" spans="1:17" s="470" customFormat="1" ht="15.75" thickBot="1">
      <c r="A75" s="567"/>
      <c r="B75" s="568"/>
      <c r="C75" s="569"/>
      <c r="D75" s="569"/>
      <c r="E75" s="569"/>
      <c r="F75" s="569"/>
      <c r="G75" s="569"/>
      <c r="H75" s="570"/>
      <c r="I75" s="570"/>
      <c r="J75" s="570"/>
      <c r="K75" s="570"/>
      <c r="L75" s="570"/>
      <c r="M75" s="571"/>
      <c r="N75" s="1155"/>
      <c r="O75" s="1155"/>
      <c r="P75" s="2630"/>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3"/>
      <c r="O76" s="1153"/>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9"/>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3"/>
      <c r="O78" s="1153"/>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9"/>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3"/>
      <c r="O80" s="1153"/>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9"/>
      <c r="Q81" s="503"/>
    </row>
    <row r="82" spans="1:17" ht="15.75" thickTop="1">
      <c r="A82" s="533"/>
      <c r="B82" s="545" t="s">
        <v>2660</v>
      </c>
      <c r="C82" s="659" t="s">
        <v>2680</v>
      </c>
      <c r="D82" s="659" t="s">
        <v>2681</v>
      </c>
      <c r="E82" s="659" t="s">
        <v>2682</v>
      </c>
      <c r="F82" s="659" t="s">
        <v>2683</v>
      </c>
      <c r="G82" s="659" t="s">
        <v>2684</v>
      </c>
      <c r="H82" s="538"/>
      <c r="I82" s="538"/>
      <c r="J82" s="538"/>
      <c r="K82" s="538"/>
      <c r="L82" s="538"/>
      <c r="M82" s="1382"/>
      <c r="N82" s="1154"/>
      <c r="O82" s="1154"/>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29"/>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3"/>
      <c r="O84" s="1153"/>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9"/>
      <c r="Q85" s="503"/>
    </row>
    <row r="86" spans="1:17" s="116" customFormat="1" ht="15.75" thickTop="1">
      <c r="A86" s="578"/>
      <c r="B86" s="537" t="s">
        <v>2685</v>
      </c>
      <c r="C86" s="553"/>
      <c r="D86" s="553"/>
      <c r="E86" s="553"/>
      <c r="F86" s="553"/>
      <c r="G86" s="553"/>
      <c r="H86" s="553"/>
      <c r="I86" s="553"/>
      <c r="J86" s="553"/>
      <c r="K86" s="553"/>
      <c r="L86" s="579"/>
      <c r="M86" s="580"/>
      <c r="N86" s="1152"/>
      <c r="O86" s="1152"/>
      <c r="P86" s="2629"/>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29"/>
      <c r="Q87" s="503"/>
    </row>
    <row r="88" spans="1:17" s="116" customFormat="1" ht="15.75" thickTop="1">
      <c r="A88" s="578"/>
      <c r="B88" s="537" t="str">
        <f>B26</f>
        <v>平面位置/可视性</v>
      </c>
      <c r="C88" s="553"/>
      <c r="D88" s="553"/>
      <c r="E88" s="553"/>
      <c r="F88" s="2634"/>
      <c r="G88" s="553"/>
      <c r="H88" s="553"/>
      <c r="I88" s="553"/>
      <c r="J88" s="553"/>
      <c r="K88" s="553"/>
      <c r="L88" s="553"/>
      <c r="M88" s="580"/>
      <c r="N88" s="1152"/>
      <c r="O88" s="1152"/>
      <c r="P88" s="2629"/>
      <c r="Q88" s="503"/>
    </row>
    <row r="89" spans="1:17" s="116" customFormat="1" ht="15.75" thickBot="1">
      <c r="A89" s="578"/>
      <c r="B89" s="542"/>
      <c r="C89" s="559"/>
      <c r="D89" s="535"/>
      <c r="E89" s="535"/>
      <c r="F89" s="535"/>
      <c r="G89" s="535"/>
      <c r="H89" s="535"/>
      <c r="I89" s="535"/>
      <c r="J89" s="535"/>
      <c r="K89" s="535"/>
      <c r="L89" s="535"/>
      <c r="M89" s="535"/>
      <c r="N89" s="1154"/>
      <c r="O89" s="1154"/>
      <c r="P89" s="2629"/>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0"/>
      <c r="Q91" s="558"/>
    </row>
    <row r="92" spans="1:17" ht="15.75" thickTop="1">
      <c r="A92" s="533"/>
      <c r="B92" s="537" t="str">
        <f>B28</f>
        <v>楼层</v>
      </c>
      <c r="C92" s="553"/>
      <c r="D92" s="553"/>
      <c r="E92" s="553"/>
      <c r="F92" s="553"/>
      <c r="G92" s="553"/>
      <c r="H92" s="553"/>
      <c r="I92" s="553"/>
      <c r="J92" s="553"/>
      <c r="K92" s="553"/>
      <c r="L92" s="579"/>
      <c r="M92" s="580"/>
      <c r="N92" s="1153"/>
      <c r="O92" s="1153"/>
      <c r="P92" s="2629"/>
      <c r="Q92" s="503"/>
    </row>
    <row r="93" spans="1:17" ht="15.75" thickBot="1">
      <c r="A93" s="533"/>
      <c r="B93" s="542"/>
      <c r="C93" s="535"/>
      <c r="D93" s="535"/>
      <c r="E93" s="535"/>
      <c r="F93" s="535"/>
      <c r="G93" s="535"/>
      <c r="H93" s="535"/>
      <c r="I93" s="535"/>
      <c r="J93" s="535"/>
      <c r="K93" s="535"/>
      <c r="L93" s="535"/>
      <c r="M93" s="536"/>
      <c r="N93" s="1154"/>
      <c r="O93" s="1154"/>
      <c r="P93" s="2629"/>
      <c r="Q93" s="503"/>
    </row>
    <row r="94" spans="1:17" ht="15.75" thickTop="1">
      <c r="A94" s="533"/>
      <c r="B94" s="537">
        <f>B29</f>
        <v>111</v>
      </c>
      <c r="C94" s="553"/>
      <c r="D94" s="553"/>
      <c r="E94" s="553"/>
      <c r="F94" s="553"/>
      <c r="G94" s="582"/>
      <c r="H94" s="582"/>
      <c r="I94" s="582"/>
      <c r="J94" s="582"/>
      <c r="K94" s="583"/>
      <c r="L94" s="584"/>
      <c r="M94" s="585"/>
      <c r="N94" s="1153"/>
      <c r="O94" s="1153"/>
      <c r="P94" s="2629"/>
      <c r="Q94" s="503"/>
    </row>
    <row r="95" spans="1:17" ht="15.75" thickBot="1">
      <c r="A95" s="533"/>
      <c r="B95" s="542"/>
      <c r="C95" s="559"/>
      <c r="D95" s="535"/>
      <c r="E95" s="535"/>
      <c r="F95" s="535"/>
      <c r="G95" s="535"/>
      <c r="H95" s="535"/>
      <c r="I95" s="535"/>
      <c r="J95" s="535"/>
      <c r="K95" s="535"/>
      <c r="L95" s="535"/>
      <c r="M95" s="536"/>
      <c r="N95" s="1154"/>
      <c r="O95" s="1154"/>
      <c r="P95" s="2629"/>
      <c r="Q95" s="503"/>
    </row>
    <row r="96" spans="1:17" ht="15.75" thickTop="1">
      <c r="A96" s="533"/>
      <c r="B96" s="537">
        <f>B30</f>
        <v>111</v>
      </c>
      <c r="C96" s="553"/>
      <c r="D96" s="553"/>
      <c r="E96" s="553"/>
      <c r="F96" s="553"/>
      <c r="G96" s="582"/>
      <c r="H96" s="582"/>
      <c r="I96" s="582"/>
      <c r="J96" s="582"/>
      <c r="K96" s="583"/>
      <c r="L96" s="584"/>
      <c r="M96" s="585"/>
      <c r="N96" s="1153"/>
      <c r="O96" s="1153"/>
      <c r="P96" s="2629"/>
      <c r="Q96" s="503"/>
    </row>
    <row r="97" spans="1:17" ht="15.75" thickBot="1">
      <c r="A97" s="533"/>
      <c r="B97" s="542"/>
      <c r="C97" s="559"/>
      <c r="D97" s="535"/>
      <c r="E97" s="535"/>
      <c r="F97" s="535"/>
      <c r="G97" s="535"/>
      <c r="H97" s="535"/>
      <c r="I97" s="535"/>
      <c r="J97" s="535"/>
      <c r="K97" s="535"/>
      <c r="L97" s="535"/>
      <c r="M97" s="536"/>
      <c r="N97" s="1154"/>
      <c r="O97" s="1154"/>
      <c r="P97" s="2629"/>
      <c r="Q97" s="503"/>
    </row>
    <row r="98" spans="1:17" ht="15.75" thickTop="1">
      <c r="A98" s="533"/>
      <c r="B98" s="545">
        <f>B31</f>
        <v>111</v>
      </c>
      <c r="C98" s="553"/>
      <c r="D98" s="553"/>
      <c r="E98" s="553"/>
      <c r="F98" s="553"/>
      <c r="G98" s="586"/>
      <c r="H98" s="586"/>
      <c r="I98" s="586"/>
      <c r="J98" s="586"/>
      <c r="K98" s="587"/>
      <c r="L98" s="588"/>
      <c r="M98" s="589"/>
      <c r="N98" s="1153"/>
      <c r="O98" s="1153"/>
      <c r="P98" s="2629"/>
      <c r="Q98" s="503"/>
    </row>
    <row r="99" spans="1:17" ht="15.75" thickBot="1">
      <c r="A99" s="2635"/>
      <c r="B99" s="568"/>
      <c r="C99" s="569"/>
      <c r="D99" s="569"/>
      <c r="E99" s="569"/>
      <c r="F99" s="569"/>
      <c r="G99" s="590"/>
      <c r="H99" s="590"/>
      <c r="I99" s="590"/>
      <c r="J99" s="590"/>
      <c r="K99" s="590"/>
      <c r="L99" s="590"/>
      <c r="M99" s="591"/>
      <c r="N99" s="1154"/>
      <c r="O99" s="1154"/>
      <c r="P99" s="2629"/>
      <c r="Q99" s="503"/>
    </row>
    <row r="100" spans="1:17">
      <c r="A100" s="526" t="s">
        <v>2568</v>
      </c>
      <c r="B100" s="527" t="s">
        <v>2686</v>
      </c>
      <c r="C100" s="529"/>
      <c r="D100" s="529"/>
      <c r="E100" s="529"/>
      <c r="F100" s="529"/>
      <c r="G100" s="529"/>
      <c r="H100" s="529"/>
      <c r="I100" s="529"/>
      <c r="J100" s="529"/>
      <c r="K100" s="530"/>
      <c r="L100" s="531"/>
      <c r="M100" s="532"/>
      <c r="N100" s="1153"/>
      <c r="O100" s="1153"/>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29"/>
      <c r="Q101" s="503"/>
    </row>
    <row r="102" spans="1:17" ht="15.75" thickTop="1">
      <c r="A102" s="533"/>
      <c r="B102" s="537" t="s">
        <v>2618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29"/>
      <c r="Q102" s="503"/>
    </row>
    <row r="103" spans="1:17" s="470" customFormat="1">
      <c r="A103" s="592"/>
      <c r="B103" s="593"/>
      <c r="C103" s="594"/>
      <c r="D103" s="594"/>
      <c r="E103" s="594"/>
      <c r="F103" s="594"/>
      <c r="G103" s="594"/>
      <c r="H103" s="594"/>
      <c r="I103" s="594"/>
      <c r="J103" s="595"/>
      <c r="K103" s="595"/>
      <c r="L103" s="596"/>
      <c r="M103" s="597"/>
      <c r="N103" s="1155"/>
      <c r="O103" s="1155"/>
      <c r="P103" s="2630"/>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0"/>
      <c r="Q104" s="558"/>
    </row>
    <row r="105" spans="1:17" ht="15" thickTop="1">
      <c r="A105" s="598"/>
      <c r="B105" s="537" t="s">
        <v>2619</v>
      </c>
      <c r="C105" s="553"/>
      <c r="D105" s="553"/>
      <c r="E105" s="582"/>
      <c r="F105" s="582"/>
      <c r="G105" s="582"/>
      <c r="H105" s="582"/>
      <c r="I105" s="582"/>
      <c r="J105" s="582"/>
      <c r="K105" s="583"/>
      <c r="L105" s="584"/>
      <c r="M105" s="585"/>
      <c r="N105" s="1153"/>
      <c r="O105" s="1153"/>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29"/>
      <c r="Q106" s="503"/>
    </row>
    <row r="107" spans="1:17" ht="15" thickTop="1">
      <c r="A107" s="598"/>
      <c r="B107" s="537" t="s">
        <v>2621</v>
      </c>
      <c r="C107" s="553"/>
      <c r="D107" s="553"/>
      <c r="E107" s="553"/>
      <c r="F107" s="582"/>
      <c r="G107" s="582"/>
      <c r="H107" s="582"/>
      <c r="I107" s="582"/>
      <c r="J107" s="582"/>
      <c r="K107" s="583"/>
      <c r="L107" s="584"/>
      <c r="M107" s="585"/>
      <c r="N107" s="1153"/>
      <c r="O107" s="1153"/>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29"/>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29"/>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29"/>
      <c r="Q111" s="503"/>
    </row>
    <row r="112" spans="1:17" s="470" customFormat="1" ht="15" thickTop="1">
      <c r="A112" s="592"/>
      <c r="B112" s="537" t="s">
        <v>2623</v>
      </c>
      <c r="C112" s="553"/>
      <c r="D112" s="553"/>
      <c r="E112" s="553"/>
      <c r="F112" s="553"/>
      <c r="G112" s="553"/>
      <c r="H112" s="582"/>
      <c r="I112" s="582"/>
      <c r="J112" s="582"/>
      <c r="K112" s="583"/>
      <c r="L112" s="584"/>
      <c r="M112" s="585"/>
      <c r="N112" s="1155"/>
      <c r="O112" s="1155"/>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0"/>
      <c r="Q113" s="558"/>
    </row>
    <row r="114" spans="1:17" ht="15" thickTop="1">
      <c r="A114" s="598"/>
      <c r="B114" s="537" t="s">
        <v>2687</v>
      </c>
      <c r="C114" s="553"/>
      <c r="D114" s="553"/>
      <c r="E114" s="582"/>
      <c r="F114" s="582"/>
      <c r="G114" s="582"/>
      <c r="H114" s="582"/>
      <c r="I114" s="582"/>
      <c r="J114" s="582"/>
      <c r="K114" s="583"/>
      <c r="L114" s="584"/>
      <c r="M114" s="585"/>
      <c r="N114" s="1153"/>
      <c r="O114" s="1153"/>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29"/>
      <c r="Q115" s="503"/>
    </row>
    <row r="116" spans="1:17" ht="15" thickTop="1">
      <c r="A116" s="598"/>
      <c r="B116" s="537" t="s">
        <v>2688</v>
      </c>
      <c r="C116" s="553"/>
      <c r="D116" s="553"/>
      <c r="E116" s="553"/>
      <c r="F116" s="553"/>
      <c r="G116" s="553"/>
      <c r="H116" s="582"/>
      <c r="I116" s="582"/>
      <c r="J116" s="582"/>
      <c r="K116" s="583"/>
      <c r="L116" s="584"/>
      <c r="M116" s="585"/>
      <c r="N116" s="1153"/>
      <c r="O116" s="1153"/>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9"/>
      <c r="Q117" s="503"/>
    </row>
    <row r="118" spans="1:17" ht="15" thickTop="1">
      <c r="A118" s="598"/>
      <c r="B118" s="537" t="s">
        <v>2689</v>
      </c>
      <c r="C118" s="626"/>
      <c r="D118" s="626"/>
      <c r="E118" s="626"/>
      <c r="F118" s="626"/>
      <c r="G118" s="626"/>
      <c r="H118" s="554"/>
      <c r="I118" s="554"/>
      <c r="J118" s="554"/>
      <c r="K118" s="554"/>
      <c r="L118" s="555"/>
      <c r="M118" s="556"/>
      <c r="N118" s="1153"/>
      <c r="O118" s="1153"/>
      <c r="P118" s="2629"/>
      <c r="Q118" s="503"/>
    </row>
    <row r="119" spans="1:17" ht="15.75" thickBot="1">
      <c r="A119" s="533"/>
      <c r="B119" s="542"/>
      <c r="C119" s="559"/>
      <c r="D119" s="535"/>
      <c r="E119" s="535"/>
      <c r="F119" s="535"/>
      <c r="G119" s="535"/>
      <c r="H119" s="535"/>
      <c r="I119" s="535"/>
      <c r="J119" s="535"/>
      <c r="K119" s="535"/>
      <c r="L119" s="535"/>
      <c r="M119" s="536"/>
      <c r="N119" s="1154"/>
      <c r="O119" s="1154"/>
      <c r="P119" s="2629"/>
      <c r="Q119" s="503"/>
    </row>
    <row r="120" spans="1:17" s="470" customFormat="1" ht="15" thickTop="1">
      <c r="A120" s="592"/>
      <c r="B120" s="537" t="s">
        <v>2690</v>
      </c>
      <c r="C120" s="582"/>
      <c r="D120" s="582"/>
      <c r="E120" s="582"/>
      <c r="F120" s="582"/>
      <c r="G120" s="554"/>
      <c r="H120" s="554"/>
      <c r="I120" s="554"/>
      <c r="J120" s="554"/>
      <c r="K120" s="554"/>
      <c r="L120" s="555"/>
      <c r="M120" s="556"/>
      <c r="N120" s="1155"/>
      <c r="O120" s="1155"/>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0"/>
      <c r="Q121" s="558"/>
    </row>
    <row r="122" spans="1:17" ht="15" thickTop="1">
      <c r="A122" s="598"/>
      <c r="B122" s="537" t="s">
        <v>2625</v>
      </c>
      <c r="C122" s="553"/>
      <c r="D122" s="553"/>
      <c r="E122" s="553"/>
      <c r="F122" s="582"/>
      <c r="G122" s="582"/>
      <c r="H122" s="582"/>
      <c r="I122" s="582"/>
      <c r="J122" s="582"/>
      <c r="K122" s="583"/>
      <c r="L122" s="584"/>
      <c r="M122" s="585"/>
      <c r="N122" s="1153"/>
      <c r="O122" s="1153"/>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29"/>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3"/>
      <c r="O124" s="1153"/>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9"/>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0"/>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0"/>
      <c r="Q127" s="558"/>
    </row>
    <row r="128" spans="1:17" ht="15" thickTop="1">
      <c r="A128" s="598"/>
      <c r="B128" s="537">
        <f>B45</f>
        <v>111</v>
      </c>
      <c r="C128" s="553"/>
      <c r="D128" s="553"/>
      <c r="E128" s="553"/>
      <c r="F128" s="553"/>
      <c r="G128" s="582"/>
      <c r="H128" s="582"/>
      <c r="I128" s="582"/>
      <c r="J128" s="582"/>
      <c r="K128" s="583"/>
      <c r="L128" s="584"/>
      <c r="M128" s="585"/>
      <c r="N128" s="1153"/>
      <c r="O128" s="1153"/>
      <c r="P128" s="2629"/>
      <c r="Q128" s="503"/>
    </row>
    <row r="129" spans="1:17" ht="15.75" thickBot="1">
      <c r="A129" s="533"/>
      <c r="B129" s="542"/>
      <c r="C129" s="559"/>
      <c r="D129" s="535"/>
      <c r="E129" s="535"/>
      <c r="F129" s="535"/>
      <c r="G129" s="535"/>
      <c r="H129" s="535"/>
      <c r="I129" s="535"/>
      <c r="J129" s="535"/>
      <c r="K129" s="535"/>
      <c r="L129" s="535"/>
      <c r="M129" s="536"/>
      <c r="N129" s="1154"/>
      <c r="O129" s="1154"/>
      <c r="P129" s="2629"/>
      <c r="Q129" s="503"/>
    </row>
    <row r="130" spans="1:17" ht="15" thickTop="1">
      <c r="A130" s="598"/>
      <c r="B130" s="545">
        <f>B46</f>
        <v>111</v>
      </c>
      <c r="C130" s="553"/>
      <c r="D130" s="553"/>
      <c r="E130" s="553"/>
      <c r="F130" s="553"/>
      <c r="G130" s="586"/>
      <c r="H130" s="586"/>
      <c r="I130" s="586"/>
      <c r="J130" s="586"/>
      <c r="K130" s="522"/>
      <c r="L130" s="523"/>
      <c r="M130" s="589"/>
      <c r="N130" s="1153"/>
      <c r="O130" s="1153"/>
      <c r="P130" s="2629"/>
      <c r="Q130" s="503"/>
    </row>
    <row r="131" spans="1:17" ht="15.75" thickBot="1">
      <c r="A131" s="2635"/>
      <c r="B131" s="568"/>
      <c r="C131" s="569"/>
      <c r="D131" s="569"/>
      <c r="E131" s="569"/>
      <c r="F131" s="569"/>
      <c r="G131" s="590"/>
      <c r="H131" s="590"/>
      <c r="I131" s="590"/>
      <c r="J131" s="590"/>
      <c r="K131" s="590"/>
      <c r="L131" s="590"/>
      <c r="M131" s="591"/>
      <c r="N131" s="1154"/>
      <c r="O131" s="1154"/>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B34" sqref="B34"/>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2533</v>
      </c>
      <c r="B1" s="2668" t="s">
        <v>2691</v>
      </c>
      <c r="C1" s="1620" t="s">
        <v>2535</v>
      </c>
      <c r="D1" s="1621" t="s">
        <v>27</v>
      </c>
      <c r="E1" s="1630"/>
      <c r="F1" s="2583" t="s">
        <v>3096</v>
      </c>
      <c r="G1" s="1631" t="s">
        <v>2648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2332</v>
      </c>
      <c r="B2" s="1418">
        <f>IF(C2="——",ROUND(C50*D3/10000,0),ROUND(C50*D3/10000,0)-D2)</f>
        <v>2559</v>
      </c>
      <c r="C2" s="2585" t="s">
        <v>70</v>
      </c>
      <c r="D2" s="1365" t="e">
        <f ca="1">SUMIF(INDIRECT("'"&amp;F2&amp;"'"&amp;"!A:A"),"承租人权益价值",INDIRECT("'"&amp;F2&amp;"'"&amp;"!c:c"))</f>
        <v>#REF!</v>
      </c>
      <c r="E2" s="2586" t="s">
        <v>2333</v>
      </c>
      <c r="F2" s="2587"/>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2334</v>
      </c>
      <c r="B3" s="608">
        <f>IF(C2="——",C50,ROUND(B2*10000/D3,0))</f>
        <v>18702</v>
      </c>
      <c r="C3" s="399" t="s">
        <v>2649</v>
      </c>
      <c r="D3" s="398">
        <f>IF(D1="",'数据-汇总表'!E3,SUMIF('数据-汇总表'!$C19:$C33,D1,'数据-汇总表'!$E19:$E33))</f>
        <v>1368.3300000000163</v>
      </c>
      <c r="E3" s="2662"/>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0" t="s">
        <v>2650</v>
      </c>
      <c r="B4" s="401"/>
      <c r="C4" s="3205" t="s">
        <v>2651</v>
      </c>
      <c r="D4" s="3206"/>
      <c r="E4" s="3207" t="s">
        <v>2652</v>
      </c>
      <c r="F4" s="3208"/>
      <c r="G4" s="3205" t="s">
        <v>2653</v>
      </c>
      <c r="H4" s="3206"/>
      <c r="I4" s="3205" t="s">
        <v>2654</v>
      </c>
      <c r="J4" s="3206"/>
      <c r="K4" s="609" t="s">
        <v>2655</v>
      </c>
      <c r="L4" s="1131"/>
      <c r="M4" s="1132"/>
      <c r="N4" s="1132"/>
      <c r="O4" s="1132"/>
      <c r="P4" s="3241" t="s">
        <v>2656</v>
      </c>
      <c r="Q4" s="3242"/>
      <c r="R4" s="3234" t="s">
        <v>2652</v>
      </c>
      <c r="S4" s="3235"/>
      <c r="T4" s="3234" t="s">
        <v>2653</v>
      </c>
      <c r="U4" s="3235"/>
      <c r="V4" s="3245" t="s">
        <v>2654</v>
      </c>
      <c r="W4" s="3245"/>
      <c r="X4" s="2669"/>
      <c r="Y4" s="3234" t="s">
        <v>2656</v>
      </c>
      <c r="Z4" s="3235"/>
      <c r="AA4" s="3233" t="s">
        <v>2652</v>
      </c>
      <c r="AB4" s="3233" t="s">
        <v>2653</v>
      </c>
      <c r="AC4" s="3238" t="s">
        <v>2654</v>
      </c>
    </row>
    <row r="5" spans="1:29" ht="15">
      <c r="A5" s="403"/>
      <c r="B5" s="404"/>
      <c r="C5" s="3198" t="s">
        <v>2547</v>
      </c>
      <c r="D5" s="3199"/>
      <c r="E5" s="3236" t="s">
        <v>3075</v>
      </c>
      <c r="F5" s="3197"/>
      <c r="G5" s="3237" t="s">
        <v>3076</v>
      </c>
      <c r="H5" s="3199"/>
      <c r="I5" s="3237" t="s">
        <v>3077</v>
      </c>
      <c r="J5" s="3199"/>
      <c r="K5" s="609"/>
      <c r="L5" s="1131"/>
      <c r="M5" s="1132"/>
      <c r="N5" s="1132"/>
      <c r="O5" s="1132"/>
      <c r="P5" s="3243"/>
      <c r="Q5" s="3212"/>
      <c r="R5" s="3194"/>
      <c r="S5" s="3195"/>
      <c r="T5" s="3194"/>
      <c r="U5" s="3195"/>
      <c r="V5" s="3217"/>
      <c r="W5" s="3217"/>
      <c r="X5" s="1813"/>
      <c r="Y5" s="3194"/>
      <c r="Z5" s="3195"/>
      <c r="AA5" s="3188"/>
      <c r="AB5" s="3188"/>
      <c r="AC5" s="3239"/>
    </row>
    <row r="6" spans="1:29" ht="15.75" thickBot="1">
      <c r="A6" s="405"/>
      <c r="B6" s="406"/>
      <c r="C6" s="3200" t="s">
        <v>2551</v>
      </c>
      <c r="D6" s="3201"/>
      <c r="E6" s="3202" t="s">
        <v>2551</v>
      </c>
      <c r="F6" s="3203"/>
      <c r="G6" s="3200" t="s">
        <v>2551</v>
      </c>
      <c r="H6" s="3201"/>
      <c r="I6" s="3200" t="s">
        <v>2551</v>
      </c>
      <c r="J6" s="3201"/>
      <c r="K6" s="609" t="s">
        <v>2552</v>
      </c>
      <c r="L6" s="1131"/>
      <c r="M6" s="1132"/>
      <c r="N6" s="1132"/>
      <c r="O6" s="1132"/>
      <c r="P6" s="3244"/>
      <c r="Q6" s="3214"/>
      <c r="R6" s="3194"/>
      <c r="S6" s="3195"/>
      <c r="T6" s="3215"/>
      <c r="U6" s="3216"/>
      <c r="V6" s="3217"/>
      <c r="W6" s="3217"/>
      <c r="X6" s="1813"/>
      <c r="Y6" s="3215"/>
      <c r="Z6" s="3216"/>
      <c r="AA6" s="3189"/>
      <c r="AB6" s="3189"/>
      <c r="AC6" s="3240"/>
    </row>
    <row r="7" spans="1:29" s="116" customFormat="1" ht="15.75" thickBot="1">
      <c r="A7" s="407" t="s">
        <v>2553</v>
      </c>
      <c r="B7" s="408"/>
      <c r="C7" s="409">
        <f>'数据-取费表'!B2</f>
        <v>43432</v>
      </c>
      <c r="D7" s="410">
        <v>100</v>
      </c>
      <c r="E7" s="411">
        <v>43405</v>
      </c>
      <c r="F7" s="412">
        <f>SUMIF(59:59,YEAR(E7)&amp;"-"&amp;MONTH(E7),60:60)</f>
        <v>100</v>
      </c>
      <c r="G7" s="411">
        <v>43405</v>
      </c>
      <c r="H7" s="410">
        <f>SUMIF(59:59,YEAR(G7)&amp;"-"&amp;MONTH(G7),60:60)</f>
        <v>100</v>
      </c>
      <c r="I7" s="411">
        <v>43405</v>
      </c>
      <c r="J7" s="410">
        <f>SUMIF(59:59,YEAR(I7)&amp;"-"&amp;MONTH(I7),60:60)</f>
        <v>100</v>
      </c>
      <c r="K7" s="610"/>
      <c r="L7" s="1133"/>
      <c r="M7" s="1134"/>
      <c r="N7" s="1134"/>
      <c r="O7" s="1134"/>
      <c r="P7" s="3246" t="s">
        <v>2554</v>
      </c>
      <c r="Q7" s="3218"/>
      <c r="R7" s="768" t="s">
        <v>17</v>
      </c>
      <c r="S7" s="769">
        <f t="shared" ref="S7:S15" si="0">F7</f>
        <v>100</v>
      </c>
      <c r="T7" s="768" t="s">
        <v>17</v>
      </c>
      <c r="U7" s="769">
        <f t="shared" ref="U7:U15" si="1">H7</f>
        <v>100</v>
      </c>
      <c r="V7" s="768" t="s">
        <v>17</v>
      </c>
      <c r="W7" s="769">
        <f t="shared" ref="W7:W15" si="2">J7</f>
        <v>100</v>
      </c>
      <c r="X7" s="770"/>
      <c r="Y7" s="3190" t="s">
        <v>2554</v>
      </c>
      <c r="Z7" s="3191"/>
      <c r="AA7" s="771">
        <f>D7/F7</f>
        <v>1</v>
      </c>
      <c r="AB7" s="771">
        <f>D7/H7</f>
        <v>1</v>
      </c>
      <c r="AC7" s="2670">
        <f>D7/J7</f>
        <v>1</v>
      </c>
    </row>
    <row r="8" spans="1:29" s="116" customFormat="1" ht="15.75" thickBot="1">
      <c r="A8" s="407" t="s">
        <v>2555</v>
      </c>
      <c r="B8" s="408"/>
      <c r="C8" s="413" t="s">
        <v>2657</v>
      </c>
      <c r="D8" s="410">
        <v>100</v>
      </c>
      <c r="E8" s="2944" t="s">
        <v>3081</v>
      </c>
      <c r="F8" s="412">
        <f>SUMIF(62:62,E8,63:63)-SUMIF(62:62,C8,63:63)+100</f>
        <v>100</v>
      </c>
      <c r="G8" s="2944" t="s">
        <v>3081</v>
      </c>
      <c r="H8" s="410">
        <f>SUMIF(62:62,G8,63:63)-SUMIF(62:62,C8,63:63)+100</f>
        <v>100</v>
      </c>
      <c r="I8" s="2944" t="s">
        <v>3081</v>
      </c>
      <c r="J8" s="410">
        <f>SUMIF(62:62,I8,63:63)-SUMIF(62:62,C8,63:63)+100</f>
        <v>100</v>
      </c>
      <c r="K8" s="610"/>
      <c r="L8" s="1133"/>
      <c r="M8" s="1134"/>
      <c r="N8" s="1134"/>
      <c r="O8" s="1134"/>
      <c r="P8" s="3246" t="s">
        <v>2557</v>
      </c>
      <c r="Q8" s="3191"/>
      <c r="R8" s="768" t="s">
        <v>17</v>
      </c>
      <c r="S8" s="769">
        <f t="shared" si="0"/>
        <v>100</v>
      </c>
      <c r="T8" s="768" t="s">
        <v>17</v>
      </c>
      <c r="U8" s="769">
        <f t="shared" si="1"/>
        <v>100</v>
      </c>
      <c r="V8" s="768" t="s">
        <v>17</v>
      </c>
      <c r="W8" s="769">
        <f t="shared" si="2"/>
        <v>100</v>
      </c>
      <c r="X8" s="770"/>
      <c r="Y8" s="3190" t="s">
        <v>2557</v>
      </c>
      <c r="Z8" s="3191"/>
      <c r="AA8" s="771">
        <f t="shared" ref="AA8:AA47" si="3">D8/F8</f>
        <v>1</v>
      </c>
      <c r="AB8" s="771">
        <f t="shared" ref="AB8:AB47" si="4">D8/H8</f>
        <v>1</v>
      </c>
      <c r="AC8" s="2670">
        <f t="shared" ref="AC8:AC47" si="5">D8/J8</f>
        <v>1</v>
      </c>
    </row>
    <row r="9" spans="1:29" s="116" customFormat="1">
      <c r="A9" s="414" t="s">
        <v>2558</v>
      </c>
      <c r="B9" s="70" t="s">
        <v>2559</v>
      </c>
      <c r="C9" s="2950" t="s">
        <v>3082</v>
      </c>
      <c r="D9" s="134">
        <v>100</v>
      </c>
      <c r="E9" s="2951" t="s">
        <v>3082</v>
      </c>
      <c r="F9" s="134">
        <f>SUMIF(64:64,E9,65:65)-SUMIF(64:64,C9,65:65)+100</f>
        <v>100</v>
      </c>
      <c r="G9" s="2952" t="s">
        <v>3082</v>
      </c>
      <c r="H9" s="134">
        <f>SUMIF(64:64,G9,65:65)-SUMIF(64:64,C9,65:65)+100</f>
        <v>100</v>
      </c>
      <c r="I9" s="2952" t="s">
        <v>3082</v>
      </c>
      <c r="J9" s="134">
        <f>SUMIF(64:64,I9,65:65)-SUMIF(64:64,C9,65:65)+100</f>
        <v>100</v>
      </c>
      <c r="K9" s="610"/>
      <c r="L9" s="1133"/>
      <c r="M9" s="1134"/>
      <c r="N9" s="1134"/>
      <c r="O9" s="1134"/>
      <c r="P9" s="3204" t="s">
        <v>2560</v>
      </c>
      <c r="Q9" s="1795" t="str">
        <f t="shared" ref="Q9:Q15" si="6">B9</f>
        <v>用途</v>
      </c>
      <c r="R9" s="768" t="s">
        <v>17</v>
      </c>
      <c r="S9" s="769">
        <f t="shared" si="0"/>
        <v>100</v>
      </c>
      <c r="T9" s="768" t="s">
        <v>17</v>
      </c>
      <c r="U9" s="769">
        <f t="shared" si="1"/>
        <v>100</v>
      </c>
      <c r="V9" s="768" t="s">
        <v>17</v>
      </c>
      <c r="W9" s="769">
        <f t="shared" si="2"/>
        <v>100</v>
      </c>
      <c r="X9" s="770"/>
      <c r="Y9" s="3037" t="s">
        <v>2561</v>
      </c>
      <c r="Z9" s="54" t="str">
        <f t="shared" ref="Z9:Z15" si="7">Q9</f>
        <v>用途</v>
      </c>
      <c r="AA9" s="771">
        <f t="shared" si="3"/>
        <v>1</v>
      </c>
      <c r="AB9" s="771">
        <f t="shared" si="4"/>
        <v>1</v>
      </c>
      <c r="AC9" s="2670">
        <f t="shared" si="5"/>
        <v>1</v>
      </c>
    </row>
    <row r="10" spans="1:29" s="426" customFormat="1" ht="27">
      <c r="A10" s="420"/>
      <c r="B10" s="421" t="s">
        <v>2562</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204"/>
      <c r="Q10" s="1795" t="str">
        <f t="shared" si="6"/>
        <v>土地使用年限（年）</v>
      </c>
      <c r="R10" s="768" t="s">
        <v>17</v>
      </c>
      <c r="S10" s="769">
        <f t="shared" si="0"/>
        <v>100</v>
      </c>
      <c r="T10" s="768" t="s">
        <v>17</v>
      </c>
      <c r="U10" s="769">
        <f t="shared" si="1"/>
        <v>100</v>
      </c>
      <c r="V10" s="768" t="s">
        <v>17</v>
      </c>
      <c r="W10" s="769">
        <f t="shared" si="2"/>
        <v>100</v>
      </c>
      <c r="X10" s="770"/>
      <c r="Y10" s="3037"/>
      <c r="Z10" s="54" t="str">
        <f t="shared" si="7"/>
        <v>土地使用年限（年）</v>
      </c>
      <c r="AA10" s="771">
        <f t="shared" si="3"/>
        <v>1</v>
      </c>
      <c r="AB10" s="771">
        <f t="shared" si="4"/>
        <v>1</v>
      </c>
      <c r="AC10" s="2670">
        <f t="shared" si="5"/>
        <v>1</v>
      </c>
    </row>
    <row r="11" spans="1:29" ht="15">
      <c r="A11" s="427"/>
      <c r="B11" s="421" t="s">
        <v>2563</v>
      </c>
      <c r="C11" s="428"/>
      <c r="D11" s="135">
        <v>100</v>
      </c>
      <c r="E11" s="428"/>
      <c r="F11" s="135">
        <f>LOOKUP(E11,69:69,70:70)-LOOKUP(C11,69:69,70:70)+100</f>
        <v>100</v>
      </c>
      <c r="G11" s="429"/>
      <c r="H11" s="135">
        <f>LOOKUP(G11,69:69,70:70)-LOOKUP(C11,69:69,70:70)+100</f>
        <v>100</v>
      </c>
      <c r="I11" s="428"/>
      <c r="J11" s="135">
        <f>LOOKUP(I11,69:69,70:70)-LOOKUP(C11,69:69,70:70)+100</f>
        <v>100</v>
      </c>
      <c r="K11" s="611"/>
      <c r="L11" s="1139"/>
      <c r="M11" s="1132"/>
      <c r="N11" s="1132"/>
      <c r="O11" s="1132"/>
      <c r="P11" s="3204"/>
      <c r="Q11" s="1795" t="str">
        <f t="shared" si="6"/>
        <v>容积率</v>
      </c>
      <c r="R11" s="768" t="s">
        <v>17</v>
      </c>
      <c r="S11" s="769">
        <f t="shared" si="0"/>
        <v>100</v>
      </c>
      <c r="T11" s="768" t="s">
        <v>17</v>
      </c>
      <c r="U11" s="769">
        <f t="shared" si="1"/>
        <v>100</v>
      </c>
      <c r="V11" s="768" t="s">
        <v>17</v>
      </c>
      <c r="W11" s="769">
        <f t="shared" si="2"/>
        <v>100</v>
      </c>
      <c r="X11" s="770"/>
      <c r="Y11" s="3037"/>
      <c r="Z11" s="54" t="str">
        <f t="shared" si="7"/>
        <v>容积率</v>
      </c>
      <c r="AA11" s="771">
        <f t="shared" si="3"/>
        <v>1</v>
      </c>
      <c r="AB11" s="771">
        <f t="shared" si="4"/>
        <v>1</v>
      </c>
      <c r="AC11" s="2670">
        <f t="shared" si="5"/>
        <v>1</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3"/>
      <c r="M12" s="1134"/>
      <c r="N12" s="1134"/>
      <c r="O12" s="1134"/>
      <c r="P12" s="3204"/>
      <c r="Q12" s="1795">
        <f t="shared" si="6"/>
        <v>111</v>
      </c>
      <c r="R12" s="768" t="s">
        <v>17</v>
      </c>
      <c r="S12" s="769">
        <f t="shared" si="0"/>
        <v>100</v>
      </c>
      <c r="T12" s="768" t="s">
        <v>17</v>
      </c>
      <c r="U12" s="769">
        <f t="shared" si="1"/>
        <v>100</v>
      </c>
      <c r="V12" s="768" t="s">
        <v>17</v>
      </c>
      <c r="W12" s="769">
        <f t="shared" si="2"/>
        <v>100</v>
      </c>
      <c r="X12" s="770"/>
      <c r="Y12" s="3037"/>
      <c r="Z12" s="54">
        <f t="shared" si="7"/>
        <v>111</v>
      </c>
      <c r="AA12" s="771">
        <f>D12/F12</f>
        <v>1</v>
      </c>
      <c r="AB12" s="771">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1"/>
      <c r="M13" s="1132"/>
      <c r="N13" s="1132"/>
      <c r="O13" s="1132"/>
      <c r="P13" s="3204"/>
      <c r="Q13" s="1795">
        <f t="shared" si="6"/>
        <v>111</v>
      </c>
      <c r="R13" s="768" t="s">
        <v>17</v>
      </c>
      <c r="S13" s="769">
        <f t="shared" si="0"/>
        <v>100</v>
      </c>
      <c r="T13" s="768" t="s">
        <v>17</v>
      </c>
      <c r="U13" s="769">
        <f t="shared" si="1"/>
        <v>100</v>
      </c>
      <c r="V13" s="768" t="s">
        <v>17</v>
      </c>
      <c r="W13" s="769">
        <f t="shared" si="2"/>
        <v>100</v>
      </c>
      <c r="X13" s="770"/>
      <c r="Y13" s="3037"/>
      <c r="Z13" s="54">
        <f t="shared" si="7"/>
        <v>111</v>
      </c>
      <c r="AA13" s="771">
        <f t="shared" si="3"/>
        <v>1</v>
      </c>
      <c r="AB13" s="771">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1"/>
      <c r="M14" s="1132"/>
      <c r="N14" s="1132"/>
      <c r="O14" s="1132"/>
      <c r="P14" s="3204"/>
      <c r="Q14" s="1795">
        <f t="shared" si="6"/>
        <v>111</v>
      </c>
      <c r="R14" s="768" t="s">
        <v>17</v>
      </c>
      <c r="S14" s="769">
        <f t="shared" si="0"/>
        <v>100</v>
      </c>
      <c r="T14" s="768" t="s">
        <v>17</v>
      </c>
      <c r="U14" s="769">
        <f t="shared" si="1"/>
        <v>100</v>
      </c>
      <c r="V14" s="768" t="s">
        <v>17</v>
      </c>
      <c r="W14" s="769">
        <f t="shared" si="2"/>
        <v>100</v>
      </c>
      <c r="X14" s="770"/>
      <c r="Y14" s="3037"/>
      <c r="Z14" s="54">
        <f t="shared" si="7"/>
        <v>111</v>
      </c>
      <c r="AA14" s="771">
        <f t="shared" si="3"/>
        <v>1</v>
      </c>
      <c r="AB14" s="771">
        <f t="shared" si="4"/>
        <v>1</v>
      </c>
      <c r="AC14" s="2670">
        <f t="shared" si="5"/>
        <v>1</v>
      </c>
    </row>
    <row r="15" spans="1:29" ht="71.25">
      <c r="A15" s="439" t="s">
        <v>2564</v>
      </c>
      <c r="B15" s="628" t="s">
        <v>2692</v>
      </c>
      <c r="C15" s="2672" t="str">
        <f>估价对象房地状况!C5</f>
        <v>估价对象位于XX商圈，周边办公楼项目较多，入驻率高，办公集聚程度较好</v>
      </c>
      <c r="D15" s="440">
        <v>100</v>
      </c>
      <c r="E15" s="443"/>
      <c r="F15" s="440">
        <f>SUMIF(77:77,E16,78:78)-SUMIF(77:77,C16,78:78)+100</f>
        <v>102</v>
      </c>
      <c r="G15" s="441"/>
      <c r="H15" s="440">
        <f>SUMIF(77:77,G16,78:78)-SUMIF(77:77,C16,78:78)+100</f>
        <v>102</v>
      </c>
      <c r="I15" s="441"/>
      <c r="J15" s="440">
        <f>SUMIF(77:77,I16,78:78)-SUMIF(77:77,C16,78:78)+100</f>
        <v>102</v>
      </c>
      <c r="K15" s="613">
        <v>2</v>
      </c>
      <c r="L15" s="1141"/>
      <c r="M15" s="1132"/>
      <c r="N15" s="1132"/>
      <c r="O15" s="1132"/>
      <c r="P15" s="3231" t="s">
        <v>2565</v>
      </c>
      <c r="Q15" s="1810" t="str">
        <f t="shared" si="6"/>
        <v>办公集聚程度</v>
      </c>
      <c r="R15" s="772" t="s">
        <v>17</v>
      </c>
      <c r="S15" s="773">
        <f t="shared" si="0"/>
        <v>102</v>
      </c>
      <c r="T15" s="772" t="s">
        <v>17</v>
      </c>
      <c r="U15" s="773">
        <f t="shared" si="1"/>
        <v>102</v>
      </c>
      <c r="V15" s="772" t="s">
        <v>17</v>
      </c>
      <c r="W15" s="773">
        <f t="shared" si="2"/>
        <v>102</v>
      </c>
      <c r="X15" s="1813"/>
      <c r="Y15" s="3224" t="s">
        <v>2565</v>
      </c>
      <c r="Z15" s="1814" t="str">
        <f t="shared" si="7"/>
        <v>办公集聚程度</v>
      </c>
      <c r="AA15" s="1811">
        <f t="shared" si="3"/>
        <v>0.98039215686274506</v>
      </c>
      <c r="AB15" s="1811">
        <f t="shared" si="4"/>
        <v>0.98039215686274506</v>
      </c>
      <c r="AC15" s="2673">
        <f t="shared" si="5"/>
        <v>0.98039215686274506</v>
      </c>
    </row>
    <row r="16" spans="1:29" ht="15">
      <c r="A16" s="427"/>
      <c r="B16" s="629"/>
      <c r="C16" s="2948" t="s">
        <v>3078</v>
      </c>
      <c r="D16" s="447"/>
      <c r="E16" s="2949" t="s">
        <v>3079</v>
      </c>
      <c r="F16" s="447"/>
      <c r="G16" s="2948" t="s">
        <v>3079</v>
      </c>
      <c r="H16" s="449"/>
      <c r="I16" s="2949" t="s">
        <v>3080</v>
      </c>
      <c r="J16" s="447"/>
      <c r="K16" s="614"/>
      <c r="L16" s="1141"/>
      <c r="M16" s="1132"/>
      <c r="N16" s="1132"/>
      <c r="O16" s="1132"/>
      <c r="P16" s="3232"/>
      <c r="Q16" s="1810"/>
      <c r="R16" s="772"/>
      <c r="S16" s="773"/>
      <c r="T16" s="772"/>
      <c r="U16" s="773"/>
      <c r="V16" s="772"/>
      <c r="W16" s="773"/>
      <c r="X16" s="1813"/>
      <c r="Y16" s="3225"/>
      <c r="Z16" s="1814"/>
      <c r="AA16" s="1811">
        <v>1</v>
      </c>
      <c r="AB16" s="1811">
        <v>1</v>
      </c>
      <c r="AC16" s="2673">
        <v>1</v>
      </c>
    </row>
    <row r="17" spans="1:29" ht="71.25">
      <c r="A17" s="427"/>
      <c r="B17" s="630" t="s">
        <v>2101</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32"/>
      <c r="Q17" s="1810" t="str">
        <f>B17</f>
        <v>交通便捷度</v>
      </c>
      <c r="R17" s="772" t="s">
        <v>17</v>
      </c>
      <c r="S17" s="773">
        <f>F17</f>
        <v>100</v>
      </c>
      <c r="T17" s="772" t="s">
        <v>17</v>
      </c>
      <c r="U17" s="773">
        <f>H17</f>
        <v>100</v>
      </c>
      <c r="V17" s="772" t="s">
        <v>17</v>
      </c>
      <c r="W17" s="773">
        <f>J17</f>
        <v>100</v>
      </c>
      <c r="X17" s="1813"/>
      <c r="Y17" s="3225"/>
      <c r="Z17" s="1814" t="str">
        <f>Q17</f>
        <v>交通便捷度</v>
      </c>
      <c r="AA17" s="1811">
        <f t="shared" si="3"/>
        <v>1</v>
      </c>
      <c r="AB17" s="1811">
        <f t="shared" si="4"/>
        <v>1</v>
      </c>
      <c r="AC17" s="2673">
        <f t="shared" si="5"/>
        <v>1</v>
      </c>
    </row>
    <row r="18" spans="1:29" ht="15">
      <c r="A18" s="427"/>
      <c r="B18" s="631"/>
      <c r="C18" s="2953" t="s">
        <v>3079</v>
      </c>
      <c r="D18" s="449"/>
      <c r="E18" s="2954" t="s">
        <v>3079</v>
      </c>
      <c r="F18" s="449"/>
      <c r="G18" s="2955" t="s">
        <v>3079</v>
      </c>
      <c r="H18" s="447"/>
      <c r="I18" s="2955" t="s">
        <v>3079</v>
      </c>
      <c r="J18" s="447"/>
      <c r="K18" s="614"/>
      <c r="L18" s="1141"/>
      <c r="M18" s="1132"/>
      <c r="N18" s="1132"/>
      <c r="O18" s="1132"/>
      <c r="P18" s="3232"/>
      <c r="Q18" s="1810"/>
      <c r="R18" s="772"/>
      <c r="S18" s="773"/>
      <c r="T18" s="772"/>
      <c r="U18" s="773"/>
      <c r="V18" s="772"/>
      <c r="W18" s="773"/>
      <c r="X18" s="1813"/>
      <c r="Y18" s="3225"/>
      <c r="Z18" s="1814"/>
      <c r="AA18" s="1811">
        <v>1</v>
      </c>
      <c r="AB18" s="1811">
        <v>1</v>
      </c>
      <c r="AC18" s="2673">
        <v>1</v>
      </c>
    </row>
    <row r="19" spans="1:29" ht="42.75">
      <c r="A19" s="427"/>
      <c r="B19" s="3302" t="s">
        <v>2693</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3301"/>
      <c r="L19" s="1141"/>
      <c r="M19" s="1132"/>
      <c r="N19" s="1132"/>
      <c r="O19" s="1132"/>
      <c r="P19" s="3232"/>
      <c r="Q19" s="1810" t="str">
        <f>B19</f>
        <v>公共配套设施</v>
      </c>
      <c r="R19" s="772" t="s">
        <v>17</v>
      </c>
      <c r="S19" s="773">
        <f>F19</f>
        <v>100</v>
      </c>
      <c r="T19" s="772" t="s">
        <v>17</v>
      </c>
      <c r="U19" s="773">
        <f>H19</f>
        <v>100</v>
      </c>
      <c r="V19" s="772" t="s">
        <v>17</v>
      </c>
      <c r="W19" s="773">
        <f>J19</f>
        <v>100</v>
      </c>
      <c r="X19" s="1813"/>
      <c r="Y19" s="3225"/>
      <c r="Z19" s="1814" t="str">
        <f>Q19</f>
        <v>公共配套设施</v>
      </c>
      <c r="AA19" s="1811">
        <f t="shared" si="3"/>
        <v>1</v>
      </c>
      <c r="AB19" s="1811">
        <f t="shared" si="4"/>
        <v>1</v>
      </c>
      <c r="AC19" s="2673">
        <f t="shared" si="5"/>
        <v>1</v>
      </c>
    </row>
    <row r="20" spans="1:29" ht="15">
      <c r="A20" s="427"/>
      <c r="B20" s="631"/>
      <c r="C20" s="2948" t="s">
        <v>3083</v>
      </c>
      <c r="D20" s="447"/>
      <c r="E20" s="2947" t="s">
        <v>3079</v>
      </c>
      <c r="F20" s="447"/>
      <c r="G20" s="2946" t="s">
        <v>3079</v>
      </c>
      <c r="H20" s="447"/>
      <c r="I20" s="2946" t="s">
        <v>3079</v>
      </c>
      <c r="J20" s="447"/>
      <c r="K20" s="614"/>
      <c r="L20" s="1141"/>
      <c r="M20" s="1132"/>
      <c r="N20" s="1132"/>
      <c r="O20" s="1132"/>
      <c r="P20" s="3232"/>
      <c r="Q20" s="1810"/>
      <c r="R20" s="772"/>
      <c r="S20" s="773"/>
      <c r="T20" s="772"/>
      <c r="U20" s="773"/>
      <c r="V20" s="772"/>
      <c r="W20" s="773"/>
      <c r="X20" s="1813"/>
      <c r="Y20" s="3225"/>
      <c r="Z20" s="1814"/>
      <c r="AA20" s="1811">
        <v>1</v>
      </c>
      <c r="AB20" s="1811">
        <v>1</v>
      </c>
      <c r="AC20" s="2673">
        <v>1</v>
      </c>
    </row>
    <row r="21" spans="1:29" ht="28.5">
      <c r="A21" s="427"/>
      <c r="B21" s="632" t="s">
        <v>2694</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32"/>
      <c r="Q21" s="1810" t="str">
        <f>B21</f>
        <v>基础设施水平</v>
      </c>
      <c r="R21" s="772" t="s">
        <v>17</v>
      </c>
      <c r="S21" s="773">
        <f>F21</f>
        <v>100</v>
      </c>
      <c r="T21" s="772" t="s">
        <v>17</v>
      </c>
      <c r="U21" s="773">
        <f>H21</f>
        <v>100</v>
      </c>
      <c r="V21" s="772" t="s">
        <v>17</v>
      </c>
      <c r="W21" s="773">
        <f>J21</f>
        <v>100</v>
      </c>
      <c r="X21" s="1813"/>
      <c r="Y21" s="3225"/>
      <c r="Z21" s="1814" t="str">
        <f>Q21</f>
        <v>基础设施水平</v>
      </c>
      <c r="AA21" s="1811">
        <f t="shared" ref="AA21" si="8">D21/F21</f>
        <v>1</v>
      </c>
      <c r="AB21" s="1811">
        <f t="shared" ref="AB21" si="9">D21/H21</f>
        <v>1</v>
      </c>
      <c r="AC21" s="2673">
        <f t="shared" ref="AC21" si="10">D21/J21</f>
        <v>1</v>
      </c>
    </row>
    <row r="22" spans="1:29" ht="15">
      <c r="A22" s="427"/>
      <c r="B22" s="632"/>
      <c r="C22" s="2953" t="s">
        <v>3084</v>
      </c>
      <c r="D22" s="447"/>
      <c r="E22" s="2949" t="s">
        <v>3085</v>
      </c>
      <c r="F22" s="447"/>
      <c r="G22" s="2948" t="s">
        <v>3084</v>
      </c>
      <c r="H22" s="447"/>
      <c r="I22" s="2948" t="s">
        <v>3085</v>
      </c>
      <c r="J22" s="447"/>
      <c r="K22" s="1383"/>
      <c r="L22" s="1141"/>
      <c r="M22" s="1132"/>
      <c r="N22" s="1132"/>
      <c r="O22" s="1132"/>
      <c r="P22" s="3232"/>
      <c r="Q22" s="1810"/>
      <c r="R22" s="772"/>
      <c r="S22" s="773"/>
      <c r="T22" s="772"/>
      <c r="U22" s="773"/>
      <c r="V22" s="772"/>
      <c r="W22" s="773"/>
      <c r="X22" s="1813"/>
      <c r="Y22" s="3225"/>
      <c r="Z22" s="1814"/>
      <c r="AA22" s="1811">
        <v>1</v>
      </c>
      <c r="AB22" s="1811">
        <v>1</v>
      </c>
      <c r="AC22" s="2673">
        <v>1</v>
      </c>
    </row>
    <row r="23" spans="1:29" ht="42.75">
      <c r="A23" s="427"/>
      <c r="B23" s="630" t="s">
        <v>2695</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32"/>
      <c r="Q23" s="1810" t="str">
        <f>B23</f>
        <v>环境质量</v>
      </c>
      <c r="R23" s="772" t="s">
        <v>17</v>
      </c>
      <c r="S23" s="773">
        <f>F23</f>
        <v>100</v>
      </c>
      <c r="T23" s="772" t="s">
        <v>17</v>
      </c>
      <c r="U23" s="773">
        <f>H23</f>
        <v>100</v>
      </c>
      <c r="V23" s="772" t="s">
        <v>17</v>
      </c>
      <c r="W23" s="773">
        <f>J23</f>
        <v>100</v>
      </c>
      <c r="X23" s="1813"/>
      <c r="Y23" s="3225"/>
      <c r="Z23" s="1814" t="str">
        <f>Q23</f>
        <v>环境质量</v>
      </c>
      <c r="AA23" s="1811">
        <f t="shared" si="3"/>
        <v>1</v>
      </c>
      <c r="AB23" s="1811">
        <f t="shared" si="4"/>
        <v>1</v>
      </c>
      <c r="AC23" s="2673">
        <f t="shared" si="5"/>
        <v>1</v>
      </c>
    </row>
    <row r="24" spans="1:29" ht="15">
      <c r="A24" s="427"/>
      <c r="B24" s="632"/>
      <c r="C24" s="2948" t="s">
        <v>3079</v>
      </c>
      <c r="D24" s="447"/>
      <c r="E24" s="2947" t="s">
        <v>3079</v>
      </c>
      <c r="F24" s="447"/>
      <c r="G24" s="2946" t="s">
        <v>3079</v>
      </c>
      <c r="H24" s="447"/>
      <c r="I24" s="2946" t="s">
        <v>3080</v>
      </c>
      <c r="J24" s="447"/>
      <c r="K24" s="614"/>
      <c r="L24" s="1141"/>
      <c r="M24" s="1132"/>
      <c r="N24" s="1132"/>
      <c r="O24" s="1132"/>
      <c r="P24" s="3232"/>
      <c r="Q24" s="1810"/>
      <c r="R24" s="772"/>
      <c r="S24" s="773"/>
      <c r="T24" s="772"/>
      <c r="U24" s="773"/>
      <c r="V24" s="772"/>
      <c r="W24" s="773"/>
      <c r="X24" s="1813"/>
      <c r="Y24" s="3225"/>
      <c r="Z24" s="1814"/>
      <c r="AA24" s="1811">
        <v>1</v>
      </c>
      <c r="AB24" s="1811">
        <v>1</v>
      </c>
      <c r="AC24" s="2673">
        <v>1</v>
      </c>
    </row>
    <row r="25" spans="1:29" ht="27">
      <c r="A25" s="403"/>
      <c r="B25" s="630" t="s">
        <v>2696</v>
      </c>
      <c r="C25" s="2614"/>
      <c r="D25" s="434">
        <v>100</v>
      </c>
      <c r="E25" s="433"/>
      <c r="F25" s="434">
        <f>SUMIF(87:87,E26,88:88)-SUMIF(87:87,C26,88:88)+100</f>
        <v>100</v>
      </c>
      <c r="G25" s="2614"/>
      <c r="H25" s="434">
        <f>SUMIF(87:87,G26,88:88)-SUMIF(87:87,C26,88:88)+100</f>
        <v>100</v>
      </c>
      <c r="I25" s="433"/>
      <c r="J25" s="434">
        <f>SUMIF(87:87,I26,88:88)-SUMIF(87:87,C26,88:88)+100</f>
        <v>100</v>
      </c>
      <c r="K25" s="613"/>
      <c r="L25" s="1141"/>
      <c r="M25" s="1132"/>
      <c r="N25" s="1132"/>
      <c r="O25" s="1132"/>
      <c r="P25" s="3232"/>
      <c r="Q25" s="1810" t="str">
        <f>B25</f>
        <v>毗邻道路的类型与等级</v>
      </c>
      <c r="R25" s="772" t="s">
        <v>17</v>
      </c>
      <c r="S25" s="773">
        <f>F25</f>
        <v>100</v>
      </c>
      <c r="T25" s="772" t="s">
        <v>17</v>
      </c>
      <c r="U25" s="773">
        <f>H25</f>
        <v>100</v>
      </c>
      <c r="V25" s="772" t="s">
        <v>17</v>
      </c>
      <c r="W25" s="773">
        <f>J25</f>
        <v>100</v>
      </c>
      <c r="X25" s="1813"/>
      <c r="Y25" s="3225"/>
      <c r="Z25" s="1814" t="str">
        <f>Q25</f>
        <v>毗邻道路的类型与等级</v>
      </c>
      <c r="AA25" s="1811">
        <f t="shared" si="3"/>
        <v>1</v>
      </c>
      <c r="AB25" s="1811">
        <f t="shared" si="4"/>
        <v>1</v>
      </c>
      <c r="AC25" s="2673">
        <f t="shared" si="5"/>
        <v>1</v>
      </c>
    </row>
    <row r="26" spans="1:29" ht="15">
      <c r="A26" s="403"/>
      <c r="B26" s="631"/>
      <c r="C26" s="633"/>
      <c r="D26" s="434"/>
      <c r="E26" s="615"/>
      <c r="F26" s="434"/>
      <c r="G26" s="633"/>
      <c r="H26" s="434"/>
      <c r="I26" s="615"/>
      <c r="J26" s="434"/>
      <c r="K26" s="614"/>
      <c r="L26" s="1141"/>
      <c r="M26" s="1132"/>
      <c r="N26" s="1132"/>
      <c r="O26" s="1132"/>
      <c r="P26" s="3232"/>
      <c r="Q26" s="1810"/>
      <c r="R26" s="772"/>
      <c r="S26" s="773"/>
      <c r="T26" s="772"/>
      <c r="U26" s="773"/>
      <c r="V26" s="772"/>
      <c r="W26" s="773"/>
      <c r="X26" s="1813"/>
      <c r="Y26" s="3225"/>
      <c r="Z26" s="1814"/>
      <c r="AA26" s="1811">
        <v>1</v>
      </c>
      <c r="AB26" s="1811">
        <v>1</v>
      </c>
      <c r="AC26" s="2673">
        <v>1</v>
      </c>
    </row>
    <row r="27" spans="1:29" ht="15">
      <c r="A27" s="427"/>
      <c r="B27" s="631" t="s">
        <v>2664</v>
      </c>
      <c r="C27" s="2960" t="s">
        <v>3095</v>
      </c>
      <c r="D27" s="434">
        <v>100</v>
      </c>
      <c r="E27" s="2958" t="s">
        <v>3097</v>
      </c>
      <c r="F27" s="434">
        <f>SUMIF(89:89,E27,90:90)-SUMIF(89:89,C27,90:90)+100</f>
        <v>95</v>
      </c>
      <c r="G27" s="2960" t="s">
        <v>3097</v>
      </c>
      <c r="H27" s="434">
        <f>SUMIF(89:89,G27,90:90)-SUMIF(89:89,C27,90:90)+100</f>
        <v>95</v>
      </c>
      <c r="I27" s="2958" t="s">
        <v>3097</v>
      </c>
      <c r="J27" s="434">
        <f>SUMIF(89:89,I27,90:90)-SUMIF(89:89,C27,90:90)+100</f>
        <v>95</v>
      </c>
      <c r="K27" s="611">
        <v>5</v>
      </c>
      <c r="L27" s="1141"/>
      <c r="M27" s="1132"/>
      <c r="N27" s="1132"/>
      <c r="O27" s="1132"/>
      <c r="P27" s="3232"/>
      <c r="Q27" s="1810" t="str">
        <f t="shared" ref="Q27:Q47" si="11">B27</f>
        <v>楼层</v>
      </c>
      <c r="R27" s="772" t="s">
        <v>17</v>
      </c>
      <c r="S27" s="773">
        <f>F27</f>
        <v>95</v>
      </c>
      <c r="T27" s="772" t="s">
        <v>17</v>
      </c>
      <c r="U27" s="773">
        <f>H27</f>
        <v>95</v>
      </c>
      <c r="V27" s="772" t="s">
        <v>17</v>
      </c>
      <c r="W27" s="773">
        <f>J27</f>
        <v>95</v>
      </c>
      <c r="X27" s="1813"/>
      <c r="Y27" s="3225"/>
      <c r="Z27" s="1814" t="str">
        <f>Q27</f>
        <v>楼层</v>
      </c>
      <c r="AA27" s="1811">
        <f t="shared" si="3"/>
        <v>1.0526315789473684</v>
      </c>
      <c r="AB27" s="1811">
        <f t="shared" si="4"/>
        <v>1.0526315789473684</v>
      </c>
      <c r="AC27" s="2673">
        <f t="shared" si="5"/>
        <v>1.0526315789473684</v>
      </c>
    </row>
    <row r="28" spans="1:29" s="116" customFormat="1" ht="15">
      <c r="A28" s="430"/>
      <c r="B28" s="630" t="s">
        <v>2697</v>
      </c>
      <c r="C28" s="2675"/>
      <c r="D28" s="461">
        <v>100</v>
      </c>
      <c r="E28" s="2664"/>
      <c r="F28" s="461">
        <f>SUMIF(91:91,E28,92:92)-SUMIF(91:91,C28,92:92)+100</f>
        <v>100</v>
      </c>
      <c r="G28" s="2675"/>
      <c r="H28" s="461">
        <f>SUMIF(91:91,G28,92:92)-SUMIF(91:91,C28,92:92)+100</f>
        <v>100</v>
      </c>
      <c r="I28" s="2664"/>
      <c r="J28" s="461">
        <f>SUMIF(91:91,I28,92:92)-SUMIF(91:91,C28,92:92)+100</f>
        <v>100</v>
      </c>
      <c r="K28" s="611"/>
      <c r="L28" s="1133"/>
      <c r="M28" s="1134"/>
      <c r="N28" s="1134"/>
      <c r="O28" s="1134"/>
      <c r="P28" s="3232"/>
      <c r="Q28" s="1795" t="str">
        <f t="shared" si="11"/>
        <v>朝向</v>
      </c>
      <c r="R28" s="768" t="s">
        <v>17</v>
      </c>
      <c r="S28" s="769">
        <f>F28</f>
        <v>100</v>
      </c>
      <c r="T28" s="768" t="s">
        <v>17</v>
      </c>
      <c r="U28" s="769">
        <f>H28</f>
        <v>100</v>
      </c>
      <c r="V28" s="768" t="s">
        <v>17</v>
      </c>
      <c r="W28" s="769">
        <f>J28</f>
        <v>100</v>
      </c>
      <c r="X28" s="770"/>
      <c r="Y28" s="3225"/>
      <c r="Z28" s="54" t="str">
        <f>Q28</f>
        <v>朝向</v>
      </c>
      <c r="AA28" s="1811">
        <f>D28/F28</f>
        <v>1</v>
      </c>
      <c r="AB28" s="1811">
        <f>D28/H28</f>
        <v>1</v>
      </c>
      <c r="AC28" s="2673">
        <f>D28/J28</f>
        <v>1</v>
      </c>
    </row>
    <row r="29" spans="1:29" ht="15">
      <c r="A29" s="427"/>
      <c r="B29" s="2676">
        <v>111</v>
      </c>
      <c r="C29" s="2614"/>
      <c r="D29" s="434">
        <v>100</v>
      </c>
      <c r="E29" s="431"/>
      <c r="F29" s="434">
        <f>SUMIF(93:93,E29,94:94)-SUMIF(93:93,C29,94:94)+100</f>
        <v>100</v>
      </c>
      <c r="G29" s="2671"/>
      <c r="H29" s="434">
        <f>SUMIF(93:93,G29,94:94)-SUMIF(93:93,C29,94:94)+100</f>
        <v>100</v>
      </c>
      <c r="I29" s="431"/>
      <c r="J29" s="434">
        <f>SUMIF(93:93,I29,94:94)-SUMIF(93:93,C29,94:94)+100</f>
        <v>100</v>
      </c>
      <c r="K29" s="612"/>
      <c r="L29" s="1141"/>
      <c r="M29" s="1132"/>
      <c r="N29" s="1132"/>
      <c r="O29" s="1132"/>
      <c r="P29" s="3232"/>
      <c r="Q29" s="1810">
        <f t="shared" si="11"/>
        <v>111</v>
      </c>
      <c r="R29" s="772" t="s">
        <v>17</v>
      </c>
      <c r="S29" s="773">
        <f t="shared" ref="S29:S47" si="12">F29</f>
        <v>100</v>
      </c>
      <c r="T29" s="772" t="s">
        <v>17</v>
      </c>
      <c r="U29" s="773">
        <f t="shared" ref="U29:U47" si="13">H29</f>
        <v>100</v>
      </c>
      <c r="V29" s="772" t="s">
        <v>17</v>
      </c>
      <c r="W29" s="773">
        <f t="shared" ref="W29:W47" si="14">J29</f>
        <v>100</v>
      </c>
      <c r="X29" s="1813"/>
      <c r="Y29" s="3225"/>
      <c r="Z29" s="1814">
        <f t="shared" ref="Z29:Z47" si="15">Q29</f>
        <v>111</v>
      </c>
      <c r="AA29" s="1811">
        <f t="shared" si="3"/>
        <v>1</v>
      </c>
      <c r="AB29" s="1811">
        <f t="shared" si="4"/>
        <v>1</v>
      </c>
      <c r="AC29" s="2673">
        <f t="shared" si="5"/>
        <v>1</v>
      </c>
    </row>
    <row r="30" spans="1:29" ht="15">
      <c r="A30" s="427"/>
      <c r="B30" s="2676">
        <v>111</v>
      </c>
      <c r="C30" s="2614"/>
      <c r="D30" s="434">
        <v>100</v>
      </c>
      <c r="E30" s="431"/>
      <c r="F30" s="434">
        <f>SUMIF(95:95,E30,96:96)-SUMIF(95:95,C30,96:96)+100</f>
        <v>100</v>
      </c>
      <c r="G30" s="2671"/>
      <c r="H30" s="434">
        <f>SUMIF(95:95,G30,96:96)-SUMIF(95:95,C30,96:96)+100</f>
        <v>100</v>
      </c>
      <c r="I30" s="431"/>
      <c r="J30" s="434">
        <f>SUMIF(95:95,I30,96:96)-SUMIF(95:95,C30,96:96)+100</f>
        <v>100</v>
      </c>
      <c r="K30" s="612"/>
      <c r="L30" s="1141"/>
      <c r="M30" s="1132"/>
      <c r="N30" s="1132"/>
      <c r="O30" s="1132"/>
      <c r="P30" s="3232"/>
      <c r="Q30" s="1810">
        <f t="shared" si="11"/>
        <v>111</v>
      </c>
      <c r="R30" s="772" t="s">
        <v>17</v>
      </c>
      <c r="S30" s="773">
        <f t="shared" si="12"/>
        <v>100</v>
      </c>
      <c r="T30" s="772" t="s">
        <v>17</v>
      </c>
      <c r="U30" s="773">
        <f t="shared" si="13"/>
        <v>100</v>
      </c>
      <c r="V30" s="772" t="s">
        <v>17</v>
      </c>
      <c r="W30" s="773">
        <f t="shared" si="14"/>
        <v>100</v>
      </c>
      <c r="X30" s="1813"/>
      <c r="Y30" s="3225"/>
      <c r="Z30" s="1814">
        <f t="shared" si="15"/>
        <v>111</v>
      </c>
      <c r="AA30" s="1811">
        <f t="shared" si="3"/>
        <v>1</v>
      </c>
      <c r="AB30" s="1811">
        <f t="shared" si="4"/>
        <v>1</v>
      </c>
      <c r="AC30" s="2673">
        <f t="shared" si="5"/>
        <v>1</v>
      </c>
    </row>
    <row r="31" spans="1:29" ht="15">
      <c r="A31" s="427"/>
      <c r="B31" s="2676">
        <v>111</v>
      </c>
      <c r="C31" s="2614"/>
      <c r="D31" s="434">
        <v>100</v>
      </c>
      <c r="E31" s="431"/>
      <c r="F31" s="434">
        <f>SUMIF(97:97,E31,98:98)-SUMIF(97:97,C31,98:98)+100</f>
        <v>100</v>
      </c>
      <c r="G31" s="2671"/>
      <c r="H31" s="434">
        <f>SUMIF(97:97,G31,98:98)-SUMIF(97:97,C31,98:98)+100</f>
        <v>100</v>
      </c>
      <c r="I31" s="431"/>
      <c r="J31" s="434">
        <f>SUMIF(97:97,I31,98:98)-SUMIF(97:97,C31,98:98)+100</f>
        <v>100</v>
      </c>
      <c r="K31" s="612"/>
      <c r="L31" s="1141"/>
      <c r="M31" s="1132"/>
      <c r="N31" s="1132"/>
      <c r="O31" s="1132"/>
      <c r="P31" s="3232"/>
      <c r="Q31" s="1810">
        <f t="shared" si="11"/>
        <v>111</v>
      </c>
      <c r="R31" s="772" t="s">
        <v>17</v>
      </c>
      <c r="S31" s="773">
        <f t="shared" si="12"/>
        <v>100</v>
      </c>
      <c r="T31" s="772" t="s">
        <v>17</v>
      </c>
      <c r="U31" s="773">
        <f t="shared" si="13"/>
        <v>100</v>
      </c>
      <c r="V31" s="772" t="s">
        <v>17</v>
      </c>
      <c r="W31" s="773">
        <f t="shared" si="14"/>
        <v>100</v>
      </c>
      <c r="X31" s="1813"/>
      <c r="Y31" s="3225"/>
      <c r="Z31" s="1814">
        <f t="shared" si="15"/>
        <v>111</v>
      </c>
      <c r="AA31" s="1811">
        <f t="shared" si="3"/>
        <v>1</v>
      </c>
      <c r="AB31" s="1811">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1"/>
      <c r="M32" s="1132"/>
      <c r="N32" s="1132"/>
      <c r="O32" s="1132"/>
      <c r="P32" s="3232"/>
      <c r="Q32" s="1810">
        <f t="shared" si="11"/>
        <v>111</v>
      </c>
      <c r="R32" s="772" t="s">
        <v>17</v>
      </c>
      <c r="S32" s="773">
        <f t="shared" si="12"/>
        <v>100</v>
      </c>
      <c r="T32" s="772" t="s">
        <v>17</v>
      </c>
      <c r="U32" s="773">
        <f t="shared" si="13"/>
        <v>100</v>
      </c>
      <c r="V32" s="772" t="s">
        <v>17</v>
      </c>
      <c r="W32" s="773">
        <f t="shared" si="14"/>
        <v>100</v>
      </c>
      <c r="X32" s="1813"/>
      <c r="Y32" s="3225"/>
      <c r="Z32" s="1814">
        <f t="shared" si="15"/>
        <v>111</v>
      </c>
      <c r="AA32" s="1811">
        <f t="shared" si="3"/>
        <v>1</v>
      </c>
      <c r="AB32" s="1811">
        <f t="shared" si="4"/>
        <v>1</v>
      </c>
      <c r="AC32" s="2673">
        <f t="shared" si="5"/>
        <v>1</v>
      </c>
    </row>
    <row r="33" spans="1:29" ht="15">
      <c r="A33" s="439" t="s">
        <v>2568</v>
      </c>
      <c r="B33" s="70" t="s">
        <v>2698</v>
      </c>
      <c r="C33" s="2956" t="s">
        <v>3086</v>
      </c>
      <c r="D33" s="466">
        <v>100</v>
      </c>
      <c r="E33" s="2956" t="s">
        <v>3086</v>
      </c>
      <c r="F33" s="460">
        <f>SUMIF(101:101,E33,102:102)-SUMIF(101:101,C33,102:102)+100</f>
        <v>100</v>
      </c>
      <c r="G33" s="2956" t="s">
        <v>3086</v>
      </c>
      <c r="H33" s="434">
        <f>SUMIF(101:101,G33,102:102)-SUMIF(101:101,C33,102:102)+100</f>
        <v>100</v>
      </c>
      <c r="I33" s="2956" t="s">
        <v>3086</v>
      </c>
      <c r="J33" s="466">
        <f>SUMIF(101:101,I33,102:102)-SUMIF(101:101,C33,102:102)+100</f>
        <v>100</v>
      </c>
      <c r="K33" s="611"/>
      <c r="L33" s="1141"/>
      <c r="M33" s="1132"/>
      <c r="N33" s="1132"/>
      <c r="O33" s="1132"/>
      <c r="P33" s="3226" t="s">
        <v>2570</v>
      </c>
      <c r="Q33" s="1810" t="str">
        <f t="shared" si="11"/>
        <v>建筑类型</v>
      </c>
      <c r="R33" s="772" t="s">
        <v>17</v>
      </c>
      <c r="S33" s="773">
        <f t="shared" si="12"/>
        <v>100</v>
      </c>
      <c r="T33" s="772" t="s">
        <v>17</v>
      </c>
      <c r="U33" s="773">
        <f t="shared" si="13"/>
        <v>100</v>
      </c>
      <c r="V33" s="772" t="s">
        <v>17</v>
      </c>
      <c r="W33" s="773">
        <f t="shared" si="14"/>
        <v>100</v>
      </c>
      <c r="X33" s="1813"/>
      <c r="Y33" s="3229" t="s">
        <v>2570</v>
      </c>
      <c r="Z33" s="1814" t="str">
        <f t="shared" si="15"/>
        <v>建筑类型</v>
      </c>
      <c r="AA33" s="1811">
        <f t="shared" si="3"/>
        <v>1</v>
      </c>
      <c r="AB33" s="1811">
        <f t="shared" si="4"/>
        <v>1</v>
      </c>
      <c r="AC33" s="2673">
        <f t="shared" si="5"/>
        <v>1</v>
      </c>
    </row>
    <row r="34" spans="1:29" s="470" customFormat="1" ht="15">
      <c r="A34" s="467"/>
      <c r="B34" s="3305" t="s">
        <v>2571</v>
      </c>
      <c r="C34" s="468">
        <f>Sheet1!A27</f>
        <v>1368.3300000000163</v>
      </c>
      <c r="D34" s="135">
        <v>100</v>
      </c>
      <c r="E34" s="429">
        <v>1000</v>
      </c>
      <c r="F34" s="424">
        <f>LOOKUP(E34,104:104,105:105)-LOOKUP(C34,104:104,105:105)+100</f>
        <v>98</v>
      </c>
      <c r="G34" s="428">
        <v>1222</v>
      </c>
      <c r="H34" s="135">
        <f>LOOKUP(G34,104:104,105:105)-LOOKUP(C34,104:104,105:105)+100</f>
        <v>100</v>
      </c>
      <c r="I34" s="428">
        <v>1200</v>
      </c>
      <c r="J34" s="135">
        <f>LOOKUP(I34,104:104,105:105)-LOOKUP(C34,104:104,105:105)+100</f>
        <v>100</v>
      </c>
      <c r="K34" s="612"/>
      <c r="L34" s="1139"/>
      <c r="M34" s="1142"/>
      <c r="N34" s="1142"/>
      <c r="O34" s="1142"/>
      <c r="P34" s="3227"/>
      <c r="Q34" s="774" t="str">
        <f t="shared" si="11"/>
        <v>项目建筑规模</v>
      </c>
      <c r="R34" s="775" t="s">
        <v>17</v>
      </c>
      <c r="S34" s="776">
        <f t="shared" si="12"/>
        <v>98</v>
      </c>
      <c r="T34" s="775" t="s">
        <v>17</v>
      </c>
      <c r="U34" s="776">
        <f t="shared" si="13"/>
        <v>100</v>
      </c>
      <c r="V34" s="775" t="s">
        <v>17</v>
      </c>
      <c r="W34" s="776">
        <f t="shared" si="14"/>
        <v>100</v>
      </c>
      <c r="X34" s="777"/>
      <c r="Y34" s="3229"/>
      <c r="Z34" s="778" t="str">
        <f t="shared" si="15"/>
        <v>项目建筑规模</v>
      </c>
      <c r="AA34" s="1811">
        <f t="shared" si="3"/>
        <v>1.0204081632653061</v>
      </c>
      <c r="AB34" s="1811">
        <f t="shared" si="4"/>
        <v>1</v>
      </c>
      <c r="AC34" s="2673">
        <f t="shared" si="5"/>
        <v>1</v>
      </c>
    </row>
    <row r="35" spans="1:29" ht="15">
      <c r="A35" s="471"/>
      <c r="B35" s="421" t="s">
        <v>2572</v>
      </c>
      <c r="C35" s="2957" t="s">
        <v>3087</v>
      </c>
      <c r="D35" s="434">
        <v>100</v>
      </c>
      <c r="E35" s="2957" t="s">
        <v>3087</v>
      </c>
      <c r="F35" s="460">
        <f>SUMIF(106:106,E35,107:107)-SUMIF(106:106,C35,107:107)+100</f>
        <v>100</v>
      </c>
      <c r="G35" s="2957" t="s">
        <v>3087</v>
      </c>
      <c r="H35" s="434">
        <f>SUMIF(106:106,G35,107:107)-SUMIF(106:106,C35,107:107)+100</f>
        <v>100</v>
      </c>
      <c r="I35" s="2957" t="s">
        <v>3087</v>
      </c>
      <c r="J35" s="434">
        <f>SUMIF(106:106,I35,107:107)-SUMIF(106:106,C35,107:107)+100</f>
        <v>100</v>
      </c>
      <c r="K35" s="611"/>
      <c r="L35" s="1141"/>
      <c r="M35" s="1132"/>
      <c r="N35" s="1132"/>
      <c r="O35" s="1132"/>
      <c r="P35" s="3227"/>
      <c r="Q35" s="1810" t="str">
        <f t="shared" si="11"/>
        <v>建筑结构</v>
      </c>
      <c r="R35" s="772" t="s">
        <v>17</v>
      </c>
      <c r="S35" s="773">
        <f t="shared" si="12"/>
        <v>100</v>
      </c>
      <c r="T35" s="772" t="s">
        <v>17</v>
      </c>
      <c r="U35" s="773">
        <f t="shared" si="13"/>
        <v>100</v>
      </c>
      <c r="V35" s="772" t="s">
        <v>17</v>
      </c>
      <c r="W35" s="773">
        <f t="shared" si="14"/>
        <v>100</v>
      </c>
      <c r="X35" s="1813"/>
      <c r="Y35" s="3229"/>
      <c r="Z35" s="1814" t="str">
        <f t="shared" si="15"/>
        <v>建筑结构</v>
      </c>
      <c r="AA35" s="1811">
        <f t="shared" si="3"/>
        <v>1</v>
      </c>
      <c r="AB35" s="1811">
        <f t="shared" si="4"/>
        <v>1</v>
      </c>
      <c r="AC35" s="2673">
        <f t="shared" si="5"/>
        <v>1</v>
      </c>
    </row>
    <row r="36" spans="1:29" ht="15">
      <c r="A36" s="471"/>
      <c r="B36" s="421" t="s">
        <v>2666</v>
      </c>
      <c r="C36" s="2957" t="s">
        <v>3088</v>
      </c>
      <c r="D36" s="434">
        <v>100</v>
      </c>
      <c r="E36" s="2957" t="s">
        <v>3088</v>
      </c>
      <c r="F36" s="460">
        <f>SUMIF(108:108,E36,109:109)-SUMIF(108:108,C36,109:109)+100</f>
        <v>100</v>
      </c>
      <c r="G36" s="2957" t="s">
        <v>3088</v>
      </c>
      <c r="H36" s="434">
        <f>SUMIF(108:108,G36,109:109)-SUMIF(108:108,C36,109:109)+100</f>
        <v>100</v>
      </c>
      <c r="I36" s="2957" t="s">
        <v>3088</v>
      </c>
      <c r="J36" s="434">
        <f>SUMIF(108:108,I36,109:109)-SUMIF(108:108,C36,109:109)+100</f>
        <v>100</v>
      </c>
      <c r="K36" s="611"/>
      <c r="L36" s="1141"/>
      <c r="M36" s="1132"/>
      <c r="N36" s="1132"/>
      <c r="O36" s="1132"/>
      <c r="P36" s="3227"/>
      <c r="Q36" s="1810" t="str">
        <f t="shared" si="11"/>
        <v>公共部分装修</v>
      </c>
      <c r="R36" s="772" t="s">
        <v>17</v>
      </c>
      <c r="S36" s="773">
        <f t="shared" si="12"/>
        <v>100</v>
      </c>
      <c r="T36" s="772" t="s">
        <v>17</v>
      </c>
      <c r="U36" s="773">
        <f t="shared" si="13"/>
        <v>100</v>
      </c>
      <c r="V36" s="772" t="s">
        <v>17</v>
      </c>
      <c r="W36" s="773">
        <f t="shared" si="14"/>
        <v>100</v>
      </c>
      <c r="X36" s="1813"/>
      <c r="Y36" s="3229"/>
      <c r="Z36" s="1814" t="str">
        <f t="shared" si="15"/>
        <v>公共部分装修</v>
      </c>
      <c r="AA36" s="1811">
        <f t="shared" si="3"/>
        <v>1</v>
      </c>
      <c r="AB36" s="1811">
        <f t="shared" si="4"/>
        <v>1</v>
      </c>
      <c r="AC36" s="2673">
        <f t="shared" si="5"/>
        <v>1</v>
      </c>
    </row>
    <row r="37" spans="1:29" ht="15">
      <c r="A37" s="471"/>
      <c r="B37" s="421" t="s">
        <v>2667</v>
      </c>
      <c r="C37" s="473">
        <v>1</v>
      </c>
      <c r="D37" s="434">
        <v>100</v>
      </c>
      <c r="E37" s="473">
        <v>1</v>
      </c>
      <c r="F37" s="460">
        <f>LOOKUP(E37,111:111,112:112)-LOOKUP(C37,111:111,112:112)+100</f>
        <v>100</v>
      </c>
      <c r="G37" s="473">
        <v>1</v>
      </c>
      <c r="H37" s="460">
        <f>LOOKUP(G37,111:111,112:112)-LOOKUP(C37,111:111,112:112)+100</f>
        <v>100</v>
      </c>
      <c r="I37" s="473">
        <v>1</v>
      </c>
      <c r="J37" s="434">
        <f>LOOKUP(I37,111:111,112:112)-LOOKUP(C37,111:111,112:112)+100</f>
        <v>100</v>
      </c>
      <c r="K37" s="611"/>
      <c r="L37" s="1141"/>
      <c r="M37" s="1132"/>
      <c r="N37" s="1132"/>
      <c r="O37" s="1132"/>
      <c r="P37" s="3227"/>
      <c r="Q37" s="1810" t="str">
        <f t="shared" si="11"/>
        <v>成新度</v>
      </c>
      <c r="R37" s="772" t="s">
        <v>17</v>
      </c>
      <c r="S37" s="773">
        <f t="shared" si="12"/>
        <v>100</v>
      </c>
      <c r="T37" s="772" t="s">
        <v>17</v>
      </c>
      <c r="U37" s="773">
        <f t="shared" si="13"/>
        <v>100</v>
      </c>
      <c r="V37" s="772" t="s">
        <v>17</v>
      </c>
      <c r="W37" s="773">
        <f t="shared" si="14"/>
        <v>100</v>
      </c>
      <c r="X37" s="1813"/>
      <c r="Y37" s="3229"/>
      <c r="Z37" s="1814" t="str">
        <f t="shared" si="15"/>
        <v>成新度</v>
      </c>
      <c r="AA37" s="1811">
        <f t="shared" si="3"/>
        <v>1</v>
      </c>
      <c r="AB37" s="1811">
        <f t="shared" si="4"/>
        <v>1</v>
      </c>
      <c r="AC37" s="2673">
        <f t="shared" si="5"/>
        <v>1</v>
      </c>
    </row>
    <row r="38" spans="1:29" s="116" customFormat="1" ht="15">
      <c r="A38" s="472"/>
      <c r="B38" s="421" t="s">
        <v>2699</v>
      </c>
      <c r="C38" s="2957" t="s">
        <v>3089</v>
      </c>
      <c r="D38" s="135">
        <v>100</v>
      </c>
      <c r="E38" s="2957" t="s">
        <v>3089</v>
      </c>
      <c r="F38" s="460">
        <f>SUMIF(113:113,E38,114:114)-SUMIF(113:113,C38,114:114)+100</f>
        <v>100</v>
      </c>
      <c r="G38" s="2957" t="s">
        <v>3089</v>
      </c>
      <c r="H38" s="434">
        <f>SUMIF(113:113,G38,114:114)-SUMIF(113:113,C38,114:114)+100</f>
        <v>100</v>
      </c>
      <c r="I38" s="2957" t="s">
        <v>3089</v>
      </c>
      <c r="J38" s="434">
        <f>SUMIF(113:113,I38,114:114)-SUMIF(113:113,C38,114:114)+100</f>
        <v>100</v>
      </c>
      <c r="K38" s="611"/>
      <c r="L38" s="1133"/>
      <c r="M38" s="1134"/>
      <c r="N38" s="1134"/>
      <c r="O38" s="1134"/>
      <c r="P38" s="3227"/>
      <c r="Q38" s="1795" t="str">
        <f t="shared" si="11"/>
        <v>写字楼等级</v>
      </c>
      <c r="R38" s="768" t="s">
        <v>17</v>
      </c>
      <c r="S38" s="769">
        <f t="shared" si="12"/>
        <v>100</v>
      </c>
      <c r="T38" s="768" t="s">
        <v>17</v>
      </c>
      <c r="U38" s="769">
        <f t="shared" si="13"/>
        <v>100</v>
      </c>
      <c r="V38" s="768" t="s">
        <v>17</v>
      </c>
      <c r="W38" s="769">
        <f t="shared" si="14"/>
        <v>100</v>
      </c>
      <c r="X38" s="770"/>
      <c r="Y38" s="3229"/>
      <c r="Z38" s="54" t="str">
        <f t="shared" si="15"/>
        <v>写字楼等级</v>
      </c>
      <c r="AA38" s="771">
        <f t="shared" si="3"/>
        <v>1</v>
      </c>
      <c r="AB38" s="771">
        <f t="shared" si="4"/>
        <v>1</v>
      </c>
      <c r="AC38" s="2670">
        <f t="shared" si="5"/>
        <v>1</v>
      </c>
    </row>
    <row r="39" spans="1:29" ht="15">
      <c r="A39" s="471"/>
      <c r="B39" s="421" t="s">
        <v>2700</v>
      </c>
      <c r="C39" s="2957" t="s">
        <v>3090</v>
      </c>
      <c r="D39" s="434">
        <v>100</v>
      </c>
      <c r="E39" s="2957" t="s">
        <v>3090</v>
      </c>
      <c r="F39" s="460">
        <f>SUMIF(115:115,E39,116:116)-SUMIF(115:115,C39,116:116)+100</f>
        <v>100</v>
      </c>
      <c r="G39" s="2957" t="s">
        <v>3090</v>
      </c>
      <c r="H39" s="434">
        <f>SUMIF(115:115,G39,116:116)-SUMIF(115:115,C39,116:116)+100</f>
        <v>100</v>
      </c>
      <c r="I39" s="2957" t="s">
        <v>3090</v>
      </c>
      <c r="J39" s="434">
        <f>SUMIF(115:115,I39,116:116)-SUMIF(115:115,C39,116:116)+100</f>
        <v>100</v>
      </c>
      <c r="K39" s="611"/>
      <c r="L39" s="1141"/>
      <c r="M39" s="1132"/>
      <c r="N39" s="1132"/>
      <c r="O39" s="1132"/>
      <c r="P39" s="3227" t="s">
        <v>2570</v>
      </c>
      <c r="Q39" s="1810" t="str">
        <f t="shared" si="11"/>
        <v>物业管理</v>
      </c>
      <c r="R39" s="772" t="s">
        <v>17</v>
      </c>
      <c r="S39" s="773">
        <f t="shared" si="12"/>
        <v>100</v>
      </c>
      <c r="T39" s="772" t="s">
        <v>17</v>
      </c>
      <c r="U39" s="773">
        <f t="shared" si="13"/>
        <v>100</v>
      </c>
      <c r="V39" s="772" t="s">
        <v>17</v>
      </c>
      <c r="W39" s="773">
        <f t="shared" si="14"/>
        <v>100</v>
      </c>
      <c r="X39" s="1813"/>
      <c r="Y39" s="3229" t="s">
        <v>2570</v>
      </c>
      <c r="Z39" s="1814" t="str">
        <f t="shared" si="15"/>
        <v>物业管理</v>
      </c>
      <c r="AA39" s="1811">
        <f t="shared" si="3"/>
        <v>1</v>
      </c>
      <c r="AB39" s="1811">
        <f t="shared" si="4"/>
        <v>1</v>
      </c>
      <c r="AC39" s="2673">
        <f t="shared" si="5"/>
        <v>1</v>
      </c>
    </row>
    <row r="40" spans="1:29" ht="15">
      <c r="A40" s="471"/>
      <c r="B40" s="421" t="s">
        <v>2668</v>
      </c>
      <c r="C40" s="2957" t="s">
        <v>3085</v>
      </c>
      <c r="D40" s="434">
        <v>100</v>
      </c>
      <c r="E40" s="2957" t="s">
        <v>3085</v>
      </c>
      <c r="F40" s="460">
        <f>SUMIF(117:117,E40,118:118)-SUMIF(117:117,C40,118:118)+100</f>
        <v>100</v>
      </c>
      <c r="G40" s="2957" t="s">
        <v>3085</v>
      </c>
      <c r="H40" s="434">
        <f>SUMIF(117:117,G40,118:118)-SUMIF(117:117,C40,118:118)+100</f>
        <v>100</v>
      </c>
      <c r="I40" s="2957" t="s">
        <v>3085</v>
      </c>
      <c r="J40" s="434">
        <f>SUMIF(117:117,I40,118:118)-SUMIF(117:117,C40,118:118)+100</f>
        <v>100</v>
      </c>
      <c r="K40" s="611"/>
      <c r="L40" s="1141"/>
      <c r="M40" s="1132"/>
      <c r="N40" s="1132"/>
      <c r="O40" s="1132"/>
      <c r="P40" s="3227"/>
      <c r="Q40" s="1810" t="str">
        <f t="shared" si="11"/>
        <v>市政基础设施</v>
      </c>
      <c r="R40" s="772" t="s">
        <v>17</v>
      </c>
      <c r="S40" s="773">
        <f t="shared" si="12"/>
        <v>100</v>
      </c>
      <c r="T40" s="772" t="s">
        <v>17</v>
      </c>
      <c r="U40" s="773">
        <f t="shared" si="13"/>
        <v>100</v>
      </c>
      <c r="V40" s="772" t="s">
        <v>17</v>
      </c>
      <c r="W40" s="773">
        <f t="shared" si="14"/>
        <v>100</v>
      </c>
      <c r="X40" s="1813"/>
      <c r="Y40" s="3229"/>
      <c r="Z40" s="1814" t="str">
        <f t="shared" si="15"/>
        <v>市政基础设施</v>
      </c>
      <c r="AA40" s="1811">
        <f t="shared" si="3"/>
        <v>1</v>
      </c>
      <c r="AB40" s="1811">
        <f t="shared" si="4"/>
        <v>1</v>
      </c>
      <c r="AC40" s="2673">
        <f t="shared" si="5"/>
        <v>1</v>
      </c>
    </row>
    <row r="41" spans="1:29" ht="15">
      <c r="A41" s="471"/>
      <c r="B41" s="421" t="s">
        <v>2670</v>
      </c>
      <c r="C41" s="2958" t="s">
        <v>3091</v>
      </c>
      <c r="D41" s="434">
        <v>100</v>
      </c>
      <c r="E41" s="3303" t="s">
        <v>3093</v>
      </c>
      <c r="F41" s="460">
        <f>SUMIF(119:119,E41,120:120)-SUMIF(119:119,C41,120:120)+100</f>
        <v>100</v>
      </c>
      <c r="G41" s="2958" t="s">
        <v>3092</v>
      </c>
      <c r="H41" s="434">
        <f>SUMIF(119:119,G41,120:120)-SUMIF(119:119,C41,120:120)+100</f>
        <v>100</v>
      </c>
      <c r="I41" s="2958" t="s">
        <v>3092</v>
      </c>
      <c r="J41" s="434">
        <f>SUMIF(119:119,I41,120:120)-SUMIF(119:119,C41,120:120)+100</f>
        <v>100</v>
      </c>
      <c r="K41" s="3304"/>
      <c r="L41" s="1141"/>
      <c r="M41" s="1132"/>
      <c r="N41" s="1132"/>
      <c r="O41" s="1132"/>
      <c r="P41" s="3227"/>
      <c r="Q41" s="1810" t="str">
        <f t="shared" si="11"/>
        <v>层高</v>
      </c>
      <c r="R41" s="772" t="s">
        <v>17</v>
      </c>
      <c r="S41" s="773">
        <f t="shared" si="12"/>
        <v>100</v>
      </c>
      <c r="T41" s="772" t="s">
        <v>17</v>
      </c>
      <c r="U41" s="773">
        <f t="shared" si="13"/>
        <v>100</v>
      </c>
      <c r="V41" s="772" t="s">
        <v>17</v>
      </c>
      <c r="W41" s="773">
        <f t="shared" si="14"/>
        <v>100</v>
      </c>
      <c r="X41" s="1813"/>
      <c r="Y41" s="3229"/>
      <c r="Z41" s="1814" t="str">
        <f t="shared" si="15"/>
        <v>层高</v>
      </c>
      <c r="AA41" s="1811">
        <f t="shared" si="3"/>
        <v>1</v>
      </c>
      <c r="AB41" s="1811">
        <f t="shared" si="4"/>
        <v>1</v>
      </c>
      <c r="AC41" s="2673">
        <f t="shared" si="5"/>
        <v>1</v>
      </c>
    </row>
    <row r="42" spans="1:29" s="470" customFormat="1" ht="15">
      <c r="A42" s="467"/>
      <c r="B42" s="1812" t="s">
        <v>2701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27"/>
      <c r="Q42" s="774" t="str">
        <f t="shared" si="11"/>
        <v>单套建筑面积</v>
      </c>
      <c r="R42" s="775" t="s">
        <v>17</v>
      </c>
      <c r="S42" s="776">
        <f t="shared" si="12"/>
        <v>100</v>
      </c>
      <c r="T42" s="775" t="s">
        <v>17</v>
      </c>
      <c r="U42" s="776">
        <f t="shared" si="13"/>
        <v>100</v>
      </c>
      <c r="V42" s="775" t="s">
        <v>17</v>
      </c>
      <c r="W42" s="776">
        <f t="shared" si="14"/>
        <v>100</v>
      </c>
      <c r="X42" s="777"/>
      <c r="Y42" s="3229"/>
      <c r="Z42" s="778" t="str">
        <f t="shared" si="15"/>
        <v>单套建筑面积</v>
      </c>
      <c r="AA42" s="1811">
        <f t="shared" si="3"/>
        <v>1</v>
      </c>
      <c r="AB42" s="1811">
        <f t="shared" si="4"/>
        <v>1</v>
      </c>
      <c r="AC42" s="2673">
        <f t="shared" si="5"/>
        <v>1</v>
      </c>
    </row>
    <row r="43" spans="1:29" ht="15">
      <c r="A43" s="471"/>
      <c r="B43" s="421" t="s">
        <v>2673</v>
      </c>
      <c r="C43" s="2957" t="s">
        <v>3094</v>
      </c>
      <c r="D43" s="434">
        <v>100</v>
      </c>
      <c r="E43" s="2957" t="s">
        <v>3094</v>
      </c>
      <c r="F43" s="460">
        <f>SUMIF(123:123,E43,124:124)-SUMIF(123:123,C43,124:124)+100</f>
        <v>100</v>
      </c>
      <c r="G43" s="2957" t="s">
        <v>3094</v>
      </c>
      <c r="H43" s="434">
        <f>SUMIF(123:123,G43,124:124)-SUMIF(123:123,C43,124:124)+100</f>
        <v>100</v>
      </c>
      <c r="I43" s="2957" t="s">
        <v>3094</v>
      </c>
      <c r="J43" s="434">
        <f>SUMIF(123:123,I43,124:124)-SUMIF(123:123,C43,124:124)+100</f>
        <v>100</v>
      </c>
      <c r="K43" s="611"/>
      <c r="L43" s="1141"/>
      <c r="M43" s="1132"/>
      <c r="N43" s="1132"/>
      <c r="O43" s="1132"/>
      <c r="P43" s="3227"/>
      <c r="Q43" s="1810" t="str">
        <f t="shared" si="11"/>
        <v>内部装修</v>
      </c>
      <c r="R43" s="772" t="s">
        <v>17</v>
      </c>
      <c r="S43" s="773">
        <f t="shared" si="12"/>
        <v>100</v>
      </c>
      <c r="T43" s="772" t="s">
        <v>17</v>
      </c>
      <c r="U43" s="773">
        <f t="shared" si="13"/>
        <v>100</v>
      </c>
      <c r="V43" s="772" t="s">
        <v>17</v>
      </c>
      <c r="W43" s="773">
        <f t="shared" si="14"/>
        <v>100</v>
      </c>
      <c r="X43" s="1813"/>
      <c r="Y43" s="3229"/>
      <c r="Z43" s="1814" t="str">
        <f t="shared" si="15"/>
        <v>内部装修</v>
      </c>
      <c r="AA43" s="1811">
        <f t="shared" si="3"/>
        <v>1</v>
      </c>
      <c r="AB43" s="1811">
        <f t="shared" si="4"/>
        <v>1</v>
      </c>
      <c r="AC43" s="2673">
        <f t="shared" si="5"/>
        <v>1</v>
      </c>
    </row>
    <row r="44" spans="1:29" ht="15">
      <c r="A44" s="471"/>
      <c r="B44" s="421" t="s">
        <v>2581</v>
      </c>
      <c r="C44" s="2957" t="s">
        <v>3079</v>
      </c>
      <c r="D44" s="434">
        <v>100</v>
      </c>
      <c r="E44" s="2959" t="s">
        <v>3079</v>
      </c>
      <c r="F44" s="460">
        <f>SUMIF(125:125,E44,126:126)-SUMIF(125:125,C44,126:126)+100</f>
        <v>100</v>
      </c>
      <c r="G44" s="2959" t="s">
        <v>3079</v>
      </c>
      <c r="H44" s="434">
        <f>SUMIF(125:125,G44,126:126)-SUMIF(125:125,C44,126:126)+100</f>
        <v>100</v>
      </c>
      <c r="I44" s="2959" t="s">
        <v>3079</v>
      </c>
      <c r="J44" s="434">
        <f>SUMIF(125:125,I44,126:126)-SUMIF(125:125,C44,126:126)+100</f>
        <v>100</v>
      </c>
      <c r="K44" s="611"/>
      <c r="L44" s="1141"/>
      <c r="M44" s="1132"/>
      <c r="N44" s="1132"/>
      <c r="O44" s="1132"/>
      <c r="P44" s="3227"/>
      <c r="Q44" s="1810" t="str">
        <f t="shared" si="11"/>
        <v>内部装修维护情况</v>
      </c>
      <c r="R44" s="772" t="s">
        <v>17</v>
      </c>
      <c r="S44" s="773">
        <f t="shared" si="12"/>
        <v>100</v>
      </c>
      <c r="T44" s="772" t="s">
        <v>17</v>
      </c>
      <c r="U44" s="773">
        <f t="shared" si="13"/>
        <v>100</v>
      </c>
      <c r="V44" s="772" t="s">
        <v>17</v>
      </c>
      <c r="W44" s="773">
        <f t="shared" si="14"/>
        <v>100</v>
      </c>
      <c r="X44" s="1813"/>
      <c r="Y44" s="3229"/>
      <c r="Z44" s="1814" t="str">
        <f t="shared" si="15"/>
        <v>内部装修维护情况</v>
      </c>
      <c r="AA44" s="1811">
        <f t="shared" si="3"/>
        <v>1</v>
      </c>
      <c r="AB44" s="1811">
        <f t="shared" si="4"/>
        <v>1</v>
      </c>
      <c r="AC44" s="2673">
        <f t="shared" si="5"/>
        <v>1</v>
      </c>
    </row>
    <row r="45" spans="1:29" s="116" customFormat="1" ht="15">
      <c r="A45" s="472"/>
      <c r="B45" s="1386">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27"/>
      <c r="Q45" s="1795">
        <f t="shared" si="11"/>
        <v>111</v>
      </c>
      <c r="R45" s="768" t="s">
        <v>17</v>
      </c>
      <c r="S45" s="769">
        <f t="shared" si="12"/>
        <v>100</v>
      </c>
      <c r="T45" s="768" t="s">
        <v>17</v>
      </c>
      <c r="U45" s="769">
        <f t="shared" si="13"/>
        <v>100</v>
      </c>
      <c r="V45" s="768" t="s">
        <v>17</v>
      </c>
      <c r="W45" s="769">
        <f t="shared" si="14"/>
        <v>100</v>
      </c>
      <c r="X45" s="770"/>
      <c r="Y45" s="3229"/>
      <c r="Z45" s="54">
        <f t="shared" si="15"/>
        <v>111</v>
      </c>
      <c r="AA45" s="771">
        <f t="shared" si="3"/>
        <v>1</v>
      </c>
      <c r="AB45" s="771">
        <f t="shared" si="4"/>
        <v>1</v>
      </c>
      <c r="AC45" s="2670">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27"/>
      <c r="Q46" s="1810">
        <f t="shared" si="11"/>
        <v>111</v>
      </c>
      <c r="R46" s="772" t="s">
        <v>17</v>
      </c>
      <c r="S46" s="773">
        <f t="shared" si="12"/>
        <v>100</v>
      </c>
      <c r="T46" s="772" t="s">
        <v>17</v>
      </c>
      <c r="U46" s="773">
        <f t="shared" si="13"/>
        <v>100</v>
      </c>
      <c r="V46" s="772" t="s">
        <v>17</v>
      </c>
      <c r="W46" s="773">
        <f t="shared" si="14"/>
        <v>100</v>
      </c>
      <c r="X46" s="1813"/>
      <c r="Y46" s="3229"/>
      <c r="Z46" s="1814">
        <f t="shared" si="15"/>
        <v>111</v>
      </c>
      <c r="AA46" s="1811">
        <f t="shared" si="3"/>
        <v>1</v>
      </c>
      <c r="AB46" s="1811">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28"/>
      <c r="Q47" s="1810">
        <f t="shared" si="11"/>
        <v>111</v>
      </c>
      <c r="R47" s="772" t="s">
        <v>17</v>
      </c>
      <c r="S47" s="773">
        <f t="shared" si="12"/>
        <v>100</v>
      </c>
      <c r="T47" s="772" t="s">
        <v>17</v>
      </c>
      <c r="U47" s="773">
        <f t="shared" si="13"/>
        <v>100</v>
      </c>
      <c r="V47" s="772" t="s">
        <v>17</v>
      </c>
      <c r="W47" s="773">
        <f t="shared" si="14"/>
        <v>100</v>
      </c>
      <c r="X47" s="1813"/>
      <c r="Y47" s="3230"/>
      <c r="Z47" s="1814">
        <f t="shared" si="15"/>
        <v>111</v>
      </c>
      <c r="AA47" s="1811">
        <f t="shared" si="3"/>
        <v>1</v>
      </c>
      <c r="AB47" s="1811">
        <f t="shared" si="4"/>
        <v>1</v>
      </c>
      <c r="AC47" s="2673">
        <f t="shared" si="5"/>
        <v>1</v>
      </c>
    </row>
    <row r="48" spans="1:29" ht="15">
      <c r="A48" s="478" t="s">
        <v>2582</v>
      </c>
      <c r="B48" s="479"/>
      <c r="C48" s="1407" t="s">
        <v>1</v>
      </c>
      <c r="D48" s="1408"/>
      <c r="E48" s="1409">
        <v>18000</v>
      </c>
      <c r="F48" s="1410"/>
      <c r="G48" s="1411">
        <v>19000</v>
      </c>
      <c r="H48" s="1412"/>
      <c r="I48" s="1409">
        <v>17000</v>
      </c>
      <c r="J48" s="484"/>
      <c r="K48" s="781"/>
      <c r="L48" s="1144"/>
      <c r="M48" s="1132"/>
      <c r="N48" s="1132"/>
      <c r="O48" s="1132"/>
      <c r="P48" s="3204" t="str">
        <f>A48</f>
        <v>成交单价（元/平方米）</v>
      </c>
      <c r="Q48" s="3222"/>
      <c r="R48" s="3223">
        <f>E48</f>
        <v>18000</v>
      </c>
      <c r="S48" s="3223"/>
      <c r="T48" s="3223">
        <f>G48</f>
        <v>19000</v>
      </c>
      <c r="U48" s="3223"/>
      <c r="V48" s="3223">
        <f>I48</f>
        <v>17000</v>
      </c>
      <c r="W48" s="3223"/>
      <c r="X48" s="445"/>
      <c r="Y48" s="779"/>
      <c r="Z48" s="445"/>
      <c r="AA48" s="445"/>
      <c r="AB48" s="445"/>
      <c r="AC48" s="629"/>
    </row>
    <row r="49" spans="1:29" ht="15.75" thickBot="1">
      <c r="A49" s="485" t="s">
        <v>2674</v>
      </c>
      <c r="B49" s="486"/>
      <c r="C49" s="1413">
        <f>R50</f>
        <v>18702</v>
      </c>
      <c r="D49" s="1414"/>
      <c r="E49" s="1415">
        <f>R49</f>
        <v>18955</v>
      </c>
      <c r="F49" s="1415"/>
      <c r="G49" s="1413">
        <f>T49</f>
        <v>19608</v>
      </c>
      <c r="H49" s="1414"/>
      <c r="I49" s="1415">
        <f>V49</f>
        <v>17544</v>
      </c>
      <c r="J49" s="488"/>
      <c r="K49" s="782"/>
      <c r="L49" s="1144"/>
      <c r="M49" s="1132"/>
      <c r="N49" s="1132"/>
      <c r="O49" s="1132"/>
      <c r="P49" s="3204" t="str">
        <f>A49</f>
        <v>比较价值（元/平方米）</v>
      </c>
      <c r="Q49" s="3222"/>
      <c r="R49" s="3223">
        <f>IF(F1="售价",ROUND(PRODUCT(R48,AA7:AA47),0),ROUND(PRODUCT(R48,AA7:AA47),1))</f>
        <v>18955</v>
      </c>
      <c r="S49" s="3223"/>
      <c r="T49" s="3223">
        <f>IF(F1="售价",ROUND(PRODUCT(T48,AB7:AB47),0),ROUND(PRODUCT(T48,AB7:AB47),1))</f>
        <v>19608</v>
      </c>
      <c r="U49" s="3223"/>
      <c r="V49" s="3223">
        <f>IF(F1="售价",ROUND(PRODUCT(V48,AC7:AC47),0),ROUND(PRODUCT(V48,AC7:AC47),1))</f>
        <v>17544</v>
      </c>
      <c r="W49" s="3223"/>
      <c r="X49" s="445"/>
      <c r="Y49" s="445"/>
      <c r="Z49" s="445"/>
      <c r="AA49" s="445"/>
      <c r="AB49" s="445"/>
      <c r="AC49" s="629"/>
    </row>
    <row r="50" spans="1:29" ht="15.75" thickBot="1">
      <c r="A50" s="491" t="s">
        <v>2675</v>
      </c>
      <c r="B50" s="492"/>
      <c r="C50" s="1417">
        <f>R50</f>
        <v>18702</v>
      </c>
      <c r="D50" s="1417"/>
      <c r="E50" s="1417"/>
      <c r="F50" s="1417"/>
      <c r="G50" s="1417"/>
      <c r="H50" s="1417"/>
      <c r="I50" s="1417"/>
      <c r="J50" s="493"/>
      <c r="K50" s="783"/>
      <c r="L50" s="1144"/>
      <c r="M50" s="1132"/>
      <c r="N50" s="1132"/>
      <c r="O50" s="1132"/>
      <c r="P50" s="3247" t="str">
        <f>A50</f>
        <v>估价对象XX用房的比较价值（楼面单价，元/平方米）</v>
      </c>
      <c r="Q50" s="3248"/>
      <c r="R50" s="3249">
        <f>IF(F1="售价",ROUND(AVERAGE(R49:V49),0),ROUND(AVERAGE(R49:V49),1))</f>
        <v>18702</v>
      </c>
      <c r="S50" s="3249"/>
      <c r="T50" s="3249"/>
      <c r="U50" s="3249"/>
      <c r="V50" s="3249"/>
      <c r="W50" s="3249"/>
      <c r="X50" s="2653"/>
      <c r="Y50" s="2653"/>
      <c r="Z50" s="2653"/>
      <c r="AA50" s="2653"/>
      <c r="AB50" s="2653"/>
      <c r="AC50" s="2654"/>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2676</v>
      </c>
      <c r="D53" s="497"/>
      <c r="E53" s="498">
        <f>IF(E48&lt;E49,E49/E48-1,E48/E49-1)</f>
        <v>5.3055555555555634E-2</v>
      </c>
      <c r="F53" s="499" t="str">
        <f>IF(OR(E53&gt;=0.3,E53&lt;=-0.3),"超过30%","")</f>
        <v/>
      </c>
      <c r="G53" s="498">
        <f>IF(G48&lt;G49,G49/G48-1,G48/G49-1)</f>
        <v>3.2000000000000028E-2</v>
      </c>
      <c r="H53" s="499" t="str">
        <f>IF(OR(G53&gt;=0.3,G53&lt;=-0.3),"超过30%","")</f>
        <v/>
      </c>
      <c r="I53" s="498">
        <f>IF(I48&lt;I49,I49/I48-1,I48/I49-1)</f>
        <v>3.2000000000000028E-2</v>
      </c>
      <c r="J53" s="499" t="str">
        <f>IF(OR(I53&gt;=0.3,I53&lt;=-0.3),"超过30%","")</f>
        <v/>
      </c>
      <c r="K53" s="1106"/>
      <c r="L53" s="1107"/>
      <c r="M53" s="1145"/>
      <c r="N53" s="1145"/>
      <c r="O53" s="1145"/>
    </row>
    <row r="54" spans="1:29" ht="13.5" customHeight="1">
      <c r="A54" s="1145"/>
      <c r="B54" s="1145"/>
      <c r="C54" s="496" t="s">
        <v>2677</v>
      </c>
      <c r="D54" s="500"/>
      <c r="E54" s="498">
        <f>IF(E49&lt;G49,G49/E49-1,E49/G49-1)</f>
        <v>3.44500131891321E-2</v>
      </c>
      <c r="F54" s="499" t="str">
        <f>IF(OR(E54&gt;=0.2,E54&lt;=-0.2),"超过20%","")</f>
        <v/>
      </c>
      <c r="G54" s="498">
        <f>IF(G49&lt;I49,I49/G49-1,G49/I49-1)</f>
        <v>0.11764705882352944</v>
      </c>
      <c r="H54" s="499" t="str">
        <f>IF(OR(G54&gt;=0.2,G54&lt;=-0.2),"超过20%","")</f>
        <v/>
      </c>
      <c r="I54" s="498">
        <f>IF(I49&lt;E49,E49/I49-1,I49/E49-1)</f>
        <v>8.0426356589147208E-2</v>
      </c>
      <c r="J54" s="499" t="str">
        <f>IF(OR(I54&gt;=0.2,I54&lt;=-0.2),"超过20%","")</f>
        <v/>
      </c>
      <c r="K54" s="1106"/>
      <c r="L54" s="1107"/>
      <c r="M54" s="1145"/>
      <c r="N54" s="1145"/>
      <c r="O54" s="1145"/>
    </row>
    <row r="55" spans="1:29" s="501" customFormat="1" ht="13.5" customHeight="1">
      <c r="A55" s="1146"/>
      <c r="B55" s="1146"/>
      <c r="C55" s="496" t="s">
        <v>2678</v>
      </c>
      <c r="D55" s="500"/>
      <c r="E55" s="498">
        <f>IF(E48&lt;G48,G48/E48-1,E48/G48-1)</f>
        <v>5.555555555555558E-2</v>
      </c>
      <c r="F55" s="499" t="str">
        <f>IF(OR(E55&gt;=0.3,E55&lt;=-0.3),"超过30%","")</f>
        <v/>
      </c>
      <c r="G55" s="498">
        <f>IF(G48&lt;I48,I48/G48-1,G48/I48-1)</f>
        <v>0.11764705882352944</v>
      </c>
      <c r="H55" s="499" t="str">
        <f>IF(OR(G55&gt;=0.3,G55&lt;=-0.3),"超过30%","")</f>
        <v/>
      </c>
      <c r="I55" s="498">
        <f>IF(I48&lt;E48,E48/I48-1,I48/E48-1)</f>
        <v>5.8823529411764719E-2</v>
      </c>
      <c r="J55" s="499" t="str">
        <f>IF(OR(I55&gt;=0.3,I55&lt;=-0.3),"超过30%","")</f>
        <v/>
      </c>
      <c r="K55" s="1149"/>
      <c r="L55" s="1150"/>
      <c r="M55" s="1146"/>
      <c r="N55" s="1146"/>
      <c r="O55" s="1146"/>
      <c r="P55" s="2678"/>
    </row>
    <row r="56" spans="1:29" s="501"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2679</v>
      </c>
      <c r="B58" s="757"/>
      <c r="C58" s="762"/>
      <c r="D58" s="762"/>
      <c r="E58" s="762"/>
      <c r="F58" s="763"/>
      <c r="G58" s="763"/>
      <c r="H58" s="762"/>
      <c r="I58" s="762"/>
      <c r="J58" s="762"/>
      <c r="K58" s="764"/>
      <c r="L58" s="1162"/>
      <c r="M58" s="1160"/>
      <c r="N58" s="1160"/>
      <c r="O58" s="1160"/>
      <c r="P58" s="2679"/>
      <c r="Q58" s="503"/>
    </row>
    <row r="59" spans="1:29" s="507" customFormat="1" ht="15">
      <c r="A59" s="504" t="s">
        <v>2553</v>
      </c>
      <c r="B59" s="505"/>
      <c r="C59" s="1574" t="str">
        <f>YEAR(C7)&amp;"-"&amp;MONTH(C7)</f>
        <v>2018-11</v>
      </c>
      <c r="D59" s="1575">
        <f>EDATE(C59,-1)</f>
        <v>43374</v>
      </c>
      <c r="E59" s="1575">
        <f>EDATE(D59,-1)</f>
        <v>43344</v>
      </c>
      <c r="F59" s="1575">
        <f t="shared" ref="F59:O59" si="16">EDATE(E59,-1)</f>
        <v>43313</v>
      </c>
      <c r="G59" s="1575">
        <f t="shared" si="16"/>
        <v>43282</v>
      </c>
      <c r="H59" s="1575">
        <f t="shared" si="16"/>
        <v>43252</v>
      </c>
      <c r="I59" s="1575">
        <f t="shared" si="16"/>
        <v>43221</v>
      </c>
      <c r="J59" s="1575">
        <f t="shared" si="16"/>
        <v>43191</v>
      </c>
      <c r="K59" s="1575">
        <f t="shared" si="16"/>
        <v>43160</v>
      </c>
      <c r="L59" s="1575">
        <f t="shared" si="16"/>
        <v>43132</v>
      </c>
      <c r="M59" s="1575">
        <f t="shared" si="16"/>
        <v>43101</v>
      </c>
      <c r="N59" s="1575">
        <f t="shared" si="16"/>
        <v>43070</v>
      </c>
      <c r="O59" s="1575">
        <f t="shared" si="16"/>
        <v>43040</v>
      </c>
      <c r="P59" s="1571"/>
    </row>
    <row r="60" spans="1:29" s="116" customFormat="1" ht="15">
      <c r="A60" s="508"/>
      <c r="B60" s="509"/>
      <c r="C60" s="1573">
        <v>100</v>
      </c>
      <c r="D60" s="511"/>
      <c r="E60" s="511"/>
      <c r="F60" s="511"/>
      <c r="G60" s="511"/>
      <c r="H60" s="511"/>
      <c r="I60" s="511"/>
      <c r="J60" s="511"/>
      <c r="K60" s="511"/>
      <c r="L60" s="511"/>
      <c r="M60" s="512"/>
      <c r="N60" s="511"/>
      <c r="O60" s="512"/>
      <c r="P60" s="2680"/>
    </row>
    <row r="61" spans="1:29" s="116" customFormat="1" ht="15.75" thickBot="1">
      <c r="A61" s="514" t="s">
        <v>2590</v>
      </c>
      <c r="B61" s="515"/>
      <c r="C61" s="516"/>
      <c r="D61" s="517"/>
      <c r="E61" s="517"/>
      <c r="F61" s="517"/>
      <c r="G61" s="517"/>
      <c r="H61" s="517"/>
      <c r="I61" s="517"/>
      <c r="J61" s="517"/>
      <c r="K61" s="517"/>
      <c r="L61" s="517"/>
      <c r="M61" s="518"/>
      <c r="N61" s="517"/>
      <c r="O61" s="518"/>
      <c r="P61" s="2680"/>
      <c r="Q61" s="503"/>
    </row>
    <row r="62" spans="1:29" s="116" customFormat="1" ht="15">
      <c r="A62" s="520" t="s">
        <v>2555</v>
      </c>
      <c r="B62" s="509"/>
      <c r="C62" s="521" t="s">
        <v>2657</v>
      </c>
      <c r="D62" s="522"/>
      <c r="E62" s="522"/>
      <c r="F62" s="522"/>
      <c r="G62" s="522"/>
      <c r="H62" s="522"/>
      <c r="I62" s="522"/>
      <c r="J62" s="522"/>
      <c r="K62" s="522"/>
      <c r="L62" s="523"/>
      <c r="M62" s="524"/>
      <c r="N62" s="1152"/>
      <c r="O62" s="1152"/>
      <c r="P62" s="2681"/>
      <c r="Q62" s="503"/>
    </row>
    <row r="63" spans="1:29" s="116" customFormat="1" ht="15.75" thickBot="1">
      <c r="A63" s="520"/>
      <c r="B63" s="509"/>
      <c r="C63" s="510">
        <v>100</v>
      </c>
      <c r="D63" s="511"/>
      <c r="E63" s="511"/>
      <c r="F63" s="511"/>
      <c r="G63" s="511"/>
      <c r="H63" s="511"/>
      <c r="I63" s="511"/>
      <c r="J63" s="511"/>
      <c r="K63" s="511"/>
      <c r="L63" s="511"/>
      <c r="M63" s="513"/>
      <c r="N63" s="1152"/>
      <c r="O63" s="1152"/>
      <c r="P63" s="2680"/>
      <c r="Q63" s="503"/>
    </row>
    <row r="64" spans="1:29">
      <c r="A64" s="526" t="s">
        <v>2593</v>
      </c>
      <c r="B64" s="527" t="s">
        <v>2559</v>
      </c>
      <c r="C64" s="528" t="str">
        <f>C9</f>
        <v>办公</v>
      </c>
      <c r="D64" s="529"/>
      <c r="E64" s="529"/>
      <c r="F64" s="529"/>
      <c r="G64" s="529"/>
      <c r="H64" s="529"/>
      <c r="I64" s="529"/>
      <c r="J64" s="529"/>
      <c r="K64" s="530"/>
      <c r="L64" s="531"/>
      <c r="M64" s="532"/>
      <c r="N64" s="1153"/>
      <c r="O64" s="1153"/>
      <c r="P64" s="2682"/>
      <c r="Q64" s="503"/>
    </row>
    <row r="65" spans="1:17" ht="15.75" thickBot="1">
      <c r="A65" s="533"/>
      <c r="B65" s="534"/>
      <c r="C65" s="535">
        <v>100</v>
      </c>
      <c r="D65" s="535"/>
      <c r="E65" s="535"/>
      <c r="F65" s="535"/>
      <c r="G65" s="535"/>
      <c r="H65" s="535"/>
      <c r="I65" s="535"/>
      <c r="J65" s="535"/>
      <c r="K65" s="535"/>
      <c r="L65" s="535"/>
      <c r="M65" s="536"/>
      <c r="N65" s="1154"/>
      <c r="O65" s="1154"/>
      <c r="P65" s="2682"/>
      <c r="Q65" s="503"/>
    </row>
    <row r="66" spans="1:17" ht="27.75" thickTop="1">
      <c r="A66" s="533"/>
      <c r="B66" s="537" t="s">
        <v>2562</v>
      </c>
      <c r="C66" s="538" t="s">
        <v>2594</v>
      </c>
      <c r="D66" s="538" t="s">
        <v>2595</v>
      </c>
      <c r="E66" s="538" t="s">
        <v>2596</v>
      </c>
      <c r="F66" s="538" t="s">
        <v>2597</v>
      </c>
      <c r="G66" s="538" t="s">
        <v>2598</v>
      </c>
      <c r="H66" s="538" t="s">
        <v>2599</v>
      </c>
      <c r="I66" s="538" t="s">
        <v>2600</v>
      </c>
      <c r="J66" s="538"/>
      <c r="K66" s="539"/>
      <c r="L66" s="540"/>
      <c r="M66" s="541"/>
      <c r="N66" s="1153"/>
      <c r="O66" s="1153"/>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2"/>
      <c r="Q67" s="503"/>
    </row>
    <row r="68" spans="1:17" ht="15.75" thickTop="1">
      <c r="A68" s="533"/>
      <c r="B68" s="545" t="s">
        <v>2563</v>
      </c>
      <c r="C68" s="546" t="str">
        <f>C69&amp;"（含）"&amp;"-"&amp;D69</f>
        <v>0（含）-1</v>
      </c>
      <c r="D68" s="546" t="str">
        <f t="shared" ref="D68:L68" si="17">D69&amp;"（含）"&amp;"-"&amp;E69</f>
        <v>1（含）-2</v>
      </c>
      <c r="E68" s="546" t="str">
        <f t="shared" si="17"/>
        <v>2（含）-3</v>
      </c>
      <c r="F68" s="546" t="str">
        <f t="shared" si="17"/>
        <v>3（含）-4</v>
      </c>
      <c r="G68" s="546" t="str">
        <f t="shared" si="17"/>
        <v>4（含）-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2"/>
      <c r="Q68" s="503"/>
    </row>
    <row r="69" spans="1:17" ht="15">
      <c r="A69" s="533"/>
      <c r="B69" s="547"/>
      <c r="C69" s="548">
        <v>0</v>
      </c>
      <c r="D69" s="548">
        <v>1</v>
      </c>
      <c r="E69" s="548">
        <v>2</v>
      </c>
      <c r="F69" s="548">
        <v>3</v>
      </c>
      <c r="G69" s="548">
        <v>4</v>
      </c>
      <c r="H69" s="548"/>
      <c r="I69" s="548"/>
      <c r="J69" s="548"/>
      <c r="K69" s="549"/>
      <c r="L69" s="550"/>
      <c r="M69" s="551"/>
      <c r="N69" s="1153"/>
      <c r="O69" s="1153"/>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2"/>
      <c r="Q70" s="503"/>
    </row>
    <row r="71" spans="1:17" s="470" customFormat="1" ht="15.75" thickTop="1">
      <c r="A71" s="552"/>
      <c r="B71" s="537">
        <f>B12</f>
        <v>111</v>
      </c>
      <c r="C71" s="553"/>
      <c r="D71" s="553"/>
      <c r="E71" s="553"/>
      <c r="F71" s="553"/>
      <c r="G71" s="553"/>
      <c r="H71" s="554"/>
      <c r="I71" s="554"/>
      <c r="J71" s="554"/>
      <c r="K71" s="554"/>
      <c r="L71" s="555"/>
      <c r="M71" s="556"/>
      <c r="N71" s="1155"/>
      <c r="O71" s="1155"/>
      <c r="P71" s="2683"/>
      <c r="Q71" s="558"/>
    </row>
    <row r="72" spans="1:17" s="470" customFormat="1" ht="15.75" thickBot="1">
      <c r="A72" s="552"/>
      <c r="B72" s="542"/>
      <c r="C72" s="559"/>
      <c r="D72" s="535"/>
      <c r="E72" s="535"/>
      <c r="F72" s="535"/>
      <c r="G72" s="535"/>
      <c r="H72" s="535"/>
      <c r="I72" s="535"/>
      <c r="J72" s="535"/>
      <c r="K72" s="535"/>
      <c r="L72" s="535"/>
      <c r="M72" s="536"/>
      <c r="N72" s="1154"/>
      <c r="O72" s="1154"/>
      <c r="P72" s="2683"/>
      <c r="Q72" s="558"/>
    </row>
    <row r="73" spans="1:17" s="470" customFormat="1" ht="15.75" thickTop="1">
      <c r="A73" s="552"/>
      <c r="B73" s="537">
        <f>B13</f>
        <v>111</v>
      </c>
      <c r="C73" s="553"/>
      <c r="D73" s="553"/>
      <c r="E73" s="553"/>
      <c r="F73" s="553"/>
      <c r="G73" s="553"/>
      <c r="H73" s="554"/>
      <c r="I73" s="554"/>
      <c r="J73" s="554"/>
      <c r="K73" s="554"/>
      <c r="L73" s="555"/>
      <c r="M73" s="556"/>
      <c r="N73" s="1155"/>
      <c r="O73" s="1155"/>
      <c r="P73" s="2684"/>
      <c r="Q73" s="560"/>
    </row>
    <row r="74" spans="1:17" s="470" customFormat="1" ht="15.75" thickBot="1">
      <c r="A74" s="552"/>
      <c r="B74" s="542"/>
      <c r="C74" s="559"/>
      <c r="D74" s="559"/>
      <c r="E74" s="559"/>
      <c r="F74" s="559"/>
      <c r="G74" s="559"/>
      <c r="H74" s="561"/>
      <c r="I74" s="561"/>
      <c r="J74" s="561"/>
      <c r="K74" s="561"/>
      <c r="L74" s="561"/>
      <c r="M74" s="562"/>
      <c r="N74" s="1155"/>
      <c r="O74" s="1155"/>
      <c r="P74" s="2683"/>
      <c r="Q74" s="558"/>
    </row>
    <row r="75" spans="1:17" s="470" customFormat="1" ht="15.75" thickTop="1">
      <c r="A75" s="552"/>
      <c r="B75" s="545">
        <f>B14</f>
        <v>111</v>
      </c>
      <c r="C75" s="522"/>
      <c r="D75" s="522"/>
      <c r="E75" s="522"/>
      <c r="F75" s="522"/>
      <c r="G75" s="522"/>
      <c r="H75" s="563"/>
      <c r="I75" s="563"/>
      <c r="J75" s="563"/>
      <c r="K75" s="563"/>
      <c r="L75" s="564"/>
      <c r="M75" s="565"/>
      <c r="N75" s="1155"/>
      <c r="O75" s="1155"/>
      <c r="P75" s="2685"/>
      <c r="Q75" s="558"/>
    </row>
    <row r="76" spans="1:17" s="470" customFormat="1" ht="15.75" thickBot="1">
      <c r="A76" s="567"/>
      <c r="B76" s="568"/>
      <c r="C76" s="569"/>
      <c r="D76" s="569"/>
      <c r="E76" s="569"/>
      <c r="F76" s="569"/>
      <c r="G76" s="569"/>
      <c r="H76" s="570"/>
      <c r="I76" s="570"/>
      <c r="J76" s="570"/>
      <c r="K76" s="570"/>
      <c r="L76" s="570"/>
      <c r="M76" s="571"/>
      <c r="N76" s="1155"/>
      <c r="O76" s="1155"/>
      <c r="P76" s="2683"/>
      <c r="Q76" s="558"/>
    </row>
    <row r="77" spans="1:17">
      <c r="A77" s="526" t="s">
        <v>2564</v>
      </c>
      <c r="B77" s="527" t="s">
        <v>2702</v>
      </c>
      <c r="C77" s="572" t="s">
        <v>2602</v>
      </c>
      <c r="D77" s="572" t="s">
        <v>2603</v>
      </c>
      <c r="E77" s="572" t="s">
        <v>2604</v>
      </c>
      <c r="F77" s="572" t="s">
        <v>2605</v>
      </c>
      <c r="G77" s="572" t="s">
        <v>2606</v>
      </c>
      <c r="H77" s="528"/>
      <c r="I77" s="528"/>
      <c r="J77" s="528"/>
      <c r="K77" s="573"/>
      <c r="L77" s="574"/>
      <c r="M77" s="575"/>
      <c r="N77" s="1153"/>
      <c r="O77" s="1153"/>
      <c r="P77" s="2686"/>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4"/>
      <c r="O78" s="1154"/>
      <c r="P78" s="2682"/>
      <c r="Q78" s="503"/>
    </row>
    <row r="79" spans="1:17" ht="15.75" thickTop="1">
      <c r="A79" s="533"/>
      <c r="B79" s="537" t="s">
        <v>2607</v>
      </c>
      <c r="C79" s="577" t="s">
        <v>2602</v>
      </c>
      <c r="D79" s="577" t="s">
        <v>2603</v>
      </c>
      <c r="E79" s="577" t="s">
        <v>2604</v>
      </c>
      <c r="F79" s="577" t="s">
        <v>2605</v>
      </c>
      <c r="G79" s="577" t="s">
        <v>2606</v>
      </c>
      <c r="H79" s="538"/>
      <c r="I79" s="538"/>
      <c r="J79" s="538"/>
      <c r="K79" s="539"/>
      <c r="L79" s="540"/>
      <c r="M79" s="541"/>
      <c r="N79" s="1153"/>
      <c r="O79" s="1153"/>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2"/>
      <c r="Q80" s="503"/>
    </row>
    <row r="81" spans="1:17" ht="15.75" thickTop="1">
      <c r="A81" s="533"/>
      <c r="B81" s="537" t="s">
        <v>2608</v>
      </c>
      <c r="C81" s="577" t="s">
        <v>2602</v>
      </c>
      <c r="D81" s="577" t="s">
        <v>2603</v>
      </c>
      <c r="E81" s="577" t="s">
        <v>2604</v>
      </c>
      <c r="F81" s="577" t="s">
        <v>2605</v>
      </c>
      <c r="G81" s="577" t="s">
        <v>2606</v>
      </c>
      <c r="H81" s="538"/>
      <c r="I81" s="538"/>
      <c r="J81" s="538"/>
      <c r="K81" s="539"/>
      <c r="L81" s="540"/>
      <c r="M81" s="541"/>
      <c r="N81" s="1153"/>
      <c r="O81" s="1153"/>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2"/>
      <c r="Q82" s="503"/>
    </row>
    <row r="83" spans="1:17" ht="15.75" thickTop="1">
      <c r="A83" s="533"/>
      <c r="B83" s="545" t="s">
        <v>2694</v>
      </c>
      <c r="C83" s="659" t="s">
        <v>2680</v>
      </c>
      <c r="D83" s="659" t="s">
        <v>2681</v>
      </c>
      <c r="E83" s="659" t="s">
        <v>2682</v>
      </c>
      <c r="F83" s="659" t="s">
        <v>2683</v>
      </c>
      <c r="G83" s="659" t="s">
        <v>2684</v>
      </c>
      <c r="H83" s="538"/>
      <c r="I83" s="538"/>
      <c r="J83" s="538"/>
      <c r="K83" s="538"/>
      <c r="L83" s="538"/>
      <c r="M83" s="1382"/>
      <c r="N83" s="1154"/>
      <c r="O83" s="1154"/>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2"/>
      <c r="Q84" s="503"/>
    </row>
    <row r="85" spans="1:17" ht="15.75" thickTop="1">
      <c r="A85" s="533"/>
      <c r="B85" s="537" t="s">
        <v>2703</v>
      </c>
      <c r="C85" s="577" t="s">
        <v>2602</v>
      </c>
      <c r="D85" s="577" t="s">
        <v>2603</v>
      </c>
      <c r="E85" s="577" t="s">
        <v>2604</v>
      </c>
      <c r="F85" s="577" t="s">
        <v>2605</v>
      </c>
      <c r="G85" s="577" t="s">
        <v>2606</v>
      </c>
      <c r="H85" s="538"/>
      <c r="I85" s="538"/>
      <c r="J85" s="538"/>
      <c r="K85" s="539"/>
      <c r="L85" s="540"/>
      <c r="M85" s="541"/>
      <c r="N85" s="1153"/>
      <c r="O85" s="1153"/>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2"/>
      <c r="Q86" s="503"/>
    </row>
    <row r="87" spans="1:17" s="116" customFormat="1" ht="27.75" thickTop="1">
      <c r="A87" s="578"/>
      <c r="B87" s="537" t="s">
        <v>2704</v>
      </c>
      <c r="C87" s="553"/>
      <c r="D87" s="553"/>
      <c r="E87" s="553"/>
      <c r="F87" s="553"/>
      <c r="G87" s="553"/>
      <c r="H87" s="553"/>
      <c r="I87" s="553"/>
      <c r="J87" s="553"/>
      <c r="K87" s="553"/>
      <c r="L87" s="579"/>
      <c r="M87" s="580"/>
      <c r="N87" s="1152"/>
      <c r="O87" s="1152"/>
      <c r="P87" s="268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2"/>
      <c r="Q88" s="503"/>
    </row>
    <row r="89" spans="1:17" s="116" customFormat="1" ht="15.75" thickTop="1">
      <c r="A89" s="578"/>
      <c r="B89" s="537" t="str">
        <f>B27</f>
        <v>楼层</v>
      </c>
      <c r="C89" s="2961" t="s">
        <v>3099</v>
      </c>
      <c r="D89" s="2961" t="s">
        <v>3097</v>
      </c>
      <c r="E89" s="2961" t="s">
        <v>3098</v>
      </c>
      <c r="F89" s="2634"/>
      <c r="G89" s="553"/>
      <c r="H89" s="553"/>
      <c r="I89" s="553"/>
      <c r="J89" s="553"/>
      <c r="K89" s="553"/>
      <c r="L89" s="553"/>
      <c r="M89" s="580"/>
      <c r="N89" s="1152"/>
      <c r="O89" s="1152"/>
      <c r="P89" s="2682"/>
      <c r="Q89" s="503"/>
    </row>
    <row r="90" spans="1:17" s="116" customFormat="1" ht="15.75" thickBot="1">
      <c r="A90" s="578"/>
      <c r="B90" s="542"/>
      <c r="C90" s="581">
        <v>100</v>
      </c>
      <c r="D90" s="543">
        <f>C90-$K27</f>
        <v>95</v>
      </c>
      <c r="E90" s="543">
        <f t="shared" ref="E90:M90" si="20">D90-$K27</f>
        <v>90</v>
      </c>
      <c r="F90" s="543">
        <f t="shared" si="20"/>
        <v>85</v>
      </c>
      <c r="G90" s="543">
        <f t="shared" si="20"/>
        <v>80</v>
      </c>
      <c r="H90" s="543">
        <f t="shared" si="20"/>
        <v>75</v>
      </c>
      <c r="I90" s="543">
        <f t="shared" si="20"/>
        <v>70</v>
      </c>
      <c r="J90" s="543">
        <f t="shared" si="20"/>
        <v>65</v>
      </c>
      <c r="K90" s="543">
        <f t="shared" si="20"/>
        <v>60</v>
      </c>
      <c r="L90" s="543">
        <f t="shared" si="20"/>
        <v>55</v>
      </c>
      <c r="M90" s="543">
        <f t="shared" si="20"/>
        <v>50</v>
      </c>
      <c r="N90" s="1154"/>
      <c r="O90" s="1154"/>
      <c r="P90" s="2682"/>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3"/>
      <c r="Q92" s="558"/>
    </row>
    <row r="93" spans="1:17" ht="15.75" thickTop="1">
      <c r="A93" s="533"/>
      <c r="B93" s="537">
        <f>B29</f>
        <v>111</v>
      </c>
      <c r="C93" s="553"/>
      <c r="D93" s="553"/>
      <c r="E93" s="553"/>
      <c r="F93" s="553"/>
      <c r="G93" s="553"/>
      <c r="H93" s="553"/>
      <c r="I93" s="553"/>
      <c r="J93" s="553"/>
      <c r="K93" s="553"/>
      <c r="L93" s="579"/>
      <c r="M93" s="580"/>
      <c r="N93" s="1153"/>
      <c r="O93" s="1153"/>
      <c r="P93" s="2682"/>
      <c r="Q93" s="503"/>
    </row>
    <row r="94" spans="1:17" ht="15.75" thickBot="1">
      <c r="A94" s="533"/>
      <c r="B94" s="542"/>
      <c r="C94" s="559"/>
      <c r="D94" s="535"/>
      <c r="E94" s="535"/>
      <c r="F94" s="535"/>
      <c r="G94" s="535"/>
      <c r="H94" s="535"/>
      <c r="I94" s="535"/>
      <c r="J94" s="535"/>
      <c r="K94" s="535"/>
      <c r="L94" s="535"/>
      <c r="M94" s="536"/>
      <c r="N94" s="1154"/>
      <c r="O94" s="1154"/>
      <c r="P94" s="2682"/>
      <c r="Q94" s="503"/>
    </row>
    <row r="95" spans="1:17" ht="15.75" thickTop="1">
      <c r="A95" s="533"/>
      <c r="B95" s="537">
        <f>B30</f>
        <v>111</v>
      </c>
      <c r="C95" s="553"/>
      <c r="D95" s="553"/>
      <c r="E95" s="553"/>
      <c r="F95" s="553"/>
      <c r="G95" s="582"/>
      <c r="H95" s="582"/>
      <c r="I95" s="582"/>
      <c r="J95" s="582"/>
      <c r="K95" s="583"/>
      <c r="L95" s="584"/>
      <c r="M95" s="585"/>
      <c r="N95" s="1153"/>
      <c r="O95" s="1153"/>
      <c r="P95" s="2682"/>
      <c r="Q95" s="503"/>
    </row>
    <row r="96" spans="1:17" ht="15.75" thickBot="1">
      <c r="A96" s="533"/>
      <c r="B96" s="542"/>
      <c r="C96" s="559"/>
      <c r="D96" s="559"/>
      <c r="E96" s="559"/>
      <c r="F96" s="559"/>
      <c r="G96" s="535"/>
      <c r="H96" s="535"/>
      <c r="I96" s="535"/>
      <c r="J96" s="535"/>
      <c r="K96" s="535"/>
      <c r="L96" s="535"/>
      <c r="M96" s="536"/>
      <c r="N96" s="1154"/>
      <c r="O96" s="1154"/>
      <c r="P96" s="2682"/>
      <c r="Q96" s="503"/>
    </row>
    <row r="97" spans="1:17" ht="15.75" thickTop="1">
      <c r="A97" s="533"/>
      <c r="B97" s="537">
        <f>B31</f>
        <v>111</v>
      </c>
      <c r="C97" s="553"/>
      <c r="D97" s="553"/>
      <c r="E97" s="553"/>
      <c r="F97" s="553"/>
      <c r="G97" s="582"/>
      <c r="H97" s="582"/>
      <c r="I97" s="582"/>
      <c r="J97" s="582"/>
      <c r="K97" s="583"/>
      <c r="L97" s="584"/>
      <c r="M97" s="585"/>
      <c r="N97" s="1153"/>
      <c r="O97" s="1153"/>
      <c r="P97" s="2682"/>
      <c r="Q97" s="503"/>
    </row>
    <row r="98" spans="1:17" ht="15.75" thickBot="1">
      <c r="A98" s="533"/>
      <c r="B98" s="542"/>
      <c r="C98" s="559"/>
      <c r="D98" s="535"/>
      <c r="E98" s="535"/>
      <c r="F98" s="535"/>
      <c r="G98" s="535"/>
      <c r="H98" s="535"/>
      <c r="I98" s="535"/>
      <c r="J98" s="535"/>
      <c r="K98" s="535"/>
      <c r="L98" s="535"/>
      <c r="M98" s="536"/>
      <c r="N98" s="1154"/>
      <c r="O98" s="1154"/>
      <c r="P98" s="2682"/>
      <c r="Q98" s="503"/>
    </row>
    <row r="99" spans="1:17" ht="15.75" thickTop="1">
      <c r="A99" s="533"/>
      <c r="B99" s="545">
        <f>B32</f>
        <v>111</v>
      </c>
      <c r="C99" s="522"/>
      <c r="D99" s="522"/>
      <c r="E99" s="522"/>
      <c r="F99" s="522"/>
      <c r="G99" s="586"/>
      <c r="H99" s="586"/>
      <c r="I99" s="586"/>
      <c r="J99" s="586"/>
      <c r="K99" s="587"/>
      <c r="L99" s="588"/>
      <c r="M99" s="589"/>
      <c r="N99" s="1153"/>
      <c r="O99" s="1153"/>
      <c r="P99" s="2682"/>
      <c r="Q99" s="503"/>
    </row>
    <row r="100" spans="1:17" ht="15.75" thickBot="1">
      <c r="A100" s="2635"/>
      <c r="B100" s="568"/>
      <c r="C100" s="569"/>
      <c r="D100" s="569"/>
      <c r="E100" s="569"/>
      <c r="F100" s="569"/>
      <c r="G100" s="590"/>
      <c r="H100" s="590"/>
      <c r="I100" s="590"/>
      <c r="J100" s="590"/>
      <c r="K100" s="590"/>
      <c r="L100" s="590"/>
      <c r="M100" s="591"/>
      <c r="N100" s="1154"/>
      <c r="O100" s="1154"/>
      <c r="P100" s="2682"/>
      <c r="Q100" s="503"/>
    </row>
    <row r="101" spans="1:17">
      <c r="A101" s="526" t="s">
        <v>2568</v>
      </c>
      <c r="B101" s="527" t="s">
        <v>2617</v>
      </c>
      <c r="C101" s="529"/>
      <c r="D101" s="529"/>
      <c r="E101" s="529"/>
      <c r="F101" s="529"/>
      <c r="G101" s="529"/>
      <c r="H101" s="529"/>
      <c r="I101" s="529"/>
      <c r="J101" s="529"/>
      <c r="K101" s="530"/>
      <c r="L101" s="531"/>
      <c r="M101" s="532"/>
      <c r="N101" s="1153"/>
      <c r="O101" s="1153"/>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2"/>
      <c r="Q102" s="503"/>
    </row>
    <row r="103" spans="1:17" ht="29.25" thickTop="1">
      <c r="A103" s="533"/>
      <c r="B103" s="537" t="s">
        <v>2618</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1000(含)-1200</v>
      </c>
      <c r="I103" s="577" t="str">
        <f t="shared" si="23"/>
        <v>1200(含)-1400</v>
      </c>
      <c r="J103" s="577" t="str">
        <f t="shared" si="23"/>
        <v>1400(含)-1600</v>
      </c>
      <c r="K103" s="577" t="str">
        <f t="shared" si="23"/>
        <v>1600(含)-</v>
      </c>
      <c r="L103" s="577" t="str">
        <f t="shared" si="23"/>
        <v>(含)-</v>
      </c>
      <c r="M103" s="621" t="str">
        <f>M104&amp;"(含)"&amp;"-"&amp;P104</f>
        <v>(含)-</v>
      </c>
      <c r="N103" s="1152"/>
      <c r="O103" s="1152"/>
      <c r="P103" s="2682"/>
      <c r="Q103" s="503"/>
    </row>
    <row r="104" spans="1:17" s="470" customFormat="1">
      <c r="A104" s="592"/>
      <c r="B104" s="593"/>
      <c r="C104" s="594">
        <v>0</v>
      </c>
      <c r="D104" s="594">
        <v>200</v>
      </c>
      <c r="E104" s="594">
        <v>400</v>
      </c>
      <c r="F104" s="594">
        <v>600</v>
      </c>
      <c r="G104" s="594">
        <v>800</v>
      </c>
      <c r="H104" s="594">
        <v>1000</v>
      </c>
      <c r="I104" s="594">
        <v>1200</v>
      </c>
      <c r="J104" s="595">
        <v>1400</v>
      </c>
      <c r="K104" s="595">
        <v>1600</v>
      </c>
      <c r="L104" s="596"/>
      <c r="M104" s="597"/>
      <c r="N104" s="1155"/>
      <c r="O104" s="1155"/>
      <c r="P104" s="2683"/>
      <c r="Q104" s="558"/>
    </row>
    <row r="105" spans="1:17" s="470" customFormat="1" ht="15.75" thickBot="1">
      <c r="A105" s="552"/>
      <c r="B105" s="542"/>
      <c r="C105" s="559">
        <v>100</v>
      </c>
      <c r="D105" s="535">
        <v>102</v>
      </c>
      <c r="E105" s="535">
        <v>104</v>
      </c>
      <c r="F105" s="535">
        <v>106</v>
      </c>
      <c r="G105" s="535">
        <v>108</v>
      </c>
      <c r="H105" s="535">
        <v>110</v>
      </c>
      <c r="I105" s="535">
        <v>112</v>
      </c>
      <c r="J105" s="535">
        <v>114</v>
      </c>
      <c r="K105" s="535">
        <v>116</v>
      </c>
      <c r="L105" s="535"/>
      <c r="M105" s="536"/>
      <c r="N105" s="1154"/>
      <c r="O105" s="1154"/>
      <c r="P105" s="2683"/>
      <c r="Q105" s="558"/>
    </row>
    <row r="106" spans="1:17" ht="15" thickTop="1">
      <c r="A106" s="598"/>
      <c r="B106" s="537" t="s">
        <v>2619</v>
      </c>
      <c r="C106" s="553"/>
      <c r="D106" s="553"/>
      <c r="E106" s="582"/>
      <c r="F106" s="582"/>
      <c r="G106" s="582"/>
      <c r="H106" s="582"/>
      <c r="I106" s="582"/>
      <c r="J106" s="582"/>
      <c r="K106" s="583"/>
      <c r="L106" s="584"/>
      <c r="M106" s="585"/>
      <c r="N106" s="1153"/>
      <c r="O106" s="1153"/>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2"/>
      <c r="Q107" s="503"/>
    </row>
    <row r="108" spans="1:17" ht="15" thickTop="1">
      <c r="A108" s="598"/>
      <c r="B108" s="537" t="s">
        <v>2621</v>
      </c>
      <c r="C108" s="553"/>
      <c r="D108" s="553"/>
      <c r="E108" s="553"/>
      <c r="F108" s="582"/>
      <c r="G108" s="582"/>
      <c r="H108" s="582"/>
      <c r="I108" s="582"/>
      <c r="J108" s="582"/>
      <c r="K108" s="583"/>
      <c r="L108" s="584"/>
      <c r="M108" s="585"/>
      <c r="N108" s="1153"/>
      <c r="O108" s="1153"/>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2"/>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2"/>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2"/>
      <c r="Q112" s="503"/>
    </row>
    <row r="113" spans="1:17" s="470" customFormat="1" ht="15" thickTop="1">
      <c r="A113" s="592"/>
      <c r="B113" s="537" t="s">
        <v>2705</v>
      </c>
      <c r="C113" s="553"/>
      <c r="D113" s="553"/>
      <c r="E113" s="553"/>
      <c r="F113" s="553"/>
      <c r="G113" s="553"/>
      <c r="H113" s="582"/>
      <c r="I113" s="582"/>
      <c r="J113" s="582"/>
      <c r="K113" s="583"/>
      <c r="L113" s="584"/>
      <c r="M113" s="585"/>
      <c r="N113" s="1155"/>
      <c r="O113" s="1155"/>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3"/>
      <c r="Q114" s="558"/>
    </row>
    <row r="115" spans="1:17" ht="15" thickTop="1">
      <c r="A115" s="598"/>
      <c r="B115" s="537" t="s">
        <v>2622</v>
      </c>
      <c r="C115" s="553"/>
      <c r="D115" s="553"/>
      <c r="E115" s="582"/>
      <c r="F115" s="582"/>
      <c r="G115" s="582"/>
      <c r="H115" s="582"/>
      <c r="I115" s="582"/>
      <c r="J115" s="582"/>
      <c r="K115" s="583"/>
      <c r="L115" s="584"/>
      <c r="M115" s="585"/>
      <c r="N115" s="1153"/>
      <c r="O115" s="1153"/>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2"/>
      <c r="Q116" s="503"/>
    </row>
    <row r="117" spans="1:17" ht="15" thickTop="1">
      <c r="A117" s="598"/>
      <c r="B117" s="537" t="s">
        <v>2623</v>
      </c>
      <c r="C117" s="553"/>
      <c r="D117" s="553"/>
      <c r="E117" s="553"/>
      <c r="F117" s="553"/>
      <c r="G117" s="553"/>
      <c r="H117" s="582"/>
      <c r="I117" s="582"/>
      <c r="J117" s="582"/>
      <c r="K117" s="583"/>
      <c r="L117" s="584"/>
      <c r="M117" s="585"/>
      <c r="N117" s="1153"/>
      <c r="O117" s="1153"/>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2"/>
      <c r="Q118" s="503"/>
    </row>
    <row r="119" spans="1:17" ht="15" thickTop="1">
      <c r="A119" s="598"/>
      <c r="B119" s="635" t="s">
        <v>2706</v>
      </c>
      <c r="C119" s="582"/>
      <c r="D119" s="582"/>
      <c r="E119" s="582"/>
      <c r="F119" s="582"/>
      <c r="G119" s="582"/>
      <c r="H119" s="582"/>
      <c r="I119" s="582"/>
      <c r="J119" s="582"/>
      <c r="K119" s="582"/>
      <c r="L119" s="2687"/>
      <c r="M119" s="2688"/>
      <c r="N119" s="1154"/>
      <c r="O119" s="1154"/>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2"/>
      <c r="Q120" s="503"/>
    </row>
    <row r="121" spans="1:17" s="470" customFormat="1" ht="15" thickTop="1">
      <c r="A121" s="592"/>
      <c r="B121" s="537" t="s">
        <v>2689</v>
      </c>
      <c r="C121" s="553"/>
      <c r="D121" s="553"/>
      <c r="E121" s="553"/>
      <c r="F121" s="582"/>
      <c r="G121" s="554"/>
      <c r="H121" s="554"/>
      <c r="I121" s="554"/>
      <c r="J121" s="554"/>
      <c r="K121" s="554"/>
      <c r="L121" s="555"/>
      <c r="M121" s="556"/>
      <c r="N121" s="1155"/>
      <c r="O121" s="1155"/>
      <c r="P121" s="2683"/>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3"/>
      <c r="Q122" s="558"/>
    </row>
    <row r="123" spans="1:17" ht="15" thickTop="1">
      <c r="A123" s="598"/>
      <c r="B123" s="537" t="s">
        <v>2625</v>
      </c>
      <c r="C123" s="553"/>
      <c r="D123" s="553"/>
      <c r="E123" s="553"/>
      <c r="F123" s="582"/>
      <c r="G123" s="582"/>
      <c r="H123" s="582"/>
      <c r="I123" s="582"/>
      <c r="J123" s="582"/>
      <c r="K123" s="583"/>
      <c r="L123" s="584"/>
      <c r="M123" s="585"/>
      <c r="N123" s="1153"/>
      <c r="O123" s="1153"/>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2"/>
      <c r="Q124" s="503"/>
    </row>
    <row r="125" spans="1:17" ht="15" thickTop="1">
      <c r="A125" s="598"/>
      <c r="B125" s="537" t="s">
        <v>2626</v>
      </c>
      <c r="C125" s="577" t="s">
        <v>2602</v>
      </c>
      <c r="D125" s="577" t="s">
        <v>2603</v>
      </c>
      <c r="E125" s="577" t="s">
        <v>2604</v>
      </c>
      <c r="F125" s="577" t="s">
        <v>2605</v>
      </c>
      <c r="G125" s="577" t="s">
        <v>2606</v>
      </c>
      <c r="H125" s="538"/>
      <c r="I125" s="538"/>
      <c r="J125" s="538"/>
      <c r="K125" s="539"/>
      <c r="L125" s="540"/>
      <c r="M125" s="541"/>
      <c r="N125" s="1153"/>
      <c r="O125" s="1153"/>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2"/>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3"/>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3"/>
      <c r="Q128" s="558"/>
    </row>
    <row r="129" spans="1:17" ht="15" thickTop="1">
      <c r="A129" s="598"/>
      <c r="B129" s="537">
        <f>B46</f>
        <v>111</v>
      </c>
      <c r="C129" s="553"/>
      <c r="D129" s="553"/>
      <c r="E129" s="553"/>
      <c r="F129" s="553"/>
      <c r="G129" s="582"/>
      <c r="H129" s="582"/>
      <c r="I129" s="582"/>
      <c r="J129" s="582"/>
      <c r="K129" s="583"/>
      <c r="L129" s="584"/>
      <c r="M129" s="585"/>
      <c r="N129" s="1153"/>
      <c r="O129" s="1153"/>
      <c r="P129" s="2682"/>
      <c r="Q129" s="503"/>
    </row>
    <row r="130" spans="1:17" ht="15.75" thickBot="1">
      <c r="A130" s="533"/>
      <c r="B130" s="542"/>
      <c r="C130" s="559"/>
      <c r="D130" s="559"/>
      <c r="E130" s="559"/>
      <c r="F130" s="559"/>
      <c r="G130" s="535"/>
      <c r="H130" s="535"/>
      <c r="I130" s="535"/>
      <c r="J130" s="535"/>
      <c r="K130" s="535"/>
      <c r="L130" s="535"/>
      <c r="M130" s="536"/>
      <c r="N130" s="1154"/>
      <c r="O130" s="1154"/>
      <c r="P130" s="2682"/>
      <c r="Q130" s="503"/>
    </row>
    <row r="131" spans="1:17" ht="15" thickTop="1">
      <c r="A131" s="598"/>
      <c r="B131" s="545">
        <f>B47</f>
        <v>111</v>
      </c>
      <c r="C131" s="522"/>
      <c r="D131" s="522"/>
      <c r="E131" s="522"/>
      <c r="F131" s="522"/>
      <c r="G131" s="586"/>
      <c r="H131" s="586"/>
      <c r="I131" s="586"/>
      <c r="J131" s="586"/>
      <c r="K131" s="522"/>
      <c r="L131" s="523"/>
      <c r="M131" s="589"/>
      <c r="N131" s="1153"/>
      <c r="O131" s="1153"/>
      <c r="P131" s="2682"/>
      <c r="Q131" s="503"/>
    </row>
    <row r="132" spans="1:17" ht="15.75" thickBot="1">
      <c r="A132" s="2635"/>
      <c r="B132" s="568"/>
      <c r="C132" s="569"/>
      <c r="D132" s="569"/>
      <c r="E132" s="569"/>
      <c r="F132" s="569"/>
      <c r="G132" s="590"/>
      <c r="H132" s="590"/>
      <c r="I132" s="590"/>
      <c r="J132" s="590"/>
      <c r="K132" s="590"/>
      <c r="L132" s="590"/>
      <c r="M132" s="591"/>
      <c r="N132" s="1154"/>
      <c r="O132" s="1154"/>
      <c r="P132" s="268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2533</v>
      </c>
      <c r="B1" s="2668" t="s">
        <v>2707</v>
      </c>
      <c r="C1" s="1620" t="s">
        <v>2535</v>
      </c>
      <c r="D1" s="1621"/>
      <c r="E1" s="1630"/>
      <c r="F1" s="2583"/>
      <c r="G1" s="1631" t="s">
        <v>2648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2332</v>
      </c>
      <c r="B2" s="1418" t="e">
        <f ca="1">IF(C2="——",ROUND(C43*D3/10000,0),ROUND(C43*D3/10000,0)-D2)</f>
        <v>#DIV/0!</v>
      </c>
      <c r="C2" s="2585"/>
      <c r="D2" s="1125" t="e">
        <f ca="1">SUMIF(INDIRECT("'"&amp;F2&amp;"'"&amp;"!A:A"),"承租人权益价值",INDIRECT("'"&amp;F2&amp;"'"&amp;"!c:c"))</f>
        <v>#REF!</v>
      </c>
      <c r="E2" s="2586" t="s">
        <v>2333</v>
      </c>
      <c r="F2" s="2587"/>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7" customFormat="1" ht="28.5" customHeight="1" thickBot="1">
      <c r="A3" s="246" t="s">
        <v>2334</v>
      </c>
      <c r="B3" s="608" t="e">
        <f ca="1">IF(C2="——",C43,ROUND(B2*10000/D3,0))</f>
        <v>#DIV/0!</v>
      </c>
      <c r="C3" s="399" t="s">
        <v>2649</v>
      </c>
      <c r="D3" s="398">
        <f>IF(D1="",'数据-汇总表'!E3,SUMIF('数据-汇总表'!$C19:$C33,D1,'数据-汇总表'!$E19:$E33))</f>
        <v>1368.3300000000163</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2650</v>
      </c>
      <c r="B4" s="401"/>
      <c r="C4" s="3205" t="s">
        <v>2651</v>
      </c>
      <c r="D4" s="3206"/>
      <c r="E4" s="3207" t="s">
        <v>2652</v>
      </c>
      <c r="F4" s="3208"/>
      <c r="G4" s="3205" t="s">
        <v>2653</v>
      </c>
      <c r="H4" s="3206"/>
      <c r="I4" s="3205" t="s">
        <v>2654</v>
      </c>
      <c r="J4" s="3206"/>
      <c r="K4" s="609" t="s">
        <v>2655</v>
      </c>
      <c r="L4" s="1131"/>
      <c r="M4" s="1132"/>
      <c r="N4" s="1132"/>
      <c r="O4" s="1132"/>
      <c r="P4" s="3209" t="s">
        <v>2656</v>
      </c>
      <c r="Q4" s="3210"/>
      <c r="R4" s="3192" t="s">
        <v>2652</v>
      </c>
      <c r="S4" s="3193"/>
      <c r="T4" s="3192" t="s">
        <v>2653</v>
      </c>
      <c r="U4" s="3193"/>
      <c r="V4" s="3217" t="s">
        <v>2654</v>
      </c>
      <c r="W4" s="3217"/>
      <c r="X4" s="1813"/>
      <c r="Y4" s="3192" t="s">
        <v>2656</v>
      </c>
      <c r="Z4" s="3193"/>
      <c r="AA4" s="3187" t="s">
        <v>2652</v>
      </c>
      <c r="AB4" s="3188" t="s">
        <v>2653</v>
      </c>
      <c r="AC4" s="3187" t="s">
        <v>2654</v>
      </c>
    </row>
    <row r="5" spans="1:29" ht="15">
      <c r="A5" s="403"/>
      <c r="B5" s="404"/>
      <c r="C5" s="3198" t="s">
        <v>2547</v>
      </c>
      <c r="D5" s="3199"/>
      <c r="E5" s="3196" t="s">
        <v>2548</v>
      </c>
      <c r="F5" s="3197"/>
      <c r="G5" s="3198" t="s">
        <v>2549</v>
      </c>
      <c r="H5" s="3199"/>
      <c r="I5" s="3198" t="s">
        <v>2550</v>
      </c>
      <c r="J5" s="3199"/>
      <c r="K5" s="609"/>
      <c r="L5" s="1131"/>
      <c r="M5" s="1132"/>
      <c r="N5" s="1132"/>
      <c r="O5" s="1132"/>
      <c r="P5" s="3211"/>
      <c r="Q5" s="3212"/>
      <c r="R5" s="3194"/>
      <c r="S5" s="3195"/>
      <c r="T5" s="3194"/>
      <c r="U5" s="3195"/>
      <c r="V5" s="3217"/>
      <c r="W5" s="3217"/>
      <c r="X5" s="1813"/>
      <c r="Y5" s="3194"/>
      <c r="Z5" s="3195"/>
      <c r="AA5" s="3188"/>
      <c r="AB5" s="3188"/>
      <c r="AC5" s="3188"/>
    </row>
    <row r="6" spans="1:29" ht="15.75" thickBot="1">
      <c r="A6" s="405"/>
      <c r="B6" s="406"/>
      <c r="C6" s="3200" t="s">
        <v>2551</v>
      </c>
      <c r="D6" s="3201"/>
      <c r="E6" s="3202" t="s">
        <v>2551</v>
      </c>
      <c r="F6" s="3203"/>
      <c r="G6" s="3200" t="s">
        <v>2551</v>
      </c>
      <c r="H6" s="3201"/>
      <c r="I6" s="3200" t="s">
        <v>2551</v>
      </c>
      <c r="J6" s="3201"/>
      <c r="K6" s="609" t="s">
        <v>2552</v>
      </c>
      <c r="L6" s="1131"/>
      <c r="M6" s="1132"/>
      <c r="N6" s="1132"/>
      <c r="O6" s="1132"/>
      <c r="P6" s="3213"/>
      <c r="Q6" s="3214"/>
      <c r="R6" s="3194"/>
      <c r="S6" s="3195"/>
      <c r="T6" s="3215"/>
      <c r="U6" s="3216"/>
      <c r="V6" s="3217"/>
      <c r="W6" s="3217"/>
      <c r="X6" s="1813"/>
      <c r="Y6" s="3215"/>
      <c r="Z6" s="3216"/>
      <c r="AA6" s="3189"/>
      <c r="AB6" s="3189"/>
      <c r="AC6" s="3189"/>
    </row>
    <row r="7" spans="1:29" s="116" customFormat="1" ht="15.75" thickBot="1">
      <c r="A7" s="407" t="s">
        <v>2553</v>
      </c>
      <c r="B7" s="408"/>
      <c r="C7" s="409">
        <f>'数据-取费表'!B2</f>
        <v>43432</v>
      </c>
      <c r="D7" s="410">
        <v>100</v>
      </c>
      <c r="E7" s="411"/>
      <c r="F7" s="412">
        <f>SUMIF(52:52,YEAR(E7)&amp;"-"&amp;MONTH(E7),53:53)</f>
        <v>0</v>
      </c>
      <c r="G7" s="411"/>
      <c r="H7" s="410">
        <f>SUMIF(52:52,YEAR(G7)&amp;"-"&amp;MONTH(G7),53:53)</f>
        <v>0</v>
      </c>
      <c r="I7" s="411"/>
      <c r="J7" s="410">
        <f>SUMIF(52:52,YEAR(I7)&amp;"-"&amp;MONTH(I7),53:53)</f>
        <v>0</v>
      </c>
      <c r="K7" s="610"/>
      <c r="L7" s="1133"/>
      <c r="M7" s="1134"/>
      <c r="N7" s="1134"/>
      <c r="O7" s="1134"/>
      <c r="P7" s="3190" t="s">
        <v>2554</v>
      </c>
      <c r="Q7" s="3218"/>
      <c r="R7" s="768" t="s">
        <v>17</v>
      </c>
      <c r="S7" s="769">
        <f t="shared" ref="S7:S15" si="0">F7</f>
        <v>0</v>
      </c>
      <c r="T7" s="768" t="s">
        <v>17</v>
      </c>
      <c r="U7" s="769">
        <f t="shared" ref="U7:U15" si="1">H7</f>
        <v>0</v>
      </c>
      <c r="V7" s="768" t="s">
        <v>17</v>
      </c>
      <c r="W7" s="769">
        <f t="shared" ref="W7:W15" si="2">J7</f>
        <v>0</v>
      </c>
      <c r="X7" s="770"/>
      <c r="Y7" s="3190" t="s">
        <v>2554</v>
      </c>
      <c r="Z7" s="3191"/>
      <c r="AA7" s="771" t="e">
        <f>D7/F7</f>
        <v>#DIV/0!</v>
      </c>
      <c r="AB7" s="771" t="e">
        <f>D7/H7</f>
        <v>#DIV/0!</v>
      </c>
      <c r="AC7" s="771" t="e">
        <f>D7/J7</f>
        <v>#DIV/0!</v>
      </c>
    </row>
    <row r="8" spans="1:29" s="116" customFormat="1" ht="15.75" thickBot="1">
      <c r="A8" s="407" t="s">
        <v>2555</v>
      </c>
      <c r="B8" s="408"/>
      <c r="C8" s="413" t="s">
        <v>2556</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190" t="s">
        <v>2557</v>
      </c>
      <c r="Q8" s="3191"/>
      <c r="R8" s="768" t="s">
        <v>17</v>
      </c>
      <c r="S8" s="769">
        <f t="shared" si="0"/>
        <v>0</v>
      </c>
      <c r="T8" s="768" t="s">
        <v>17</v>
      </c>
      <c r="U8" s="769">
        <f t="shared" si="1"/>
        <v>0</v>
      </c>
      <c r="V8" s="768" t="s">
        <v>17</v>
      </c>
      <c r="W8" s="769">
        <f t="shared" si="2"/>
        <v>0</v>
      </c>
      <c r="X8" s="770"/>
      <c r="Y8" s="3190" t="s">
        <v>2557</v>
      </c>
      <c r="Z8" s="3191"/>
      <c r="AA8" s="771" t="e">
        <f t="shared" ref="AA8:AA40" si="3">D8/F8</f>
        <v>#DIV/0!</v>
      </c>
      <c r="AB8" s="771" t="e">
        <f t="shared" ref="AB8:AB40" si="4">D8/H8</f>
        <v>#DIV/0!</v>
      </c>
      <c r="AC8" s="771" t="e">
        <f t="shared" ref="AC8:AC40" si="5">D8/J8</f>
        <v>#DIV/0!</v>
      </c>
    </row>
    <row r="9" spans="1:29" s="116" customFormat="1">
      <c r="A9" s="414" t="s">
        <v>2558</v>
      </c>
      <c r="B9" s="70" t="s">
        <v>2559</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222" t="s">
        <v>2560</v>
      </c>
      <c r="Q9" s="1795" t="str">
        <f t="shared" ref="Q9:Q15" si="6">B9</f>
        <v>用途</v>
      </c>
      <c r="R9" s="768" t="s">
        <v>17</v>
      </c>
      <c r="S9" s="769">
        <f t="shared" si="0"/>
        <v>100</v>
      </c>
      <c r="T9" s="768" t="s">
        <v>17</v>
      </c>
      <c r="U9" s="769">
        <f t="shared" si="1"/>
        <v>100</v>
      </c>
      <c r="V9" s="768" t="s">
        <v>17</v>
      </c>
      <c r="W9" s="769">
        <f t="shared" si="2"/>
        <v>100</v>
      </c>
      <c r="X9" s="770"/>
      <c r="Y9" s="3037" t="s">
        <v>2561</v>
      </c>
      <c r="Z9" s="54" t="str">
        <f t="shared" ref="Z9:Z15" si="7">Q9</f>
        <v>用途</v>
      </c>
      <c r="AA9" s="771">
        <f t="shared" si="3"/>
        <v>1</v>
      </c>
      <c r="AB9" s="771">
        <f t="shared" si="4"/>
        <v>1</v>
      </c>
      <c r="AC9" s="771">
        <f t="shared" si="5"/>
        <v>1</v>
      </c>
    </row>
    <row r="10" spans="1:29" s="426" customFormat="1" ht="27">
      <c r="A10" s="420"/>
      <c r="B10" s="421" t="s">
        <v>2562</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222"/>
      <c r="Q10" s="1795" t="str">
        <f t="shared" si="6"/>
        <v>土地使用年限（年）</v>
      </c>
      <c r="R10" s="768" t="s">
        <v>17</v>
      </c>
      <c r="S10" s="769">
        <f t="shared" si="0"/>
        <v>100</v>
      </c>
      <c r="T10" s="768" t="s">
        <v>17</v>
      </c>
      <c r="U10" s="769">
        <f t="shared" si="1"/>
        <v>100</v>
      </c>
      <c r="V10" s="768" t="s">
        <v>17</v>
      </c>
      <c r="W10" s="769">
        <f t="shared" si="2"/>
        <v>100</v>
      </c>
      <c r="X10" s="770"/>
      <c r="Y10" s="3037"/>
      <c r="Z10" s="54" t="str">
        <f t="shared" si="7"/>
        <v>土地使用年限（年）</v>
      </c>
      <c r="AA10" s="771">
        <f t="shared" si="3"/>
        <v>1</v>
      </c>
      <c r="AB10" s="771">
        <f t="shared" si="4"/>
        <v>1</v>
      </c>
      <c r="AC10" s="771">
        <f t="shared" si="5"/>
        <v>1</v>
      </c>
    </row>
    <row r="11" spans="1:29" ht="15">
      <c r="A11" s="427"/>
      <c r="B11" s="421" t="s">
        <v>2563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222"/>
      <c r="Q11" s="1795" t="str">
        <f t="shared" si="6"/>
        <v>容积率</v>
      </c>
      <c r="R11" s="768" t="s">
        <v>17</v>
      </c>
      <c r="S11" s="769" t="e">
        <f t="shared" si="0"/>
        <v>#N/A</v>
      </c>
      <c r="T11" s="768" t="s">
        <v>17</v>
      </c>
      <c r="U11" s="769" t="e">
        <f t="shared" si="1"/>
        <v>#N/A</v>
      </c>
      <c r="V11" s="768" t="s">
        <v>17</v>
      </c>
      <c r="W11" s="769" t="e">
        <f t="shared" si="2"/>
        <v>#N/A</v>
      </c>
      <c r="X11" s="770"/>
      <c r="Y11" s="3037"/>
      <c r="Z11" s="54" t="str">
        <f t="shared" si="7"/>
        <v>容积率</v>
      </c>
      <c r="AA11" s="771" t="e">
        <f t="shared" si="3"/>
        <v>#N/A</v>
      </c>
      <c r="AB11" s="771" t="e">
        <f t="shared" si="4"/>
        <v>#N/A</v>
      </c>
      <c r="AC11" s="771" t="e">
        <f t="shared" si="5"/>
        <v>#N/A</v>
      </c>
    </row>
    <row r="12" spans="1:29" s="116" customFormat="1" ht="15">
      <c r="A12" s="430"/>
      <c r="B12" s="2599">
        <v>111</v>
      </c>
      <c r="C12" s="431"/>
      <c r="D12" s="432">
        <v>100</v>
      </c>
      <c r="E12" s="433"/>
      <c r="F12" s="135">
        <f>SUMIF(64:64,E12,65:65)-SUMIF(64:64,C12,65:65)+100</f>
        <v>100</v>
      </c>
      <c r="G12" s="2690"/>
      <c r="H12" s="135">
        <f>SUMIF(64:64,G12,65:65)-SUMIF(64:64,C12,65:65)+100</f>
        <v>100</v>
      </c>
      <c r="I12" s="468"/>
      <c r="J12" s="135">
        <f>SUMIF(64:64,I12,65:65)-SUMIF(64:64,C12,65:65)+100</f>
        <v>100</v>
      </c>
      <c r="K12" s="612"/>
      <c r="L12" s="1133"/>
      <c r="M12" s="1134"/>
      <c r="N12" s="1134"/>
      <c r="O12" s="1135"/>
      <c r="P12" s="3222"/>
      <c r="Q12" s="1795">
        <f t="shared" si="6"/>
        <v>111</v>
      </c>
      <c r="R12" s="768" t="s">
        <v>17</v>
      </c>
      <c r="S12" s="769">
        <f t="shared" si="0"/>
        <v>100</v>
      </c>
      <c r="T12" s="768" t="s">
        <v>17</v>
      </c>
      <c r="U12" s="769">
        <f t="shared" si="1"/>
        <v>100</v>
      </c>
      <c r="V12" s="768" t="s">
        <v>17</v>
      </c>
      <c r="W12" s="769">
        <f t="shared" si="2"/>
        <v>100</v>
      </c>
      <c r="X12" s="770"/>
      <c r="Y12" s="3037"/>
      <c r="Z12" s="54">
        <f t="shared" si="7"/>
        <v>111</v>
      </c>
      <c r="AA12" s="771">
        <f>D12/F12</f>
        <v>1</v>
      </c>
      <c r="AB12" s="771">
        <f>D12/H12</f>
        <v>1</v>
      </c>
      <c r="AC12" s="771">
        <f>D12/J12</f>
        <v>1</v>
      </c>
    </row>
    <row r="13" spans="1:29" ht="15">
      <c r="A13" s="427"/>
      <c r="B13" s="2599">
        <v>111</v>
      </c>
      <c r="C13" s="433"/>
      <c r="D13" s="434">
        <v>100</v>
      </c>
      <c r="E13" s="433"/>
      <c r="F13" s="135">
        <f>SUMIF(66:66,E13,67:67)-SUMIF(66:66,C13,67:67)+100</f>
        <v>100</v>
      </c>
      <c r="G13" s="2690"/>
      <c r="H13" s="434">
        <f>SUMIF(66:66,G13,67:67)-SUMIF(66:66,C13,67:67)+100</f>
        <v>100</v>
      </c>
      <c r="I13" s="468"/>
      <c r="J13" s="434">
        <f>SUMIF(66:66,I13,67:67)-SUMIF(66:66,C13,67:67)+100</f>
        <v>100</v>
      </c>
      <c r="K13" s="612"/>
      <c r="L13" s="1141"/>
      <c r="M13" s="1132"/>
      <c r="N13" s="1132"/>
      <c r="O13" s="1140"/>
      <c r="P13" s="3222"/>
      <c r="Q13" s="1795">
        <f t="shared" si="6"/>
        <v>111</v>
      </c>
      <c r="R13" s="768" t="s">
        <v>17</v>
      </c>
      <c r="S13" s="769">
        <f t="shared" si="0"/>
        <v>100</v>
      </c>
      <c r="T13" s="768" t="s">
        <v>17</v>
      </c>
      <c r="U13" s="769">
        <f t="shared" si="1"/>
        <v>100</v>
      </c>
      <c r="V13" s="768" t="s">
        <v>17</v>
      </c>
      <c r="W13" s="769">
        <f t="shared" si="2"/>
        <v>100</v>
      </c>
      <c r="X13" s="770"/>
      <c r="Y13" s="3037"/>
      <c r="Z13" s="54">
        <f t="shared" si="7"/>
        <v>111</v>
      </c>
      <c r="AA13" s="771">
        <f t="shared" si="3"/>
        <v>1</v>
      </c>
      <c r="AB13" s="771">
        <f t="shared" si="4"/>
        <v>1</v>
      </c>
      <c r="AC13" s="771">
        <f t="shared" si="5"/>
        <v>1</v>
      </c>
    </row>
    <row r="14" spans="1:29" ht="15.75" thickBot="1">
      <c r="A14" s="435"/>
      <c r="B14" s="2601">
        <v>111</v>
      </c>
      <c r="C14" s="436"/>
      <c r="D14" s="437">
        <v>100</v>
      </c>
      <c r="E14" s="436"/>
      <c r="F14" s="437">
        <f>SUMIF(68:68,E14,69:69)-SUMIF(68:68,C14,69:69)+100</f>
        <v>100</v>
      </c>
      <c r="G14" s="2690"/>
      <c r="H14" s="437">
        <f>SUMIF(68:68,G14,69:69)-SUMIF(68:68,C14,69:69)+100</f>
        <v>100</v>
      </c>
      <c r="I14" s="468"/>
      <c r="J14" s="437">
        <f>SUMIF(68:68,I14,69:69)-SUMIF(68:68,C14,69:69)+100</f>
        <v>100</v>
      </c>
      <c r="K14" s="612"/>
      <c r="L14" s="1141"/>
      <c r="M14" s="1132"/>
      <c r="N14" s="1132"/>
      <c r="O14" s="1140"/>
      <c r="P14" s="3222"/>
      <c r="Q14" s="1795">
        <f t="shared" si="6"/>
        <v>111</v>
      </c>
      <c r="R14" s="768" t="s">
        <v>17</v>
      </c>
      <c r="S14" s="769">
        <f t="shared" si="0"/>
        <v>100</v>
      </c>
      <c r="T14" s="768" t="s">
        <v>17</v>
      </c>
      <c r="U14" s="769">
        <f t="shared" si="1"/>
        <v>100</v>
      </c>
      <c r="V14" s="768" t="s">
        <v>17</v>
      </c>
      <c r="W14" s="769">
        <f t="shared" si="2"/>
        <v>100</v>
      </c>
      <c r="X14" s="770"/>
      <c r="Y14" s="3037"/>
      <c r="Z14" s="54">
        <f t="shared" si="7"/>
        <v>111</v>
      </c>
      <c r="AA14" s="771">
        <f t="shared" si="3"/>
        <v>1</v>
      </c>
      <c r="AB14" s="771">
        <f t="shared" si="4"/>
        <v>1</v>
      </c>
      <c r="AC14" s="771">
        <f t="shared" si="5"/>
        <v>1</v>
      </c>
    </row>
    <row r="15" spans="1:29" ht="57">
      <c r="A15" s="439" t="s">
        <v>2564</v>
      </c>
      <c r="B15" s="68" t="s">
        <v>2708</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24" t="s">
        <v>2565</v>
      </c>
      <c r="Q15" s="1810" t="str">
        <f t="shared" si="6"/>
        <v>产业集聚程度</v>
      </c>
      <c r="R15" s="772" t="s">
        <v>17</v>
      </c>
      <c r="S15" s="773">
        <f t="shared" si="0"/>
        <v>100</v>
      </c>
      <c r="T15" s="772" t="s">
        <v>17</v>
      </c>
      <c r="U15" s="773">
        <f t="shared" si="1"/>
        <v>100</v>
      </c>
      <c r="V15" s="772" t="s">
        <v>17</v>
      </c>
      <c r="W15" s="773">
        <f t="shared" si="2"/>
        <v>100</v>
      </c>
      <c r="X15" s="1813"/>
      <c r="Y15" s="3224" t="s">
        <v>2565</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40"/>
      <c r="P16" s="3225"/>
      <c r="Q16" s="1810"/>
      <c r="R16" s="772"/>
      <c r="S16" s="773"/>
      <c r="T16" s="772"/>
      <c r="U16" s="773"/>
      <c r="V16" s="772"/>
      <c r="W16" s="773"/>
      <c r="X16" s="1813"/>
      <c r="Y16" s="3225"/>
      <c r="Z16" s="1814"/>
      <c r="AA16" s="1811">
        <v>1</v>
      </c>
      <c r="AB16" s="1811">
        <v>1</v>
      </c>
      <c r="AC16" s="1811">
        <v>1</v>
      </c>
    </row>
    <row r="17" spans="1:29" ht="85.5">
      <c r="A17" s="427"/>
      <c r="B17" s="450" t="s">
        <v>2101</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25"/>
      <c r="Q17" s="1810" t="str">
        <f>B17</f>
        <v>交通便捷度</v>
      </c>
      <c r="R17" s="772" t="s">
        <v>17</v>
      </c>
      <c r="S17" s="773">
        <f>F17</f>
        <v>100</v>
      </c>
      <c r="T17" s="772" t="s">
        <v>17</v>
      </c>
      <c r="U17" s="773">
        <f>H17</f>
        <v>100</v>
      </c>
      <c r="V17" s="772" t="s">
        <v>17</v>
      </c>
      <c r="W17" s="773">
        <f>J17</f>
        <v>100</v>
      </c>
      <c r="X17" s="1813"/>
      <c r="Y17" s="3225"/>
      <c r="Z17" s="1814" t="str">
        <f>Q17</f>
        <v>交通便捷度</v>
      </c>
      <c r="AA17" s="1811">
        <f t="shared" si="3"/>
        <v>1</v>
      </c>
      <c r="AB17" s="1811">
        <f t="shared" si="4"/>
        <v>1</v>
      </c>
      <c r="AC17" s="1811">
        <f t="shared" si="5"/>
        <v>1</v>
      </c>
    </row>
    <row r="18" spans="1:29" ht="15">
      <c r="A18" s="427"/>
      <c r="B18" s="455"/>
      <c r="C18" s="2607"/>
      <c r="D18" s="449"/>
      <c r="E18" s="2609"/>
      <c r="F18" s="452"/>
      <c r="G18" s="2608"/>
      <c r="H18" s="447"/>
      <c r="I18" s="2609"/>
      <c r="J18" s="447"/>
      <c r="K18" s="614"/>
      <c r="L18" s="1141"/>
      <c r="M18" s="1132"/>
      <c r="N18" s="1132"/>
      <c r="O18" s="1140"/>
      <c r="P18" s="3225"/>
      <c r="Q18" s="1810"/>
      <c r="R18" s="772"/>
      <c r="S18" s="773"/>
      <c r="T18" s="772"/>
      <c r="U18" s="773"/>
      <c r="V18" s="772"/>
      <c r="W18" s="773"/>
      <c r="X18" s="1813"/>
      <c r="Y18" s="3225"/>
      <c r="Z18" s="1814"/>
      <c r="AA18" s="1811">
        <v>1</v>
      </c>
      <c r="AB18" s="1811">
        <v>1</v>
      </c>
      <c r="AC18" s="1811">
        <v>1</v>
      </c>
    </row>
    <row r="19" spans="1:29" ht="42.75">
      <c r="A19" s="427"/>
      <c r="B19" s="450" t="s">
        <v>2693</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25"/>
      <c r="Q19" s="1810" t="str">
        <f>B19</f>
        <v>公共配套设施</v>
      </c>
      <c r="R19" s="772" t="s">
        <v>17</v>
      </c>
      <c r="S19" s="773">
        <f>F19</f>
        <v>100</v>
      </c>
      <c r="T19" s="772" t="s">
        <v>17</v>
      </c>
      <c r="U19" s="773">
        <f>H19</f>
        <v>100</v>
      </c>
      <c r="V19" s="772" t="s">
        <v>17</v>
      </c>
      <c r="W19" s="773">
        <f>J19</f>
        <v>100</v>
      </c>
      <c r="X19" s="1813"/>
      <c r="Y19" s="3225"/>
      <c r="Z19" s="1814" t="str">
        <f>Q19</f>
        <v>公共配套设施</v>
      </c>
      <c r="AA19" s="1811">
        <f t="shared" si="3"/>
        <v>1</v>
      </c>
      <c r="AB19" s="1811">
        <f t="shared" si="4"/>
        <v>1</v>
      </c>
      <c r="AC19" s="1811">
        <f t="shared" si="5"/>
        <v>1</v>
      </c>
    </row>
    <row r="20" spans="1:29" ht="15">
      <c r="A20" s="427"/>
      <c r="B20" s="455"/>
      <c r="C20" s="446"/>
      <c r="D20" s="447"/>
      <c r="E20" s="2604"/>
      <c r="F20" s="448"/>
      <c r="G20" s="2603"/>
      <c r="H20" s="447"/>
      <c r="I20" s="2604"/>
      <c r="J20" s="447"/>
      <c r="K20" s="614"/>
      <c r="L20" s="1141"/>
      <c r="M20" s="1132"/>
      <c r="N20" s="1132"/>
      <c r="O20" s="1140"/>
      <c r="P20" s="3225"/>
      <c r="Q20" s="1810"/>
      <c r="R20" s="772"/>
      <c r="S20" s="773"/>
      <c r="T20" s="772"/>
      <c r="U20" s="773"/>
      <c r="V20" s="772"/>
      <c r="W20" s="773"/>
      <c r="X20" s="1813"/>
      <c r="Y20" s="3225"/>
      <c r="Z20" s="1814"/>
      <c r="AA20" s="1811">
        <v>1</v>
      </c>
      <c r="AB20" s="1811">
        <v>1</v>
      </c>
      <c r="AC20" s="1811">
        <v>1</v>
      </c>
    </row>
    <row r="21" spans="1:29" ht="28.5">
      <c r="A21" s="427"/>
      <c r="B21" s="1384" t="s">
        <v>2694</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25"/>
      <c r="Q21" s="1810" t="str">
        <f>B21</f>
        <v>基础设施水平</v>
      </c>
      <c r="R21" s="772" t="s">
        <v>17</v>
      </c>
      <c r="S21" s="773">
        <f>F21</f>
        <v>100</v>
      </c>
      <c r="T21" s="772" t="s">
        <v>17</v>
      </c>
      <c r="U21" s="773">
        <f>H21</f>
        <v>100</v>
      </c>
      <c r="V21" s="772" t="s">
        <v>17</v>
      </c>
      <c r="W21" s="773">
        <f>J21</f>
        <v>100</v>
      </c>
      <c r="X21" s="1813"/>
      <c r="Y21" s="3225"/>
      <c r="Z21" s="1814" t="str">
        <f>Q21</f>
        <v>基础设施水平</v>
      </c>
      <c r="AA21" s="1811">
        <f t="shared" ref="AA21" si="8">D21/F21</f>
        <v>1</v>
      </c>
      <c r="AB21" s="1811">
        <f t="shared" ref="AB21" si="9">D21/H21</f>
        <v>1</v>
      </c>
      <c r="AC21" s="1811">
        <f t="shared" ref="AC21" si="10">D21/J21</f>
        <v>1</v>
      </c>
    </row>
    <row r="22" spans="1:29" ht="15">
      <c r="A22" s="427"/>
      <c r="B22" s="1384"/>
      <c r="C22" s="2607"/>
      <c r="D22" s="447"/>
      <c r="E22" s="446"/>
      <c r="F22" s="448"/>
      <c r="G22" s="446"/>
      <c r="H22" s="447"/>
      <c r="I22" s="446"/>
      <c r="J22" s="447"/>
      <c r="K22" s="1383"/>
      <c r="L22" s="1141"/>
      <c r="M22" s="1132"/>
      <c r="N22" s="1132"/>
      <c r="O22" s="1140"/>
      <c r="P22" s="3225"/>
      <c r="Q22" s="1810"/>
      <c r="R22" s="772"/>
      <c r="S22" s="773"/>
      <c r="T22" s="772"/>
      <c r="U22" s="773"/>
      <c r="V22" s="772"/>
      <c r="W22" s="773"/>
      <c r="X22" s="1813"/>
      <c r="Y22" s="3225"/>
      <c r="Z22" s="1814"/>
      <c r="AA22" s="1811">
        <v>1</v>
      </c>
      <c r="AB22" s="1811">
        <v>1</v>
      </c>
      <c r="AC22" s="1811">
        <v>1</v>
      </c>
    </row>
    <row r="23" spans="1:29" ht="71.25">
      <c r="A23" s="427"/>
      <c r="B23" s="450" t="s">
        <v>2695</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25"/>
      <c r="Q23" s="1810" t="str">
        <f>B23</f>
        <v>环境质量</v>
      </c>
      <c r="R23" s="772" t="s">
        <v>17</v>
      </c>
      <c r="S23" s="773">
        <f>F23</f>
        <v>100</v>
      </c>
      <c r="T23" s="772" t="s">
        <v>17</v>
      </c>
      <c r="U23" s="773">
        <f>H23</f>
        <v>100</v>
      </c>
      <c r="V23" s="772" t="s">
        <v>17</v>
      </c>
      <c r="W23" s="773">
        <f>J23</f>
        <v>100</v>
      </c>
      <c r="X23" s="1813"/>
      <c r="Y23" s="3225"/>
      <c r="Z23" s="1814" t="str">
        <f>Q23</f>
        <v>环境质量</v>
      </c>
      <c r="AA23" s="1811">
        <f t="shared" si="3"/>
        <v>1</v>
      </c>
      <c r="AB23" s="1811">
        <f t="shared" si="4"/>
        <v>1</v>
      </c>
      <c r="AC23" s="1811">
        <f t="shared" si="5"/>
        <v>1</v>
      </c>
    </row>
    <row r="24" spans="1:29" ht="15">
      <c r="A24" s="427"/>
      <c r="B24" s="1384"/>
      <c r="C24" s="446"/>
      <c r="D24" s="447"/>
      <c r="E24" s="2604"/>
      <c r="F24" s="448"/>
      <c r="G24" s="2603"/>
      <c r="H24" s="447"/>
      <c r="I24" s="2604"/>
      <c r="J24" s="447"/>
      <c r="K24" s="614"/>
      <c r="L24" s="1141"/>
      <c r="M24" s="1132"/>
      <c r="N24" s="1132"/>
      <c r="O24" s="1140"/>
      <c r="P24" s="3225"/>
      <c r="Q24" s="1810"/>
      <c r="R24" s="772"/>
      <c r="S24" s="773"/>
      <c r="T24" s="772"/>
      <c r="U24" s="773"/>
      <c r="V24" s="772"/>
      <c r="W24" s="773"/>
      <c r="X24" s="1813"/>
      <c r="Y24" s="3225"/>
      <c r="Z24" s="1814"/>
      <c r="AA24" s="1811">
        <v>1</v>
      </c>
      <c r="AB24" s="1811">
        <v>1</v>
      </c>
      <c r="AC24" s="1811">
        <v>1</v>
      </c>
    </row>
    <row r="25" spans="1:29" ht="15">
      <c r="A25" s="403"/>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25"/>
      <c r="Q25" s="1810">
        <f>B25</f>
        <v>111</v>
      </c>
      <c r="R25" s="772" t="s">
        <v>17</v>
      </c>
      <c r="S25" s="773">
        <f>F25</f>
        <v>100</v>
      </c>
      <c r="T25" s="772" t="s">
        <v>17</v>
      </c>
      <c r="U25" s="773">
        <f>H25</f>
        <v>100</v>
      </c>
      <c r="V25" s="772" t="s">
        <v>17</v>
      </c>
      <c r="W25" s="773">
        <f>J25</f>
        <v>100</v>
      </c>
      <c r="X25" s="1813"/>
      <c r="Y25" s="3225"/>
      <c r="Z25" s="1814">
        <f>Q25</f>
        <v>111</v>
      </c>
      <c r="AA25" s="1811">
        <f t="shared" si="3"/>
        <v>1</v>
      </c>
      <c r="AB25" s="1811">
        <f t="shared" si="4"/>
        <v>1</v>
      </c>
      <c r="AC25" s="1811">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25"/>
      <c r="Q26" s="1810">
        <f t="shared" ref="Q26:Q40" si="11">B26</f>
        <v>111</v>
      </c>
      <c r="R26" s="772" t="s">
        <v>17</v>
      </c>
      <c r="S26" s="773">
        <f>F26</f>
        <v>100</v>
      </c>
      <c r="T26" s="772" t="s">
        <v>17</v>
      </c>
      <c r="U26" s="773">
        <f>H26</f>
        <v>100</v>
      </c>
      <c r="V26" s="772" t="s">
        <v>17</v>
      </c>
      <c r="W26" s="773">
        <f>J26</f>
        <v>100</v>
      </c>
      <c r="X26" s="1813"/>
      <c r="Y26" s="3225"/>
      <c r="Z26" s="1814">
        <f>Q26</f>
        <v>111</v>
      </c>
      <c r="AA26" s="1811">
        <f t="shared" si="3"/>
        <v>1</v>
      </c>
      <c r="AB26" s="1811">
        <f t="shared" si="4"/>
        <v>1</v>
      </c>
      <c r="AC26" s="1811">
        <f t="shared" si="5"/>
        <v>1</v>
      </c>
    </row>
    <row r="27" spans="1:29" s="116"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25"/>
      <c r="Q27" s="1795">
        <f t="shared" si="11"/>
        <v>111</v>
      </c>
      <c r="R27" s="768" t="s">
        <v>17</v>
      </c>
      <c r="S27" s="769">
        <f>F27</f>
        <v>100</v>
      </c>
      <c r="T27" s="768" t="s">
        <v>17</v>
      </c>
      <c r="U27" s="769">
        <f>H27</f>
        <v>100</v>
      </c>
      <c r="V27" s="768" t="s">
        <v>17</v>
      </c>
      <c r="W27" s="769">
        <f>J27</f>
        <v>100</v>
      </c>
      <c r="X27" s="770"/>
      <c r="Y27" s="3225"/>
      <c r="Z27" s="54">
        <f>Q27</f>
        <v>111</v>
      </c>
      <c r="AA27" s="1811">
        <f>D27/F27</f>
        <v>1</v>
      </c>
      <c r="AB27" s="1811">
        <f>D27/H27</f>
        <v>1</v>
      </c>
      <c r="AC27" s="1811">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25"/>
      <c r="Q28" s="1810">
        <f t="shared" si="11"/>
        <v>111</v>
      </c>
      <c r="R28" s="772" t="s">
        <v>17</v>
      </c>
      <c r="S28" s="773">
        <f t="shared" ref="S28:S40" si="12">F28</f>
        <v>100</v>
      </c>
      <c r="T28" s="772" t="s">
        <v>17</v>
      </c>
      <c r="U28" s="773">
        <f t="shared" ref="U28:U40" si="13">H28</f>
        <v>100</v>
      </c>
      <c r="V28" s="772" t="s">
        <v>17</v>
      </c>
      <c r="W28" s="773">
        <f t="shared" ref="W28:W40" si="14">J28</f>
        <v>100</v>
      </c>
      <c r="X28" s="1813"/>
      <c r="Y28" s="3225"/>
      <c r="Z28" s="1814">
        <f t="shared" ref="Z28:Z40" si="15">Q28</f>
        <v>111</v>
      </c>
      <c r="AA28" s="1811">
        <f t="shared" si="3"/>
        <v>1</v>
      </c>
      <c r="AB28" s="1811">
        <f t="shared" si="4"/>
        <v>1</v>
      </c>
      <c r="AC28" s="1811">
        <f t="shared" si="5"/>
        <v>1</v>
      </c>
    </row>
    <row r="29" spans="1:29" ht="15">
      <c r="A29" s="465" t="s">
        <v>2568</v>
      </c>
      <c r="B29" s="70" t="s">
        <v>2698</v>
      </c>
      <c r="C29" s="2677"/>
      <c r="D29" s="466">
        <v>100</v>
      </c>
      <c r="E29" s="2677"/>
      <c r="F29" s="460">
        <f>SUMIF(88:88,E29,89:89)-SUMIF(88:88,C29,89:89)+100</f>
        <v>100</v>
      </c>
      <c r="G29" s="2677"/>
      <c r="H29" s="434">
        <f>SUMIF(88:88,G29,89:89)-SUMIF(88:88,C29,89:89)+100</f>
        <v>100</v>
      </c>
      <c r="I29" s="2677"/>
      <c r="J29" s="466">
        <f>SUMIF(88:88,I29,89:89)-SUMIF(88:88,C29,89:89)+100</f>
        <v>100</v>
      </c>
      <c r="K29" s="611"/>
      <c r="L29" s="1141"/>
      <c r="M29" s="1132"/>
      <c r="N29" s="1132"/>
      <c r="O29" s="1140"/>
      <c r="P29" s="3250" t="s">
        <v>2570</v>
      </c>
      <c r="Q29" s="1810" t="str">
        <f t="shared" si="11"/>
        <v>建筑类型</v>
      </c>
      <c r="R29" s="772" t="s">
        <v>17</v>
      </c>
      <c r="S29" s="773">
        <f t="shared" si="12"/>
        <v>100</v>
      </c>
      <c r="T29" s="772" t="s">
        <v>17</v>
      </c>
      <c r="U29" s="773">
        <f t="shared" si="13"/>
        <v>100</v>
      </c>
      <c r="V29" s="772" t="s">
        <v>17</v>
      </c>
      <c r="W29" s="773">
        <f t="shared" si="14"/>
        <v>100</v>
      </c>
      <c r="X29" s="1813"/>
      <c r="Y29" s="3229" t="s">
        <v>2570</v>
      </c>
      <c r="Z29" s="1814" t="str">
        <f t="shared" si="15"/>
        <v>建筑类型</v>
      </c>
      <c r="AA29" s="1811">
        <f t="shared" si="3"/>
        <v>1</v>
      </c>
      <c r="AB29" s="1811">
        <f t="shared" si="4"/>
        <v>1</v>
      </c>
      <c r="AC29" s="1811">
        <f t="shared" si="5"/>
        <v>1</v>
      </c>
    </row>
    <row r="30" spans="1:29" s="470" customFormat="1" ht="15">
      <c r="A30" s="467"/>
      <c r="B30" s="421" t="s">
        <v>2571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229"/>
      <c r="Q30" s="774" t="str">
        <f t="shared" si="11"/>
        <v>项目建筑规模</v>
      </c>
      <c r="R30" s="775" t="s">
        <v>17</v>
      </c>
      <c r="S30" s="776" t="e">
        <f t="shared" si="12"/>
        <v>#N/A</v>
      </c>
      <c r="T30" s="775" t="s">
        <v>17</v>
      </c>
      <c r="U30" s="776" t="e">
        <f t="shared" si="13"/>
        <v>#N/A</v>
      </c>
      <c r="V30" s="775" t="s">
        <v>17</v>
      </c>
      <c r="W30" s="776" t="e">
        <f t="shared" si="14"/>
        <v>#N/A</v>
      </c>
      <c r="X30" s="777"/>
      <c r="Y30" s="3229"/>
      <c r="Z30" s="778" t="str">
        <f t="shared" si="15"/>
        <v>项目建筑规模</v>
      </c>
      <c r="AA30" s="1811" t="e">
        <f t="shared" si="3"/>
        <v>#N/A</v>
      </c>
      <c r="AB30" s="1811" t="e">
        <f t="shared" si="4"/>
        <v>#N/A</v>
      </c>
      <c r="AC30" s="1811" t="e">
        <f t="shared" si="5"/>
        <v>#N/A</v>
      </c>
    </row>
    <row r="31" spans="1:29" ht="15">
      <c r="A31" s="471"/>
      <c r="B31" s="421" t="s">
        <v>2572</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229"/>
      <c r="Q31" s="1810" t="str">
        <f t="shared" si="11"/>
        <v>建筑结构</v>
      </c>
      <c r="R31" s="772" t="s">
        <v>17</v>
      </c>
      <c r="S31" s="773">
        <f t="shared" si="12"/>
        <v>100</v>
      </c>
      <c r="T31" s="772" t="s">
        <v>17</v>
      </c>
      <c r="U31" s="773">
        <f t="shared" si="13"/>
        <v>100</v>
      </c>
      <c r="V31" s="772" t="s">
        <v>17</v>
      </c>
      <c r="W31" s="773">
        <f t="shared" si="14"/>
        <v>100</v>
      </c>
      <c r="X31" s="1813"/>
      <c r="Y31" s="3229"/>
      <c r="Z31" s="1814" t="str">
        <f t="shared" si="15"/>
        <v>建筑结构</v>
      </c>
      <c r="AA31" s="1811">
        <f t="shared" si="3"/>
        <v>1</v>
      </c>
      <c r="AB31" s="1811">
        <f t="shared" si="4"/>
        <v>1</v>
      </c>
      <c r="AC31" s="1811">
        <f t="shared" si="5"/>
        <v>1</v>
      </c>
    </row>
    <row r="32" spans="1:29" ht="15">
      <c r="A32" s="471"/>
      <c r="B32" s="421" t="s">
        <v>2666</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229"/>
      <c r="Q32" s="1810" t="str">
        <f t="shared" si="11"/>
        <v>公共部分装修</v>
      </c>
      <c r="R32" s="772" t="s">
        <v>17</v>
      </c>
      <c r="S32" s="773">
        <f t="shared" si="12"/>
        <v>100</v>
      </c>
      <c r="T32" s="772" t="s">
        <v>17</v>
      </c>
      <c r="U32" s="773">
        <f t="shared" si="13"/>
        <v>100</v>
      </c>
      <c r="V32" s="772" t="s">
        <v>17</v>
      </c>
      <c r="W32" s="773">
        <f t="shared" si="14"/>
        <v>100</v>
      </c>
      <c r="X32" s="1813"/>
      <c r="Y32" s="3229"/>
      <c r="Z32" s="1814" t="str">
        <f t="shared" si="15"/>
        <v>公共部分装修</v>
      </c>
      <c r="AA32" s="1811">
        <f t="shared" si="3"/>
        <v>1</v>
      </c>
      <c r="AB32" s="1811">
        <f t="shared" si="4"/>
        <v>1</v>
      </c>
      <c r="AC32" s="1811">
        <f t="shared" si="5"/>
        <v>1</v>
      </c>
    </row>
    <row r="33" spans="1:29" ht="15">
      <c r="A33" s="471"/>
      <c r="B33" s="421" t="s">
        <v>2667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229"/>
      <c r="Q33" s="1810" t="str">
        <f t="shared" si="11"/>
        <v>成新度</v>
      </c>
      <c r="R33" s="772" t="s">
        <v>17</v>
      </c>
      <c r="S33" s="773" t="e">
        <f t="shared" si="12"/>
        <v>#N/A</v>
      </c>
      <c r="T33" s="772" t="s">
        <v>17</v>
      </c>
      <c r="U33" s="773" t="e">
        <f t="shared" si="13"/>
        <v>#N/A</v>
      </c>
      <c r="V33" s="772" t="s">
        <v>17</v>
      </c>
      <c r="W33" s="773" t="e">
        <f t="shared" si="14"/>
        <v>#N/A</v>
      </c>
      <c r="X33" s="1813"/>
      <c r="Y33" s="3229"/>
      <c r="Z33" s="1814" t="str">
        <f t="shared" si="15"/>
        <v>成新度</v>
      </c>
      <c r="AA33" s="1811" t="e">
        <f t="shared" si="3"/>
        <v>#N/A</v>
      </c>
      <c r="AB33" s="1811" t="e">
        <f t="shared" si="4"/>
        <v>#N/A</v>
      </c>
      <c r="AC33" s="1811" t="e">
        <f t="shared" si="5"/>
        <v>#N/A</v>
      </c>
    </row>
    <row r="34" spans="1:29" s="116" customFormat="1" ht="15">
      <c r="A34" s="472"/>
      <c r="B34" s="421" t="s">
        <v>2700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229"/>
      <c r="Q34" s="1795" t="str">
        <f t="shared" si="11"/>
        <v>物业管理</v>
      </c>
      <c r="R34" s="768" t="s">
        <v>17</v>
      </c>
      <c r="S34" s="769">
        <f t="shared" si="12"/>
        <v>100</v>
      </c>
      <c r="T34" s="768" t="s">
        <v>17</v>
      </c>
      <c r="U34" s="769">
        <f t="shared" si="13"/>
        <v>100</v>
      </c>
      <c r="V34" s="768" t="s">
        <v>17</v>
      </c>
      <c r="W34" s="769">
        <f t="shared" si="14"/>
        <v>100</v>
      </c>
      <c r="X34" s="770"/>
      <c r="Y34" s="3229"/>
      <c r="Z34" s="54" t="str">
        <f t="shared" si="15"/>
        <v>物业管理</v>
      </c>
      <c r="AA34" s="771">
        <f t="shared" si="3"/>
        <v>1</v>
      </c>
      <c r="AB34" s="771">
        <f t="shared" si="4"/>
        <v>1</v>
      </c>
      <c r="AC34" s="771">
        <f t="shared" si="5"/>
        <v>1</v>
      </c>
    </row>
    <row r="35" spans="1:29" ht="15">
      <c r="A35" s="471"/>
      <c r="B35" s="421" t="s">
        <v>2668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229" t="s">
        <v>2570</v>
      </c>
      <c r="Q35" s="1810" t="str">
        <f t="shared" si="11"/>
        <v>市政基础设施</v>
      </c>
      <c r="R35" s="772" t="s">
        <v>17</v>
      </c>
      <c r="S35" s="773">
        <f t="shared" si="12"/>
        <v>100</v>
      </c>
      <c r="T35" s="772" t="s">
        <v>17</v>
      </c>
      <c r="U35" s="773">
        <f t="shared" si="13"/>
        <v>100</v>
      </c>
      <c r="V35" s="772" t="s">
        <v>17</v>
      </c>
      <c r="W35" s="773">
        <f t="shared" si="14"/>
        <v>100</v>
      </c>
      <c r="X35" s="1813"/>
      <c r="Y35" s="3229" t="s">
        <v>2570</v>
      </c>
      <c r="Z35" s="1814" t="str">
        <f t="shared" si="15"/>
        <v>市政基础设施</v>
      </c>
      <c r="AA35" s="1811">
        <f t="shared" si="3"/>
        <v>1</v>
      </c>
      <c r="AB35" s="1811">
        <f t="shared" si="4"/>
        <v>1</v>
      </c>
      <c r="AC35" s="1811">
        <f t="shared" si="5"/>
        <v>1</v>
      </c>
    </row>
    <row r="36" spans="1:29" ht="15">
      <c r="A36" s="471"/>
      <c r="B36" s="421" t="s">
        <v>2673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229"/>
      <c r="Q36" s="1810" t="str">
        <f t="shared" si="11"/>
        <v>内部装修</v>
      </c>
      <c r="R36" s="772" t="s">
        <v>17</v>
      </c>
      <c r="S36" s="773">
        <f t="shared" si="12"/>
        <v>100</v>
      </c>
      <c r="T36" s="772" t="s">
        <v>17</v>
      </c>
      <c r="U36" s="773">
        <f t="shared" si="13"/>
        <v>100</v>
      </c>
      <c r="V36" s="772" t="s">
        <v>17</v>
      </c>
      <c r="W36" s="773">
        <f t="shared" si="14"/>
        <v>100</v>
      </c>
      <c r="X36" s="1813"/>
      <c r="Y36" s="3229"/>
      <c r="Z36" s="1814" t="str">
        <f t="shared" si="15"/>
        <v>内部装修</v>
      </c>
      <c r="AA36" s="1811">
        <f t="shared" si="3"/>
        <v>1</v>
      </c>
      <c r="AB36" s="1811">
        <f t="shared" si="4"/>
        <v>1</v>
      </c>
      <c r="AC36" s="1811">
        <f t="shared" si="5"/>
        <v>1</v>
      </c>
    </row>
    <row r="37" spans="1:29" ht="15">
      <c r="A37" s="471"/>
      <c r="B37" s="421" t="s">
        <v>2709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229"/>
      <c r="Q37" s="1810" t="str">
        <f t="shared" si="11"/>
        <v>内部装修状况</v>
      </c>
      <c r="R37" s="772" t="s">
        <v>17</v>
      </c>
      <c r="S37" s="773">
        <f t="shared" si="12"/>
        <v>100</v>
      </c>
      <c r="T37" s="772" t="s">
        <v>17</v>
      </c>
      <c r="U37" s="773">
        <f t="shared" si="13"/>
        <v>100</v>
      </c>
      <c r="V37" s="772" t="s">
        <v>17</v>
      </c>
      <c r="W37" s="773">
        <f t="shared" si="14"/>
        <v>100</v>
      </c>
      <c r="X37" s="1813"/>
      <c r="Y37" s="3229"/>
      <c r="Z37" s="1814" t="str">
        <f t="shared" si="15"/>
        <v>内部装修状况</v>
      </c>
      <c r="AA37" s="1811">
        <f t="shared" si="3"/>
        <v>1</v>
      </c>
      <c r="AB37" s="1811">
        <f t="shared" si="4"/>
        <v>1</v>
      </c>
      <c r="AC37" s="1811">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29"/>
      <c r="Q38" s="774">
        <f t="shared" si="11"/>
        <v>111</v>
      </c>
      <c r="R38" s="775" t="s">
        <v>17</v>
      </c>
      <c r="S38" s="776">
        <f t="shared" si="12"/>
        <v>100</v>
      </c>
      <c r="T38" s="775" t="s">
        <v>17</v>
      </c>
      <c r="U38" s="776">
        <f t="shared" si="13"/>
        <v>100</v>
      </c>
      <c r="V38" s="775" t="s">
        <v>17</v>
      </c>
      <c r="W38" s="776">
        <f t="shared" si="14"/>
        <v>100</v>
      </c>
      <c r="X38" s="777"/>
      <c r="Y38" s="3229"/>
      <c r="Z38" s="778">
        <f t="shared" si="15"/>
        <v>111</v>
      </c>
      <c r="AA38" s="1811">
        <f t="shared" si="3"/>
        <v>1</v>
      </c>
      <c r="AB38" s="1811">
        <f t="shared" si="4"/>
        <v>1</v>
      </c>
      <c r="AC38" s="1811">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29"/>
      <c r="Q39" s="1810">
        <f t="shared" si="11"/>
        <v>111</v>
      </c>
      <c r="R39" s="772" t="s">
        <v>17</v>
      </c>
      <c r="S39" s="773">
        <f t="shared" si="12"/>
        <v>100</v>
      </c>
      <c r="T39" s="772" t="s">
        <v>17</v>
      </c>
      <c r="U39" s="773">
        <f t="shared" si="13"/>
        <v>100</v>
      </c>
      <c r="V39" s="772" t="s">
        <v>17</v>
      </c>
      <c r="W39" s="773">
        <f t="shared" si="14"/>
        <v>100</v>
      </c>
      <c r="X39" s="1813"/>
      <c r="Y39" s="3229"/>
      <c r="Z39" s="1814">
        <f t="shared" si="15"/>
        <v>111</v>
      </c>
      <c r="AA39" s="1811">
        <f t="shared" si="3"/>
        <v>1</v>
      </c>
      <c r="AB39" s="1811">
        <f t="shared" si="4"/>
        <v>1</v>
      </c>
      <c r="AC39" s="1811">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30"/>
      <c r="Q40" s="1810">
        <f t="shared" si="11"/>
        <v>111</v>
      </c>
      <c r="R40" s="772" t="s">
        <v>17</v>
      </c>
      <c r="S40" s="773">
        <f t="shared" si="12"/>
        <v>100</v>
      </c>
      <c r="T40" s="772" t="s">
        <v>17</v>
      </c>
      <c r="U40" s="773">
        <f t="shared" si="13"/>
        <v>100</v>
      </c>
      <c r="V40" s="772" t="s">
        <v>17</v>
      </c>
      <c r="W40" s="773">
        <f t="shared" si="14"/>
        <v>100</v>
      </c>
      <c r="X40" s="1813"/>
      <c r="Y40" s="3230"/>
      <c r="Z40" s="1814">
        <f t="shared" si="15"/>
        <v>111</v>
      </c>
      <c r="AA40" s="1811">
        <f t="shared" si="3"/>
        <v>1</v>
      </c>
      <c r="AB40" s="1811">
        <f t="shared" si="4"/>
        <v>1</v>
      </c>
      <c r="AC40" s="1811">
        <f t="shared" si="5"/>
        <v>1</v>
      </c>
    </row>
    <row r="41" spans="1:29" ht="15">
      <c r="A41" s="478" t="s">
        <v>2582</v>
      </c>
      <c r="B41" s="479"/>
      <c r="C41" s="1407" t="s">
        <v>1</v>
      </c>
      <c r="D41" s="1408"/>
      <c r="E41" s="1409"/>
      <c r="F41" s="1410"/>
      <c r="G41" s="1411"/>
      <c r="H41" s="1412"/>
      <c r="I41" s="1409"/>
      <c r="J41" s="1412"/>
      <c r="K41" s="781"/>
      <c r="L41" s="1144"/>
      <c r="M41" s="1145"/>
      <c r="N41" s="1132"/>
      <c r="O41" s="1145"/>
      <c r="P41" s="3222" t="str">
        <f>A41</f>
        <v>成交单价（元/平方米）</v>
      </c>
      <c r="Q41" s="3222"/>
      <c r="R41" s="3223">
        <f>E41</f>
        <v>0</v>
      </c>
      <c r="S41" s="3223"/>
      <c r="T41" s="3223">
        <f>G41</f>
        <v>0</v>
      </c>
      <c r="U41" s="3223"/>
      <c r="V41" s="3223">
        <f>I41</f>
        <v>0</v>
      </c>
      <c r="W41" s="3223"/>
      <c r="X41" s="757"/>
      <c r="Y41" s="779"/>
      <c r="Z41" s="757"/>
      <c r="AA41" s="757"/>
      <c r="AB41" s="757"/>
      <c r="AC41" s="757"/>
    </row>
    <row r="42" spans="1:29" ht="15.75" thickBot="1">
      <c r="A42" s="485" t="s">
        <v>2674</v>
      </c>
      <c r="B42" s="486"/>
      <c r="C42" s="1413" t="e">
        <f>R43</f>
        <v>#DIV/0!</v>
      </c>
      <c r="D42" s="1414"/>
      <c r="E42" s="1415" t="e">
        <f>R42</f>
        <v>#DIV/0!</v>
      </c>
      <c r="F42" s="1415"/>
      <c r="G42" s="1413" t="e">
        <f>T42</f>
        <v>#DIV/0!</v>
      </c>
      <c r="H42" s="1414"/>
      <c r="I42" s="1415" t="e">
        <f>V42</f>
        <v>#DIV/0!</v>
      </c>
      <c r="J42" s="1414"/>
      <c r="K42" s="782"/>
      <c r="L42" s="1144"/>
      <c r="M42" s="1145"/>
      <c r="N42" s="1132"/>
      <c r="O42" s="1145"/>
      <c r="P42" s="3222" t="str">
        <f>A42</f>
        <v>比较价值（元/平方米）</v>
      </c>
      <c r="Q42" s="322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7"/>
      <c r="Y42" s="757"/>
      <c r="Z42" s="757"/>
      <c r="AA42" s="757"/>
      <c r="AB42" s="757"/>
      <c r="AC42" s="757"/>
    </row>
    <row r="43" spans="1:29" ht="15.75" thickBot="1">
      <c r="A43" s="491" t="s">
        <v>2675</v>
      </c>
      <c r="B43" s="492"/>
      <c r="C43" s="1417" t="e">
        <f>R43</f>
        <v>#DIV/0!</v>
      </c>
      <c r="D43" s="1417"/>
      <c r="E43" s="1417"/>
      <c r="F43" s="1417"/>
      <c r="G43" s="1417"/>
      <c r="H43" s="1417"/>
      <c r="I43" s="1417"/>
      <c r="J43" s="1417"/>
      <c r="K43" s="783"/>
      <c r="L43" s="1144"/>
      <c r="M43" s="1145"/>
      <c r="N43" s="1145"/>
      <c r="O43" s="1145"/>
      <c r="P43" s="3219" t="str">
        <f>A43</f>
        <v>估价对象XX用房的比较价值（楼面单价，元/平方米）</v>
      </c>
      <c r="Q43" s="3220"/>
      <c r="R43" s="3221" t="e">
        <f>IF(F1="售价",ROUND(AVERAGE(R42:V42),0),ROUND(AVERAGE(R42:V42),1))</f>
        <v>#DIV/0!</v>
      </c>
      <c r="S43" s="3221"/>
      <c r="T43" s="3221"/>
      <c r="U43" s="3221"/>
      <c r="V43" s="3221"/>
      <c r="W43" s="3221"/>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2679</v>
      </c>
      <c r="B51" s="757"/>
      <c r="C51" s="762"/>
      <c r="D51" s="762"/>
      <c r="E51" s="762"/>
      <c r="F51" s="763"/>
      <c r="G51" s="763"/>
      <c r="H51" s="762"/>
      <c r="I51" s="762"/>
      <c r="J51" s="762"/>
      <c r="K51" s="1161"/>
      <c r="L51" s="1162"/>
      <c r="M51" s="1160"/>
      <c r="N51" s="1160"/>
      <c r="O51" s="1160"/>
      <c r="P51" s="502"/>
      <c r="Q51" s="503"/>
    </row>
    <row r="52" spans="1:17" s="507" customFormat="1" ht="15">
      <c r="A52" s="504" t="s">
        <v>2553</v>
      </c>
      <c r="B52" s="505"/>
      <c r="C52" s="1574" t="str">
        <f>YEAR(C7)&amp;"-"&amp;MONTH(C7)</f>
        <v>2018-11</v>
      </c>
      <c r="D52" s="1575">
        <f>EDATE(C52,-1)</f>
        <v>43374</v>
      </c>
      <c r="E52" s="1575">
        <f t="shared" ref="E52:O52" si="16">EDATE(D52,-1)</f>
        <v>43344</v>
      </c>
      <c r="F52" s="1575">
        <f t="shared" si="16"/>
        <v>43313</v>
      </c>
      <c r="G52" s="1575">
        <f t="shared" si="16"/>
        <v>43282</v>
      </c>
      <c r="H52" s="1575">
        <f t="shared" si="16"/>
        <v>43252</v>
      </c>
      <c r="I52" s="1575">
        <f t="shared" si="16"/>
        <v>43221</v>
      </c>
      <c r="J52" s="1575">
        <f t="shared" si="16"/>
        <v>43191</v>
      </c>
      <c r="K52" s="1575">
        <f t="shared" si="16"/>
        <v>43160</v>
      </c>
      <c r="L52" s="1575">
        <f t="shared" si="16"/>
        <v>43132</v>
      </c>
      <c r="M52" s="1575">
        <f t="shared" si="16"/>
        <v>43101</v>
      </c>
      <c r="N52" s="1575">
        <f t="shared" si="16"/>
        <v>43070</v>
      </c>
      <c r="O52" s="1575">
        <f t="shared" si="16"/>
        <v>43040</v>
      </c>
      <c r="P52" s="506"/>
    </row>
    <row r="53" spans="1:17" s="116" customFormat="1" ht="15">
      <c r="A53" s="508"/>
      <c r="B53" s="509"/>
      <c r="C53" s="1573">
        <v>100</v>
      </c>
      <c r="D53" s="511"/>
      <c r="E53" s="511"/>
      <c r="F53" s="511"/>
      <c r="G53" s="511"/>
      <c r="H53" s="511"/>
      <c r="I53" s="511"/>
      <c r="J53" s="511"/>
      <c r="K53" s="511"/>
      <c r="L53" s="511"/>
      <c r="M53" s="512"/>
      <c r="N53" s="511"/>
      <c r="O53" s="513"/>
      <c r="P53" s="503"/>
    </row>
    <row r="54" spans="1:17" s="116" customFormat="1" ht="15.75" thickBot="1">
      <c r="A54" s="514" t="s">
        <v>2590</v>
      </c>
      <c r="B54" s="515"/>
      <c r="C54" s="516"/>
      <c r="D54" s="517"/>
      <c r="E54" s="517"/>
      <c r="F54" s="517"/>
      <c r="G54" s="517"/>
      <c r="H54" s="517"/>
      <c r="I54" s="517"/>
      <c r="J54" s="517"/>
      <c r="K54" s="517"/>
      <c r="L54" s="517"/>
      <c r="M54" s="518"/>
      <c r="N54" s="517"/>
      <c r="O54" s="519"/>
      <c r="P54" s="503"/>
      <c r="Q54" s="503"/>
    </row>
    <row r="55" spans="1:17" s="116" customFormat="1" ht="15">
      <c r="A55" s="520" t="s">
        <v>2555</v>
      </c>
      <c r="B55" s="509"/>
      <c r="C55" s="521" t="s">
        <v>2657</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2593</v>
      </c>
      <c r="B57" s="527" t="s">
        <v>2559</v>
      </c>
      <c r="C57" s="528">
        <f>C9</f>
        <v>0</v>
      </c>
      <c r="D57" s="529"/>
      <c r="E57" s="529"/>
      <c r="F57" s="529"/>
      <c r="G57" s="529"/>
      <c r="H57" s="529"/>
      <c r="I57" s="529"/>
      <c r="J57" s="529"/>
      <c r="K57" s="530"/>
      <c r="L57" s="531"/>
      <c r="M57" s="532"/>
      <c r="N57" s="1153"/>
      <c r="O57" s="1153"/>
      <c r="P57" s="44"/>
      <c r="Q57" s="503"/>
    </row>
    <row r="58" spans="1:17" ht="15.75" thickBot="1">
      <c r="A58" s="533"/>
      <c r="B58" s="534"/>
      <c r="C58" s="535">
        <v>100</v>
      </c>
      <c r="D58" s="535"/>
      <c r="E58" s="535"/>
      <c r="F58" s="535"/>
      <c r="G58" s="535"/>
      <c r="H58" s="535"/>
      <c r="I58" s="535"/>
      <c r="J58" s="535"/>
      <c r="K58" s="535"/>
      <c r="L58" s="535"/>
      <c r="M58" s="536"/>
      <c r="N58" s="1154"/>
      <c r="O58" s="1154"/>
      <c r="P58" s="44"/>
      <c r="Q58" s="503"/>
    </row>
    <row r="59" spans="1:17" ht="27.75" thickTop="1">
      <c r="A59" s="533"/>
      <c r="B59" s="537" t="s">
        <v>2562</v>
      </c>
      <c r="C59" s="538" t="s">
        <v>2594</v>
      </c>
      <c r="D59" s="538" t="s">
        <v>2595</v>
      </c>
      <c r="E59" s="538" t="s">
        <v>2596</v>
      </c>
      <c r="F59" s="538" t="s">
        <v>2597</v>
      </c>
      <c r="G59" s="538" t="s">
        <v>2598</v>
      </c>
      <c r="H59" s="538" t="s">
        <v>2599</v>
      </c>
      <c r="I59" s="538" t="s">
        <v>2600</v>
      </c>
      <c r="J59" s="538"/>
      <c r="K59" s="539"/>
      <c r="L59" s="540"/>
      <c r="M59" s="541"/>
      <c r="N59" s="1153"/>
      <c r="O59" s="1153"/>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4"/>
      <c r="Q60" s="503"/>
    </row>
    <row r="61" spans="1:17" ht="15.75" thickTop="1">
      <c r="A61" s="533"/>
      <c r="B61" s="545" t="s">
        <v>2563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4"/>
      <c r="Q61" s="503"/>
    </row>
    <row r="62" spans="1:17" ht="15">
      <c r="A62" s="533"/>
      <c r="B62" s="547"/>
      <c r="C62" s="548"/>
      <c r="D62" s="548"/>
      <c r="E62" s="548"/>
      <c r="F62" s="548"/>
      <c r="G62" s="548"/>
      <c r="H62" s="548"/>
      <c r="I62" s="548"/>
      <c r="J62" s="548"/>
      <c r="K62" s="549"/>
      <c r="L62" s="550"/>
      <c r="M62" s="551"/>
      <c r="N62" s="1153"/>
      <c r="O62" s="1153"/>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4"/>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2564</v>
      </c>
      <c r="B70" s="527" t="s">
        <v>2710</v>
      </c>
      <c r="C70" s="572" t="s">
        <v>2602</v>
      </c>
      <c r="D70" s="572" t="s">
        <v>2603</v>
      </c>
      <c r="E70" s="572" t="s">
        <v>2604</v>
      </c>
      <c r="F70" s="572" t="s">
        <v>2605</v>
      </c>
      <c r="G70" s="572" t="s">
        <v>2606</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4"/>
      <c r="Q71" s="503"/>
    </row>
    <row r="72" spans="1:17" ht="15.75" thickTop="1">
      <c r="A72" s="533"/>
      <c r="B72" s="537" t="s">
        <v>2607</v>
      </c>
      <c r="C72" s="577" t="s">
        <v>2602</v>
      </c>
      <c r="D72" s="577" t="s">
        <v>2603</v>
      </c>
      <c r="E72" s="577" t="s">
        <v>2604</v>
      </c>
      <c r="F72" s="577" t="s">
        <v>2605</v>
      </c>
      <c r="G72" s="577" t="s">
        <v>2606</v>
      </c>
      <c r="H72" s="538"/>
      <c r="I72" s="538"/>
      <c r="J72" s="538"/>
      <c r="K72" s="539"/>
      <c r="L72" s="540"/>
      <c r="M72" s="541"/>
      <c r="N72" s="1153"/>
      <c r="O72" s="1153"/>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4"/>
      <c r="Q73" s="503"/>
    </row>
    <row r="74" spans="1:17" ht="15.75" thickTop="1">
      <c r="A74" s="533"/>
      <c r="B74" s="537" t="s">
        <v>2608</v>
      </c>
      <c r="C74" s="577" t="s">
        <v>2602</v>
      </c>
      <c r="D74" s="577" t="s">
        <v>2603</v>
      </c>
      <c r="E74" s="577" t="s">
        <v>2604</v>
      </c>
      <c r="F74" s="577" t="s">
        <v>2605</v>
      </c>
      <c r="G74" s="577" t="s">
        <v>2606</v>
      </c>
      <c r="H74" s="538"/>
      <c r="I74" s="538"/>
      <c r="J74" s="538"/>
      <c r="K74" s="539"/>
      <c r="L74" s="540"/>
      <c r="M74" s="541"/>
      <c r="N74" s="1153"/>
      <c r="O74" s="1153"/>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4"/>
      <c r="Q75" s="503"/>
    </row>
    <row r="76" spans="1:17" ht="15.75" thickTop="1">
      <c r="A76" s="533"/>
      <c r="B76" s="545" t="s">
        <v>2694</v>
      </c>
      <c r="C76" s="659" t="s">
        <v>2680</v>
      </c>
      <c r="D76" s="659" t="s">
        <v>2681</v>
      </c>
      <c r="E76" s="659" t="s">
        <v>2682</v>
      </c>
      <c r="F76" s="659" t="s">
        <v>2683</v>
      </c>
      <c r="G76" s="659" t="s">
        <v>2684</v>
      </c>
      <c r="H76" s="538"/>
      <c r="I76" s="538"/>
      <c r="J76" s="538"/>
      <c r="K76" s="538"/>
      <c r="L76" s="538"/>
      <c r="M76" s="1382"/>
      <c r="N76" s="1154"/>
      <c r="O76" s="1154"/>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4"/>
      <c r="Q77" s="503"/>
    </row>
    <row r="78" spans="1:17" ht="15.75" thickTop="1">
      <c r="A78" s="533"/>
      <c r="B78" s="537" t="s">
        <v>2703</v>
      </c>
      <c r="C78" s="577" t="s">
        <v>2602</v>
      </c>
      <c r="D78" s="577" t="s">
        <v>2603</v>
      </c>
      <c r="E78" s="577" t="s">
        <v>2604</v>
      </c>
      <c r="F78" s="577" t="s">
        <v>2605</v>
      </c>
      <c r="G78" s="577" t="s">
        <v>2606</v>
      </c>
      <c r="H78" s="538"/>
      <c r="I78" s="538"/>
      <c r="J78" s="538"/>
      <c r="K78" s="539"/>
      <c r="L78" s="540"/>
      <c r="M78" s="541"/>
      <c r="N78" s="1153"/>
      <c r="O78" s="1153"/>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4"/>
      <c r="Q79" s="503"/>
    </row>
    <row r="80" spans="1:17" s="116" customFormat="1" ht="15.75" thickTop="1">
      <c r="A80" s="578"/>
      <c r="B80" s="537">
        <f>B25</f>
        <v>111</v>
      </c>
      <c r="C80" s="553"/>
      <c r="D80" s="553"/>
      <c r="E80" s="553"/>
      <c r="F80" s="553"/>
      <c r="G80" s="553"/>
      <c r="H80" s="553"/>
      <c r="I80" s="553"/>
      <c r="J80" s="553"/>
      <c r="K80" s="553"/>
      <c r="L80" s="579"/>
      <c r="M80" s="580"/>
      <c r="N80" s="1152"/>
      <c r="O80" s="1152"/>
      <c r="P80" s="44"/>
      <c r="Q80" s="503"/>
    </row>
    <row r="81" spans="1:17" s="116" customFormat="1" ht="15.75" thickBot="1">
      <c r="A81" s="578"/>
      <c r="B81" s="542"/>
      <c r="C81" s="559"/>
      <c r="D81" s="535"/>
      <c r="E81" s="535"/>
      <c r="F81" s="535"/>
      <c r="G81" s="535"/>
      <c r="H81" s="535"/>
      <c r="I81" s="535"/>
      <c r="J81" s="535"/>
      <c r="K81" s="535"/>
      <c r="L81" s="535"/>
      <c r="M81" s="536"/>
      <c r="N81" s="1154"/>
      <c r="O81" s="1154"/>
      <c r="P81" s="44"/>
      <c r="Q81" s="503"/>
    </row>
    <row r="82" spans="1:17" s="116" customFormat="1" ht="15.75" thickTop="1">
      <c r="A82" s="578"/>
      <c r="B82" s="537">
        <f>B26</f>
        <v>111</v>
      </c>
      <c r="C82" s="553"/>
      <c r="D82" s="553"/>
      <c r="E82" s="553"/>
      <c r="F82" s="553"/>
      <c r="G82" s="553"/>
      <c r="H82" s="553"/>
      <c r="I82" s="553"/>
      <c r="J82" s="553"/>
      <c r="K82" s="553"/>
      <c r="L82" s="579"/>
      <c r="M82" s="580"/>
      <c r="N82" s="1152"/>
      <c r="O82" s="1152"/>
      <c r="P82" s="44"/>
      <c r="Q82" s="503"/>
    </row>
    <row r="83" spans="1:17" s="116" customFormat="1" ht="15.75" thickBot="1">
      <c r="A83" s="578"/>
      <c r="B83" s="542"/>
      <c r="C83" s="559"/>
      <c r="D83" s="535"/>
      <c r="E83" s="535"/>
      <c r="F83" s="535"/>
      <c r="G83" s="535"/>
      <c r="H83" s="535"/>
      <c r="I83" s="535"/>
      <c r="J83" s="535"/>
      <c r="K83" s="535"/>
      <c r="L83" s="535"/>
      <c r="M83" s="536"/>
      <c r="N83" s="1154"/>
      <c r="O83" s="1154"/>
      <c r="P83" s="44"/>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4"/>
      <c r="Q86" s="503"/>
    </row>
    <row r="87" spans="1:17" ht="15.75" thickBot="1">
      <c r="A87" s="2635"/>
      <c r="B87" s="568"/>
      <c r="C87" s="569"/>
      <c r="D87" s="569"/>
      <c r="E87" s="569"/>
      <c r="F87" s="569"/>
      <c r="G87" s="590"/>
      <c r="H87" s="590"/>
      <c r="I87" s="590"/>
      <c r="J87" s="590"/>
      <c r="K87" s="590"/>
      <c r="L87" s="590"/>
      <c r="M87" s="591"/>
      <c r="N87" s="1154"/>
      <c r="O87" s="1154"/>
      <c r="P87" s="44"/>
      <c r="Q87" s="503"/>
    </row>
    <row r="88" spans="1:17">
      <c r="A88" s="526" t="s">
        <v>2568</v>
      </c>
      <c r="B88" s="527" t="s">
        <v>2617</v>
      </c>
      <c r="C88" s="529"/>
      <c r="D88" s="529"/>
      <c r="E88" s="529"/>
      <c r="F88" s="529"/>
      <c r="G88" s="529"/>
      <c r="H88" s="529"/>
      <c r="I88" s="529"/>
      <c r="J88" s="529"/>
      <c r="K88" s="530"/>
      <c r="L88" s="531"/>
      <c r="M88" s="532"/>
      <c r="N88" s="1153"/>
      <c r="O88" s="1153"/>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4"/>
      <c r="Q89" s="503"/>
    </row>
    <row r="90" spans="1:17" ht="15.75" thickTop="1">
      <c r="A90" s="533"/>
      <c r="B90" s="537" t="s">
        <v>2618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4"/>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2619</v>
      </c>
      <c r="C93" s="553"/>
      <c r="D93" s="553"/>
      <c r="E93" s="582"/>
      <c r="F93" s="582"/>
      <c r="G93" s="582"/>
      <c r="H93" s="582"/>
      <c r="I93" s="582"/>
      <c r="J93" s="582"/>
      <c r="K93" s="583"/>
      <c r="L93" s="584"/>
      <c r="M93" s="585"/>
      <c r="N93" s="1153"/>
      <c r="O93" s="1153"/>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4"/>
      <c r="Q94" s="503"/>
    </row>
    <row r="95" spans="1:17" ht="15" thickTop="1">
      <c r="A95" s="598"/>
      <c r="B95" s="537" t="s">
        <v>2621</v>
      </c>
      <c r="C95" s="553"/>
      <c r="D95" s="553"/>
      <c r="E95" s="553"/>
      <c r="F95" s="582"/>
      <c r="G95" s="582"/>
      <c r="H95" s="582"/>
      <c r="I95" s="582"/>
      <c r="J95" s="582"/>
      <c r="K95" s="583"/>
      <c r="L95" s="584"/>
      <c r="M95" s="585"/>
      <c r="N95" s="1153"/>
      <c r="O95" s="1153"/>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4"/>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4"/>
      <c r="Q97" s="503"/>
    </row>
    <row r="98" spans="1:17">
      <c r="A98" s="598"/>
      <c r="B98" s="545"/>
      <c r="C98" s="602">
        <v>0.5</v>
      </c>
      <c r="D98" s="602">
        <v>0.6</v>
      </c>
      <c r="E98" s="602">
        <v>0.7</v>
      </c>
      <c r="F98" s="602">
        <v>0.8</v>
      </c>
      <c r="G98" s="602">
        <v>0.9</v>
      </c>
      <c r="H98" s="602">
        <v>1.0001</v>
      </c>
      <c r="I98" s="622"/>
      <c r="J98" s="622"/>
      <c r="K98" s="623"/>
      <c r="L98" s="624"/>
      <c r="M98" s="625"/>
      <c r="N98" s="1153"/>
      <c r="O98" s="1153"/>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4"/>
      <c r="Q99" s="503"/>
    </row>
    <row r="100" spans="1:17" s="470" customFormat="1" ht="15" thickTop="1">
      <c r="A100" s="592"/>
      <c r="B100" s="537" t="s">
        <v>2622</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2623</v>
      </c>
      <c r="C102" s="553"/>
      <c r="D102" s="553"/>
      <c r="E102" s="553"/>
      <c r="F102" s="553"/>
      <c r="G102" s="553"/>
      <c r="H102" s="582"/>
      <c r="I102" s="582"/>
      <c r="J102" s="582"/>
      <c r="K102" s="583"/>
      <c r="L102" s="584"/>
      <c r="M102" s="585"/>
      <c r="N102" s="1153"/>
      <c r="O102" s="1153"/>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4"/>
      <c r="Q103" s="503"/>
    </row>
    <row r="104" spans="1:17" ht="15" thickTop="1">
      <c r="A104" s="598"/>
      <c r="B104" s="537" t="s">
        <v>2625</v>
      </c>
      <c r="C104" s="553"/>
      <c r="D104" s="553"/>
      <c r="E104" s="553"/>
      <c r="F104" s="553"/>
      <c r="G104" s="553"/>
      <c r="H104" s="582"/>
      <c r="I104" s="582"/>
      <c r="J104" s="582"/>
      <c r="K104" s="583"/>
      <c r="L104" s="584"/>
      <c r="M104" s="585"/>
      <c r="N104" s="1153"/>
      <c r="O104" s="1153"/>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4"/>
      <c r="Q105" s="503"/>
    </row>
    <row r="106" spans="1:17" ht="15" thickTop="1">
      <c r="A106" s="598"/>
      <c r="B106" s="635" t="s">
        <v>2711</v>
      </c>
      <c r="C106" s="577" t="s">
        <v>2602</v>
      </c>
      <c r="D106" s="577" t="s">
        <v>2603</v>
      </c>
      <c r="E106" s="577" t="s">
        <v>2604</v>
      </c>
      <c r="F106" s="577" t="s">
        <v>2605</v>
      </c>
      <c r="G106" s="577" t="s">
        <v>2606</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4"/>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4"/>
      <c r="Q110" s="503"/>
    </row>
    <row r="111" spans="1:17" ht="15.75" thickBot="1">
      <c r="A111" s="533"/>
      <c r="B111" s="542"/>
      <c r="C111" s="559"/>
      <c r="D111" s="535"/>
      <c r="E111" s="535"/>
      <c r="F111" s="535"/>
      <c r="G111" s="559"/>
      <c r="H111" s="561"/>
      <c r="I111" s="561"/>
      <c r="J111" s="561"/>
      <c r="K111" s="561"/>
      <c r="L111" s="561"/>
      <c r="M111" s="562"/>
      <c r="N111" s="1154"/>
      <c r="O111" s="1154"/>
      <c r="P111" s="44"/>
      <c r="Q111" s="503"/>
    </row>
    <row r="112" spans="1:17" ht="15" thickTop="1">
      <c r="A112" s="598"/>
      <c r="B112" s="545">
        <f>B40</f>
        <v>111</v>
      </c>
      <c r="C112" s="522"/>
      <c r="D112" s="522"/>
      <c r="E112" s="522"/>
      <c r="F112" s="522"/>
      <c r="G112" s="586"/>
      <c r="H112" s="586"/>
      <c r="I112" s="586"/>
      <c r="J112" s="586"/>
      <c r="K112" s="522"/>
      <c r="L112" s="523"/>
      <c r="M112" s="589"/>
      <c r="N112" s="1153"/>
      <c r="O112" s="1153"/>
      <c r="P112" s="44"/>
      <c r="Q112" s="503"/>
    </row>
    <row r="113" spans="1:17" ht="15.75" thickBot="1">
      <c r="A113" s="2635"/>
      <c r="B113" s="568"/>
      <c r="C113" s="569"/>
      <c r="D113" s="569"/>
      <c r="E113" s="569"/>
      <c r="F113" s="569"/>
      <c r="G113" s="590"/>
      <c r="H113" s="590"/>
      <c r="I113" s="590"/>
      <c r="J113" s="590"/>
      <c r="K113" s="590"/>
      <c r="L113" s="590"/>
      <c r="M113" s="591"/>
      <c r="N113" s="1154"/>
      <c r="O113" s="1154"/>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武汉统建城市开发有限责任公司：</v>
      </c>
    </row>
    <row r="4" spans="1:1" ht="36">
      <c r="A4" s="1948" t="str">
        <f>"受贵公司委托，我公司对"&amp;项目基本情况!S1&amp;"进行了预评估。"</f>
        <v>受贵公司委托，我公司对湖北省武汉市江岸区解放大道与张公堤路交叉口处房地产市场价值进行了预评估。</v>
      </c>
    </row>
    <row r="5" spans="1:1" ht="18.75">
      <c r="A5" s="1949" t="s">
        <v>1612</v>
      </c>
    </row>
    <row r="6" spans="1:1" ht="18.75">
      <c r="A6" s="1950" t="s">
        <v>1613</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江岸区解放大道与张公堤路交叉口处房地产，为武汉统建城市开发有限责任公司所有。根据《国有土地使用证》[]，估价对象（分摊）出让国有建设用地使用权面积为73.69平方米，建筑面积为1368.33000000002平方米。</v>
      </c>
    </row>
    <row r="8" spans="1:1" ht="57.75">
      <c r="A8" s="1951" t="s">
        <v>1614</v>
      </c>
    </row>
    <row r="9" spans="1:1" ht="18.75">
      <c r="A9" s="1950" t="s">
        <v>1615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江岸区解放大道与张公堤路交叉口处房地产,属武汉统建城市开发有限责任公司开发建设的，该项目尚在开发建设中。根据《国有土地使用证》[]，估价对象（分摊）出让国有建设用地使用权面积为73.69平方米，规划建筑面积为1368.33000000002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1618</v>
      </c>
    </row>
    <row r="15" spans="1:1" ht="18">
      <c r="A15" s="1954" t="str">
        <f>TEXT(项目基本情况!D3,"yyyy年m月d日;;")&amp;IF(项目基本情况!D3=项目基本情况!B3,"（评估专业人员实地查勘之日）","")</f>
        <v>2018年11月28日（评估专业人员实地查勘之日）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28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8" t="str">
        <f>IF(项目基本情况!B9="房地产市场价值","——",IF(项目基本情况!E8="房地产抵押价值",定义!C54,IF(项目基本情况!E8="已注销",定义!C55,定义!C56)))</f>
        <v>——</v>
      </c>
    </row>
    <row r="21" spans="1:1" ht="18">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8" t="str">
        <f>IF(项目基本情况!B9="房地产市场价值","——",IF(项目基本情况!E9="——","",定义!C57))</f>
        <v>——</v>
      </c>
    </row>
    <row r="23" spans="1:1" ht="18.75">
      <c r="A23" s="1953" t="s">
        <v>1609</v>
      </c>
    </row>
    <row r="24" spans="1:1" ht="18">
      <c r="A24" s="1955" t="str">
        <f>"本次评估采用的主估价方法为"&amp;结果表!K4&amp;"和"&amp;结果表!L4&amp;"。"</f>
        <v>本次评估采用的主估价方法为比较法和收益法。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2712</v>
      </c>
      <c r="B1" s="1619"/>
      <c r="C1" s="1620" t="s">
        <v>2535</v>
      </c>
      <c r="D1" s="1621"/>
      <c r="E1" s="1622"/>
      <c r="F1" s="2583"/>
      <c r="G1" s="1623" t="s">
        <v>2648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7" customFormat="1" ht="28.5" customHeight="1" thickTop="1">
      <c r="A2" s="1617" t="s">
        <v>2332</v>
      </c>
      <c r="B2" s="1418" t="e">
        <f ca="1">IF(C2="——",IF(B37="元/平方米",ROUND(C39*D3/10000,0),ROUND(F3*C39/10000,0)),IF(B37="元/平方米",ROUND(C39*D3/10000,0),ROUND(F3*C39/10000,0))-D2)</f>
        <v>#DIV/0!</v>
      </c>
      <c r="C2" s="2585"/>
      <c r="D2" s="1125" t="e">
        <f ca="1">SUMIF(INDIRECT("'"&amp;F2&amp;"'"&amp;"!A:A"),"承租人权益价值",INDIRECT("'"&amp;F2&amp;"'"&amp;"!c:c"))</f>
        <v>#REF!</v>
      </c>
      <c r="E2" s="2586" t="s">
        <v>2333</v>
      </c>
      <c r="F2" s="2587"/>
      <c r="G2" s="1126"/>
      <c r="H2" s="1126"/>
      <c r="I2" s="1126"/>
      <c r="J2" s="1126"/>
      <c r="K2" s="1128"/>
      <c r="L2" s="1129"/>
      <c r="M2" s="1130"/>
      <c r="N2" s="1130"/>
      <c r="O2" s="1130"/>
      <c r="P2" s="1419"/>
      <c r="Q2" s="766"/>
      <c r="R2" s="766"/>
      <c r="S2" s="766"/>
      <c r="T2" s="766"/>
      <c r="U2" s="766"/>
      <c r="V2" s="766"/>
      <c r="W2" s="766"/>
      <c r="X2" s="766"/>
      <c r="Y2" s="766"/>
      <c r="Z2" s="766"/>
      <c r="AA2" s="766"/>
      <c r="AB2" s="766"/>
      <c r="AC2" s="767"/>
    </row>
    <row r="3" spans="1:29" s="397" customFormat="1" ht="28.5" customHeight="1" thickBot="1">
      <c r="A3" s="246" t="s">
        <v>2334</v>
      </c>
      <c r="B3" s="608" t="e">
        <f ca="1">IF(AND(C2="——",B37="元/平方米"),C39,ROUND(B2*10000/D3,0))</f>
        <v>#DIV/0!</v>
      </c>
      <c r="C3" s="399" t="s">
        <v>2649</v>
      </c>
      <c r="D3" s="398">
        <f>SUMIF('数据-汇总表'!$C19:$C33,D1,'数据-汇总表'!$E19:$E33)</f>
        <v>0</v>
      </c>
      <c r="E3" s="399" t="s">
        <v>2713</v>
      </c>
      <c r="F3" s="398">
        <f>SUMIF('数据-取费表'!A5:A15,D1,'数据-取费表'!AH5:AH15)</f>
        <v>0</v>
      </c>
      <c r="G3" s="1126"/>
      <c r="H3" s="1126"/>
      <c r="I3" s="1126"/>
      <c r="J3" s="1126"/>
      <c r="K3" s="1128"/>
      <c r="L3" s="1129"/>
      <c r="M3" s="1130"/>
      <c r="N3" s="1130"/>
      <c r="O3" s="1130"/>
      <c r="P3" s="1419"/>
      <c r="Q3" s="766"/>
      <c r="R3" s="766"/>
      <c r="S3" s="766"/>
      <c r="T3" s="766"/>
      <c r="U3" s="766"/>
      <c r="V3" s="766"/>
      <c r="W3" s="766"/>
      <c r="X3" s="766"/>
      <c r="Y3" s="766"/>
      <c r="Z3" s="766"/>
      <c r="AA3" s="766"/>
      <c r="AB3" s="784"/>
      <c r="AC3" s="780"/>
    </row>
    <row r="4" spans="1:29" ht="15">
      <c r="A4" s="400" t="s">
        <v>2650</v>
      </c>
      <c r="B4" s="401"/>
      <c r="C4" s="3205" t="s">
        <v>2651</v>
      </c>
      <c r="D4" s="3206"/>
      <c r="E4" s="3207" t="s">
        <v>2652</v>
      </c>
      <c r="F4" s="3208"/>
      <c r="G4" s="3205" t="s">
        <v>2653</v>
      </c>
      <c r="H4" s="3206"/>
      <c r="I4" s="3205" t="s">
        <v>2654</v>
      </c>
      <c r="J4" s="3206"/>
      <c r="K4" s="609" t="s">
        <v>2655</v>
      </c>
      <c r="L4" s="1131"/>
      <c r="M4" s="1132"/>
      <c r="N4" s="1132"/>
      <c r="O4" s="1132"/>
      <c r="P4" s="3209" t="s">
        <v>2656</v>
      </c>
      <c r="Q4" s="3210"/>
      <c r="R4" s="3192" t="s">
        <v>2652</v>
      </c>
      <c r="S4" s="3193"/>
      <c r="T4" s="3192" t="s">
        <v>2653</v>
      </c>
      <c r="U4" s="3193"/>
      <c r="V4" s="3217" t="s">
        <v>2654</v>
      </c>
      <c r="W4" s="3217"/>
      <c r="X4" s="1813"/>
      <c r="Y4" s="3192" t="s">
        <v>2656</v>
      </c>
      <c r="Z4" s="3193"/>
      <c r="AA4" s="3187" t="s">
        <v>2652</v>
      </c>
      <c r="AB4" s="3188" t="s">
        <v>2653</v>
      </c>
      <c r="AC4" s="3187" t="s">
        <v>2654</v>
      </c>
    </row>
    <row r="5" spans="1:29" ht="15">
      <c r="A5" s="403"/>
      <c r="B5" s="404"/>
      <c r="C5" s="3198" t="s">
        <v>2547</v>
      </c>
      <c r="D5" s="3199"/>
      <c r="E5" s="3196" t="s">
        <v>2548</v>
      </c>
      <c r="F5" s="3197"/>
      <c r="G5" s="3198" t="s">
        <v>2549</v>
      </c>
      <c r="H5" s="3199"/>
      <c r="I5" s="3198" t="s">
        <v>2550</v>
      </c>
      <c r="J5" s="3199"/>
      <c r="K5" s="609"/>
      <c r="L5" s="1131"/>
      <c r="M5" s="1132"/>
      <c r="N5" s="1132"/>
      <c r="O5" s="1132"/>
      <c r="P5" s="3211"/>
      <c r="Q5" s="3212"/>
      <c r="R5" s="3194"/>
      <c r="S5" s="3195"/>
      <c r="T5" s="3194"/>
      <c r="U5" s="3195"/>
      <c r="V5" s="3217"/>
      <c r="W5" s="3217"/>
      <c r="X5" s="1813"/>
      <c r="Y5" s="3194"/>
      <c r="Z5" s="3195"/>
      <c r="AA5" s="3188"/>
      <c r="AB5" s="3188"/>
      <c r="AC5" s="3188"/>
    </row>
    <row r="6" spans="1:29" ht="15.75" thickBot="1">
      <c r="A6" s="405"/>
      <c r="B6" s="406"/>
      <c r="C6" s="3200" t="s">
        <v>2551</v>
      </c>
      <c r="D6" s="3201"/>
      <c r="E6" s="3202" t="s">
        <v>2551</v>
      </c>
      <c r="F6" s="3203"/>
      <c r="G6" s="3200" t="s">
        <v>2551</v>
      </c>
      <c r="H6" s="3201"/>
      <c r="I6" s="3200" t="s">
        <v>2551</v>
      </c>
      <c r="J6" s="3201"/>
      <c r="K6" s="609" t="s">
        <v>2552</v>
      </c>
      <c r="L6" s="1131"/>
      <c r="M6" s="1132"/>
      <c r="N6" s="1132"/>
      <c r="O6" s="1132"/>
      <c r="P6" s="3213"/>
      <c r="Q6" s="3214"/>
      <c r="R6" s="3194"/>
      <c r="S6" s="3195"/>
      <c r="T6" s="3215"/>
      <c r="U6" s="3216"/>
      <c r="V6" s="3217"/>
      <c r="W6" s="3217"/>
      <c r="X6" s="1813"/>
      <c r="Y6" s="3215"/>
      <c r="Z6" s="3216"/>
      <c r="AA6" s="3189"/>
      <c r="AB6" s="3189"/>
      <c r="AC6" s="3189"/>
    </row>
    <row r="7" spans="1:29" s="116" customFormat="1" ht="15.75" thickBot="1">
      <c r="A7" s="407" t="s">
        <v>2553</v>
      </c>
      <c r="B7" s="408"/>
      <c r="C7" s="409">
        <f>'数据-取费表'!B2</f>
        <v>43432</v>
      </c>
      <c r="D7" s="410">
        <v>100</v>
      </c>
      <c r="E7" s="411"/>
      <c r="F7" s="412">
        <f>SUMIF(48:48,YEAR(E7)&amp;"-"&amp;MONTH(E7),49:49)</f>
        <v>0</v>
      </c>
      <c r="G7" s="411"/>
      <c r="H7" s="410">
        <f>SUMIF(48:48,YEAR(G7)&amp;"-"&amp;MONTH(G7),49:49)</f>
        <v>0</v>
      </c>
      <c r="I7" s="411"/>
      <c r="J7" s="410">
        <f>SUMIF(48:48,YEAR(I7)&amp;"-"&amp;MONTH(I7),49:49)</f>
        <v>0</v>
      </c>
      <c r="K7" s="610"/>
      <c r="L7" s="1133"/>
      <c r="M7" s="1134"/>
      <c r="N7" s="1134"/>
      <c r="O7" s="1134"/>
      <c r="P7" s="3190" t="s">
        <v>2554</v>
      </c>
      <c r="Q7" s="3218"/>
      <c r="R7" s="768" t="s">
        <v>17</v>
      </c>
      <c r="S7" s="769">
        <f t="shared" ref="S7:S14" si="0">F7</f>
        <v>0</v>
      </c>
      <c r="T7" s="768" t="s">
        <v>17</v>
      </c>
      <c r="U7" s="769">
        <f t="shared" ref="U7:U14" si="1">H7</f>
        <v>0</v>
      </c>
      <c r="V7" s="768" t="s">
        <v>17</v>
      </c>
      <c r="W7" s="769">
        <f t="shared" ref="W7:W14" si="2">J7</f>
        <v>0</v>
      </c>
      <c r="X7" s="770"/>
      <c r="Y7" s="3190" t="s">
        <v>2554</v>
      </c>
      <c r="Z7" s="3191"/>
      <c r="AA7" s="771" t="e">
        <f>D7/F7</f>
        <v>#DIV/0!</v>
      </c>
      <c r="AB7" s="771" t="e">
        <f>D7/H7</f>
        <v>#DIV/0!</v>
      </c>
      <c r="AC7" s="771" t="e">
        <f>D7/J7</f>
        <v>#DIV/0!</v>
      </c>
    </row>
    <row r="8" spans="1:29" s="116" customFormat="1" ht="15.75" thickBot="1">
      <c r="A8" s="407" t="s">
        <v>2555</v>
      </c>
      <c r="B8" s="408"/>
      <c r="C8" s="413" t="s">
        <v>2657</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190" t="s">
        <v>2557</v>
      </c>
      <c r="Q8" s="3191"/>
      <c r="R8" s="768" t="s">
        <v>17</v>
      </c>
      <c r="S8" s="769">
        <f t="shared" si="0"/>
        <v>0</v>
      </c>
      <c r="T8" s="768" t="s">
        <v>17</v>
      </c>
      <c r="U8" s="769">
        <f t="shared" si="1"/>
        <v>0</v>
      </c>
      <c r="V8" s="768" t="s">
        <v>17</v>
      </c>
      <c r="W8" s="769">
        <f t="shared" si="2"/>
        <v>0</v>
      </c>
      <c r="X8" s="770"/>
      <c r="Y8" s="3190" t="s">
        <v>2557</v>
      </c>
      <c r="Z8" s="3191"/>
      <c r="AA8" s="771" t="e">
        <f t="shared" ref="AA8:AA36" si="3">D8/F8</f>
        <v>#DIV/0!</v>
      </c>
      <c r="AB8" s="771" t="e">
        <f t="shared" ref="AB8:AB36" si="4">D8/H8</f>
        <v>#DIV/0!</v>
      </c>
      <c r="AC8" s="771" t="e">
        <f t="shared" ref="AC8:AC36" si="5">D8/J8</f>
        <v>#DIV/0!</v>
      </c>
    </row>
    <row r="9" spans="1:29" s="116" customFormat="1">
      <c r="A9" s="67" t="s">
        <v>2558</v>
      </c>
      <c r="B9" s="639" t="s">
        <v>2559</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222" t="s">
        <v>2560</v>
      </c>
      <c r="Q9" s="1795" t="str">
        <f t="shared" ref="Q9:Q14" si="6">B9</f>
        <v>用途</v>
      </c>
      <c r="R9" s="768" t="s">
        <v>17</v>
      </c>
      <c r="S9" s="769">
        <f t="shared" si="0"/>
        <v>100</v>
      </c>
      <c r="T9" s="768" t="s">
        <v>17</v>
      </c>
      <c r="U9" s="769">
        <f t="shared" si="1"/>
        <v>100</v>
      </c>
      <c r="V9" s="768" t="s">
        <v>17</v>
      </c>
      <c r="W9" s="769">
        <f t="shared" si="2"/>
        <v>100</v>
      </c>
      <c r="X9" s="770"/>
      <c r="Y9" s="3037" t="s">
        <v>2561</v>
      </c>
      <c r="Z9" s="54" t="str">
        <f t="shared" ref="Z9:Z14" si="7">Q9</f>
        <v>用途</v>
      </c>
      <c r="AA9" s="771">
        <f t="shared" si="3"/>
        <v>1</v>
      </c>
      <c r="AB9" s="771">
        <f t="shared" si="4"/>
        <v>1</v>
      </c>
      <c r="AC9" s="771">
        <f t="shared" si="5"/>
        <v>1</v>
      </c>
    </row>
    <row r="10" spans="1:29" s="426" customFormat="1" ht="27">
      <c r="A10" s="640"/>
      <c r="B10" s="641" t="s">
        <v>2562</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222"/>
      <c r="Q10" s="1795" t="str">
        <f t="shared" si="6"/>
        <v>土地使用年限（年）</v>
      </c>
      <c r="R10" s="768" t="s">
        <v>17</v>
      </c>
      <c r="S10" s="769">
        <f t="shared" si="0"/>
        <v>100</v>
      </c>
      <c r="T10" s="768" t="s">
        <v>17</v>
      </c>
      <c r="U10" s="769">
        <f t="shared" si="1"/>
        <v>100</v>
      </c>
      <c r="V10" s="768" t="s">
        <v>17</v>
      </c>
      <c r="W10" s="769">
        <f t="shared" si="2"/>
        <v>100</v>
      </c>
      <c r="X10" s="770"/>
      <c r="Y10" s="3037"/>
      <c r="Z10" s="54"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222"/>
      <c r="Q11" s="1795">
        <f t="shared" si="6"/>
        <v>111</v>
      </c>
      <c r="R11" s="768" t="s">
        <v>17</v>
      </c>
      <c r="S11" s="769">
        <f t="shared" si="0"/>
        <v>100</v>
      </c>
      <c r="T11" s="768" t="s">
        <v>17</v>
      </c>
      <c r="U11" s="769">
        <f t="shared" si="1"/>
        <v>100</v>
      </c>
      <c r="V11" s="768" t="s">
        <v>17</v>
      </c>
      <c r="W11" s="769">
        <f t="shared" si="2"/>
        <v>100</v>
      </c>
      <c r="X11" s="770"/>
      <c r="Y11" s="3037"/>
      <c r="Z11" s="54">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222"/>
      <c r="Q12" s="1795">
        <f t="shared" si="6"/>
        <v>111</v>
      </c>
      <c r="R12" s="768" t="s">
        <v>17</v>
      </c>
      <c r="S12" s="769">
        <f t="shared" si="0"/>
        <v>100</v>
      </c>
      <c r="T12" s="768" t="s">
        <v>17</v>
      </c>
      <c r="U12" s="769">
        <f t="shared" si="1"/>
        <v>100</v>
      </c>
      <c r="V12" s="768" t="s">
        <v>17</v>
      </c>
      <c r="W12" s="769">
        <f t="shared" si="2"/>
        <v>100</v>
      </c>
      <c r="X12" s="770"/>
      <c r="Y12" s="3037"/>
      <c r="Z12" s="54">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222"/>
      <c r="Q13" s="1795">
        <f t="shared" si="6"/>
        <v>111</v>
      </c>
      <c r="R13" s="768" t="s">
        <v>17</v>
      </c>
      <c r="S13" s="769">
        <f t="shared" si="0"/>
        <v>100</v>
      </c>
      <c r="T13" s="768" t="s">
        <v>17</v>
      </c>
      <c r="U13" s="769">
        <f t="shared" si="1"/>
        <v>100</v>
      </c>
      <c r="V13" s="768" t="s">
        <v>17</v>
      </c>
      <c r="W13" s="769">
        <f t="shared" si="2"/>
        <v>100</v>
      </c>
      <c r="X13" s="770"/>
      <c r="Y13" s="3037"/>
      <c r="Z13" s="54">
        <f t="shared" si="7"/>
        <v>111</v>
      </c>
      <c r="AA13" s="771">
        <f t="shared" si="3"/>
        <v>1</v>
      </c>
      <c r="AB13" s="771">
        <f t="shared" si="4"/>
        <v>1</v>
      </c>
      <c r="AC13" s="771">
        <f t="shared" si="5"/>
        <v>1</v>
      </c>
    </row>
    <row r="14" spans="1:29" ht="85.5">
      <c r="A14" s="400" t="s">
        <v>2564</v>
      </c>
      <c r="B14" s="628" t="s">
        <v>2714</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224" t="s">
        <v>2565</v>
      </c>
      <c r="Q14" s="1810" t="str">
        <f t="shared" si="6"/>
        <v>交通便捷度</v>
      </c>
      <c r="R14" s="772" t="s">
        <v>17</v>
      </c>
      <c r="S14" s="773">
        <f t="shared" si="0"/>
        <v>100</v>
      </c>
      <c r="T14" s="772" t="s">
        <v>17</v>
      </c>
      <c r="U14" s="773">
        <f t="shared" si="1"/>
        <v>100</v>
      </c>
      <c r="V14" s="772" t="s">
        <v>17</v>
      </c>
      <c r="W14" s="773">
        <f t="shared" si="2"/>
        <v>100</v>
      </c>
      <c r="X14" s="1813"/>
      <c r="Y14" s="3224" t="s">
        <v>2565</v>
      </c>
      <c r="Z14" s="1814" t="str">
        <f t="shared" si="7"/>
        <v>交通便捷度</v>
      </c>
      <c r="AA14" s="1811">
        <f t="shared" si="3"/>
        <v>1</v>
      </c>
      <c r="AB14" s="1811">
        <f t="shared" si="4"/>
        <v>1</v>
      </c>
      <c r="AC14" s="1811">
        <f t="shared" si="5"/>
        <v>1</v>
      </c>
    </row>
    <row r="15" spans="1:29" ht="15">
      <c r="A15" s="403"/>
      <c r="B15" s="646"/>
      <c r="C15" s="446"/>
      <c r="D15" s="447"/>
      <c r="E15" s="446"/>
      <c r="F15" s="448"/>
      <c r="G15" s="446"/>
      <c r="H15" s="449"/>
      <c r="I15" s="446"/>
      <c r="J15" s="447"/>
      <c r="K15" s="614"/>
      <c r="L15" s="1141"/>
      <c r="M15" s="1132"/>
      <c r="N15" s="1132"/>
      <c r="O15" s="1132"/>
      <c r="P15" s="3225"/>
      <c r="Q15" s="1810"/>
      <c r="R15" s="772"/>
      <c r="S15" s="773"/>
      <c r="T15" s="772"/>
      <c r="U15" s="773"/>
      <c r="V15" s="772"/>
      <c r="W15" s="773"/>
      <c r="X15" s="1813"/>
      <c r="Y15" s="3225"/>
      <c r="Z15" s="1814"/>
      <c r="AA15" s="1811">
        <v>1</v>
      </c>
      <c r="AB15" s="1811">
        <v>1</v>
      </c>
      <c r="AC15" s="1811">
        <v>1</v>
      </c>
    </row>
    <row r="16" spans="1:29" ht="42.75">
      <c r="A16" s="403"/>
      <c r="B16" s="630" t="s">
        <v>2693</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225"/>
      <c r="Q16" s="1810" t="str">
        <f>B16</f>
        <v>公共配套设施</v>
      </c>
      <c r="R16" s="772" t="s">
        <v>17</v>
      </c>
      <c r="S16" s="773">
        <f>F16</f>
        <v>100</v>
      </c>
      <c r="T16" s="772" t="s">
        <v>17</v>
      </c>
      <c r="U16" s="773">
        <f>H16</f>
        <v>100</v>
      </c>
      <c r="V16" s="772" t="s">
        <v>17</v>
      </c>
      <c r="W16" s="773">
        <f>J16</f>
        <v>100</v>
      </c>
      <c r="X16" s="1813"/>
      <c r="Y16" s="3225"/>
      <c r="Z16" s="1814" t="str">
        <f>Q16</f>
        <v>公共配套设施</v>
      </c>
      <c r="AA16" s="1811">
        <f t="shared" si="3"/>
        <v>1</v>
      </c>
      <c r="AB16" s="1811">
        <f t="shared" si="4"/>
        <v>1</v>
      </c>
      <c r="AC16" s="1811">
        <f t="shared" si="5"/>
        <v>1</v>
      </c>
    </row>
    <row r="17" spans="1:29" ht="15">
      <c r="A17" s="403"/>
      <c r="B17" s="631"/>
      <c r="C17" s="2607"/>
      <c r="D17" s="447"/>
      <c r="E17" s="446"/>
      <c r="F17" s="448"/>
      <c r="G17" s="446"/>
      <c r="H17" s="447"/>
      <c r="I17" s="446"/>
      <c r="J17" s="447"/>
      <c r="K17" s="614"/>
      <c r="L17" s="1141"/>
      <c r="M17" s="1132"/>
      <c r="N17" s="1132"/>
      <c r="O17" s="1132"/>
      <c r="P17" s="3225"/>
      <c r="Q17" s="1810"/>
      <c r="R17" s="772"/>
      <c r="S17" s="773"/>
      <c r="T17" s="772"/>
      <c r="U17" s="773"/>
      <c r="V17" s="772"/>
      <c r="W17" s="773"/>
      <c r="X17" s="1813"/>
      <c r="Y17" s="3225"/>
      <c r="Z17" s="1814"/>
      <c r="AA17" s="1811">
        <v>1</v>
      </c>
      <c r="AB17" s="1811">
        <v>1</v>
      </c>
      <c r="AC17" s="1811">
        <v>1</v>
      </c>
    </row>
    <row r="18" spans="1:29" ht="28.5">
      <c r="A18" s="403"/>
      <c r="B18" s="632" t="s">
        <v>2694</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225"/>
      <c r="Q18" s="1810" t="str">
        <f>B18</f>
        <v>基础设施水平</v>
      </c>
      <c r="R18" s="772" t="s">
        <v>17</v>
      </c>
      <c r="S18" s="773">
        <f>F18</f>
        <v>100</v>
      </c>
      <c r="T18" s="772" t="s">
        <v>17</v>
      </c>
      <c r="U18" s="773">
        <f>H18</f>
        <v>100</v>
      </c>
      <c r="V18" s="772" t="s">
        <v>17</v>
      </c>
      <c r="W18" s="773">
        <f>J18</f>
        <v>100</v>
      </c>
      <c r="X18" s="1813"/>
      <c r="Y18" s="3225"/>
      <c r="Z18" s="1814" t="str">
        <f>Q18</f>
        <v>基础设施水平</v>
      </c>
      <c r="AA18" s="1811">
        <f t="shared" ref="AA18" si="8">D18/F18</f>
        <v>1</v>
      </c>
      <c r="AB18" s="1811">
        <f t="shared" ref="AB18" si="9">D18/H18</f>
        <v>1</v>
      </c>
      <c r="AC18" s="1811">
        <f t="shared" ref="AC18" si="10">D18/J18</f>
        <v>1</v>
      </c>
    </row>
    <row r="19" spans="1:29" ht="15">
      <c r="A19" s="403"/>
      <c r="B19" s="632"/>
      <c r="C19" s="2607"/>
      <c r="D19" s="449"/>
      <c r="E19" s="2607"/>
      <c r="F19" s="452"/>
      <c r="G19" s="2607"/>
      <c r="H19" s="447"/>
      <c r="I19" s="446"/>
      <c r="J19" s="447"/>
      <c r="K19" s="1383"/>
      <c r="L19" s="1141"/>
      <c r="M19" s="1132"/>
      <c r="N19" s="1132"/>
      <c r="O19" s="1132"/>
      <c r="P19" s="3225"/>
      <c r="Q19" s="1810"/>
      <c r="R19" s="772"/>
      <c r="S19" s="773"/>
      <c r="T19" s="772"/>
      <c r="U19" s="773"/>
      <c r="V19" s="772"/>
      <c r="W19" s="773"/>
      <c r="X19" s="1813"/>
      <c r="Y19" s="3225"/>
      <c r="Z19" s="1814"/>
      <c r="AA19" s="1811">
        <v>1</v>
      </c>
      <c r="AB19" s="1811">
        <v>1</v>
      </c>
      <c r="AC19" s="1811">
        <v>1</v>
      </c>
    </row>
    <row r="20" spans="1:29" ht="57">
      <c r="A20" s="403"/>
      <c r="B20" s="630" t="s">
        <v>2715</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225"/>
      <c r="Q20" s="1810" t="str">
        <f>B20</f>
        <v>自然及人文环境</v>
      </c>
      <c r="R20" s="772" t="s">
        <v>17</v>
      </c>
      <c r="S20" s="773">
        <f>F20</f>
        <v>100</v>
      </c>
      <c r="T20" s="772" t="s">
        <v>17</v>
      </c>
      <c r="U20" s="773">
        <f>H20</f>
        <v>100</v>
      </c>
      <c r="V20" s="772" t="s">
        <v>17</v>
      </c>
      <c r="W20" s="773">
        <f>J20</f>
        <v>100</v>
      </c>
      <c r="X20" s="1813"/>
      <c r="Y20" s="3225"/>
      <c r="Z20" s="1814" t="str">
        <f>Q20</f>
        <v>自然及人文环境</v>
      </c>
      <c r="AA20" s="1811">
        <f t="shared" si="3"/>
        <v>1</v>
      </c>
      <c r="AB20" s="1811">
        <f t="shared" si="4"/>
        <v>1</v>
      </c>
      <c r="AC20" s="1811">
        <f t="shared" si="5"/>
        <v>1</v>
      </c>
    </row>
    <row r="21" spans="1:29" ht="15">
      <c r="A21" s="403"/>
      <c r="B21" s="631"/>
      <c r="C21" s="446"/>
      <c r="D21" s="447"/>
      <c r="E21" s="446"/>
      <c r="F21" s="448"/>
      <c r="G21" s="446"/>
      <c r="H21" s="447"/>
      <c r="I21" s="446"/>
      <c r="J21" s="447"/>
      <c r="K21" s="614"/>
      <c r="L21" s="1141"/>
      <c r="M21" s="1132"/>
      <c r="N21" s="1132"/>
      <c r="O21" s="1132"/>
      <c r="P21" s="3225"/>
      <c r="Q21" s="1810"/>
      <c r="R21" s="772"/>
      <c r="S21" s="773"/>
      <c r="T21" s="772"/>
      <c r="U21" s="773"/>
      <c r="V21" s="772"/>
      <c r="W21" s="773"/>
      <c r="X21" s="1813"/>
      <c r="Y21" s="3225"/>
      <c r="Z21" s="1814"/>
      <c r="AA21" s="1811">
        <v>1</v>
      </c>
      <c r="AB21" s="1811">
        <v>1</v>
      </c>
      <c r="AC21" s="1811">
        <v>1</v>
      </c>
    </row>
    <row r="22" spans="1:29" ht="15">
      <c r="A22" s="403"/>
      <c r="B22" s="630" t="s">
        <v>2716</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225"/>
      <c r="Q22" s="1810" t="str">
        <f>B22</f>
        <v>楼层</v>
      </c>
      <c r="R22" s="772" t="s">
        <v>17</v>
      </c>
      <c r="S22" s="773">
        <f>F22</f>
        <v>100</v>
      </c>
      <c r="T22" s="772" t="s">
        <v>17</v>
      </c>
      <c r="U22" s="773">
        <f>H22</f>
        <v>100</v>
      </c>
      <c r="V22" s="772" t="s">
        <v>17</v>
      </c>
      <c r="W22" s="773">
        <f>J22</f>
        <v>100</v>
      </c>
      <c r="X22" s="1813"/>
      <c r="Y22" s="3225"/>
      <c r="Z22" s="1814" t="str">
        <f>Q22</f>
        <v>楼层</v>
      </c>
      <c r="AA22" s="1811">
        <f t="shared" si="3"/>
        <v>1</v>
      </c>
      <c r="AB22" s="1811">
        <f t="shared" si="4"/>
        <v>1</v>
      </c>
      <c r="AC22" s="181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25"/>
      <c r="Q23" s="1810">
        <f>B23</f>
        <v>111</v>
      </c>
      <c r="R23" s="772" t="s">
        <v>17</v>
      </c>
      <c r="S23" s="773">
        <f>F23</f>
        <v>100</v>
      </c>
      <c r="T23" s="772" t="s">
        <v>17</v>
      </c>
      <c r="U23" s="773">
        <f>H23</f>
        <v>100</v>
      </c>
      <c r="V23" s="772" t="s">
        <v>17</v>
      </c>
      <c r="W23" s="773">
        <f>J23</f>
        <v>100</v>
      </c>
      <c r="X23" s="1813"/>
      <c r="Y23" s="3225"/>
      <c r="Z23" s="1814">
        <f>Q23</f>
        <v>111</v>
      </c>
      <c r="AA23" s="1811">
        <f t="shared" si="3"/>
        <v>1</v>
      </c>
      <c r="AB23" s="1811">
        <f t="shared" si="4"/>
        <v>1</v>
      </c>
      <c r="AC23" s="181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25"/>
      <c r="Q24" s="1810">
        <f t="shared" ref="Q24:Q36" si="11">B24</f>
        <v>111</v>
      </c>
      <c r="R24" s="772" t="s">
        <v>17</v>
      </c>
      <c r="S24" s="773">
        <f>F24</f>
        <v>100</v>
      </c>
      <c r="T24" s="772" t="s">
        <v>17</v>
      </c>
      <c r="U24" s="773">
        <f>H24</f>
        <v>100</v>
      </c>
      <c r="V24" s="772" t="s">
        <v>17</v>
      </c>
      <c r="W24" s="773">
        <f>J24</f>
        <v>100</v>
      </c>
      <c r="X24" s="1813"/>
      <c r="Y24" s="3225"/>
      <c r="Z24" s="1814">
        <f>Q24</f>
        <v>111</v>
      </c>
      <c r="AA24" s="1811">
        <f t="shared" si="3"/>
        <v>1</v>
      </c>
      <c r="AB24" s="1811">
        <f t="shared" si="4"/>
        <v>1</v>
      </c>
      <c r="AC24" s="1811">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225"/>
      <c r="Q25" s="1795">
        <f t="shared" si="11"/>
        <v>111</v>
      </c>
      <c r="R25" s="768" t="s">
        <v>17</v>
      </c>
      <c r="S25" s="769">
        <f>F25</f>
        <v>100</v>
      </c>
      <c r="T25" s="768" t="s">
        <v>17</v>
      </c>
      <c r="U25" s="769">
        <f>H25</f>
        <v>100</v>
      </c>
      <c r="V25" s="768" t="s">
        <v>17</v>
      </c>
      <c r="W25" s="769">
        <f>J25</f>
        <v>100</v>
      </c>
      <c r="X25" s="770"/>
      <c r="Y25" s="3225"/>
      <c r="Z25" s="54">
        <f>Q25</f>
        <v>111</v>
      </c>
      <c r="AA25" s="1811">
        <f>D25/F25</f>
        <v>1</v>
      </c>
      <c r="AB25" s="1811">
        <f>D25/H25</f>
        <v>1</v>
      </c>
      <c r="AC25" s="1811">
        <f>D25/J25</f>
        <v>1</v>
      </c>
    </row>
    <row r="26" spans="1:29" ht="15">
      <c r="A26" s="651" t="s">
        <v>2568</v>
      </c>
      <c r="B26" s="69" t="s">
        <v>2717</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50" t="s">
        <v>2570</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229" t="s">
        <v>2570</v>
      </c>
      <c r="Z26" s="1814" t="str">
        <f t="shared" ref="Z26:Z36" si="15">Q26</f>
        <v>配套类型</v>
      </c>
      <c r="AA26" s="1811">
        <f t="shared" si="3"/>
        <v>1</v>
      </c>
      <c r="AB26" s="1811">
        <f t="shared" si="4"/>
        <v>1</v>
      </c>
      <c r="AC26" s="1811">
        <f t="shared" si="5"/>
        <v>1</v>
      </c>
    </row>
    <row r="27" spans="1:29" s="470" customFormat="1" ht="15">
      <c r="A27" s="652"/>
      <c r="B27" s="653" t="s">
        <v>2718</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229"/>
      <c r="Q27" s="774" t="str">
        <f t="shared" si="11"/>
        <v>项目停车位配比</v>
      </c>
      <c r="R27" s="775" t="s">
        <v>17</v>
      </c>
      <c r="S27" s="776">
        <f t="shared" si="12"/>
        <v>100</v>
      </c>
      <c r="T27" s="775" t="s">
        <v>17</v>
      </c>
      <c r="U27" s="776">
        <f t="shared" si="13"/>
        <v>100</v>
      </c>
      <c r="V27" s="775" t="s">
        <v>17</v>
      </c>
      <c r="W27" s="776">
        <f t="shared" si="14"/>
        <v>100</v>
      </c>
      <c r="X27" s="777"/>
      <c r="Y27" s="3229"/>
      <c r="Z27" s="778" t="str">
        <f t="shared" si="15"/>
        <v>项目停车位配比</v>
      </c>
      <c r="AA27" s="1811">
        <f t="shared" si="3"/>
        <v>1</v>
      </c>
      <c r="AB27" s="1811">
        <f t="shared" si="4"/>
        <v>1</v>
      </c>
      <c r="AC27" s="1811">
        <f t="shared" si="5"/>
        <v>1</v>
      </c>
    </row>
    <row r="28" spans="1:29" ht="15">
      <c r="A28" s="655"/>
      <c r="B28" s="653" t="s">
        <v>2719</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229"/>
      <c r="Q28" s="1810" t="str">
        <f t="shared" si="11"/>
        <v>公共部分装修</v>
      </c>
      <c r="R28" s="772" t="s">
        <v>17</v>
      </c>
      <c r="S28" s="773">
        <f t="shared" si="12"/>
        <v>100</v>
      </c>
      <c r="T28" s="772" t="s">
        <v>17</v>
      </c>
      <c r="U28" s="773">
        <f t="shared" si="13"/>
        <v>100</v>
      </c>
      <c r="V28" s="772" t="s">
        <v>17</v>
      </c>
      <c r="W28" s="773">
        <f t="shared" si="14"/>
        <v>100</v>
      </c>
      <c r="X28" s="1813"/>
      <c r="Y28" s="3229"/>
      <c r="Z28" s="1814" t="str">
        <f t="shared" si="15"/>
        <v>公共部分装修</v>
      </c>
      <c r="AA28" s="1811">
        <f t="shared" si="3"/>
        <v>1</v>
      </c>
      <c r="AB28" s="1811">
        <f t="shared" si="4"/>
        <v>1</v>
      </c>
      <c r="AC28" s="1811">
        <f t="shared" si="5"/>
        <v>1</v>
      </c>
    </row>
    <row r="29" spans="1:29" ht="15">
      <c r="A29" s="655"/>
      <c r="B29" s="653" t="s">
        <v>2720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229"/>
      <c r="Q29" s="1810" t="str">
        <f t="shared" si="11"/>
        <v>成新率</v>
      </c>
      <c r="R29" s="772" t="s">
        <v>17</v>
      </c>
      <c r="S29" s="773" t="e">
        <f t="shared" si="12"/>
        <v>#N/A</v>
      </c>
      <c r="T29" s="772" t="s">
        <v>17</v>
      </c>
      <c r="U29" s="773" t="e">
        <f t="shared" si="13"/>
        <v>#N/A</v>
      </c>
      <c r="V29" s="772" t="s">
        <v>17</v>
      </c>
      <c r="W29" s="773" t="e">
        <f t="shared" si="14"/>
        <v>#N/A</v>
      </c>
      <c r="X29" s="1813"/>
      <c r="Y29" s="3229"/>
      <c r="Z29" s="1814" t="str">
        <f t="shared" si="15"/>
        <v>成新率</v>
      </c>
      <c r="AA29" s="1811" t="e">
        <f t="shared" si="3"/>
        <v>#N/A</v>
      </c>
      <c r="AB29" s="1811" t="e">
        <f t="shared" si="4"/>
        <v>#N/A</v>
      </c>
      <c r="AC29" s="1811" t="e">
        <f t="shared" si="5"/>
        <v>#N/A</v>
      </c>
    </row>
    <row r="30" spans="1:29" ht="15">
      <c r="A30" s="655"/>
      <c r="B30" s="653" t="s">
        <v>2721</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229"/>
      <c r="Q30" s="1810" t="str">
        <f t="shared" si="11"/>
        <v>物业等级</v>
      </c>
      <c r="R30" s="772" t="s">
        <v>17</v>
      </c>
      <c r="S30" s="773">
        <f t="shared" si="12"/>
        <v>100</v>
      </c>
      <c r="T30" s="772" t="s">
        <v>17</v>
      </c>
      <c r="U30" s="773">
        <f t="shared" si="13"/>
        <v>100</v>
      </c>
      <c r="V30" s="772" t="s">
        <v>17</v>
      </c>
      <c r="W30" s="773">
        <f t="shared" si="14"/>
        <v>100</v>
      </c>
      <c r="X30" s="1813"/>
      <c r="Y30" s="3229"/>
      <c r="Z30" s="1814" t="str">
        <f t="shared" si="15"/>
        <v>物业等级</v>
      </c>
      <c r="AA30" s="1811">
        <f t="shared" si="3"/>
        <v>1</v>
      </c>
      <c r="AB30" s="1811">
        <f t="shared" si="4"/>
        <v>1</v>
      </c>
      <c r="AC30" s="1811">
        <f t="shared" si="5"/>
        <v>1</v>
      </c>
    </row>
    <row r="31" spans="1:29" s="116" customFormat="1" ht="15">
      <c r="A31" s="657"/>
      <c r="B31" s="653" t="s">
        <v>2722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229"/>
      <c r="Q31" s="1795" t="str">
        <f t="shared" si="11"/>
        <v>停车位面积</v>
      </c>
      <c r="R31" s="768" t="s">
        <v>17</v>
      </c>
      <c r="S31" s="769" t="e">
        <f t="shared" si="12"/>
        <v>#N/A</v>
      </c>
      <c r="T31" s="768" t="s">
        <v>17</v>
      </c>
      <c r="U31" s="769" t="e">
        <f t="shared" si="13"/>
        <v>#N/A</v>
      </c>
      <c r="V31" s="768" t="s">
        <v>17</v>
      </c>
      <c r="W31" s="769" t="e">
        <f t="shared" si="14"/>
        <v>#N/A</v>
      </c>
      <c r="X31" s="770"/>
      <c r="Y31" s="3229"/>
      <c r="Z31" s="54" t="str">
        <f t="shared" si="15"/>
        <v>停车位面积</v>
      </c>
      <c r="AA31" s="771" t="e">
        <f t="shared" si="3"/>
        <v>#N/A</v>
      </c>
      <c r="AB31" s="771" t="e">
        <f t="shared" si="4"/>
        <v>#N/A</v>
      </c>
      <c r="AC31" s="771" t="e">
        <f t="shared" si="5"/>
        <v>#N/A</v>
      </c>
    </row>
    <row r="32" spans="1:29" ht="15">
      <c r="A32" s="655"/>
      <c r="B32" s="653" t="s">
        <v>2723</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229" t="s">
        <v>2570</v>
      </c>
      <c r="Q32" s="1810" t="str">
        <f t="shared" si="11"/>
        <v>车位类型</v>
      </c>
      <c r="R32" s="772" t="s">
        <v>17</v>
      </c>
      <c r="S32" s="773">
        <f t="shared" si="12"/>
        <v>100</v>
      </c>
      <c r="T32" s="772" t="s">
        <v>17</v>
      </c>
      <c r="U32" s="773">
        <f t="shared" si="13"/>
        <v>100</v>
      </c>
      <c r="V32" s="772" t="s">
        <v>17</v>
      </c>
      <c r="W32" s="773">
        <f t="shared" si="14"/>
        <v>100</v>
      </c>
      <c r="X32" s="1813"/>
      <c r="Y32" s="3229" t="s">
        <v>2570</v>
      </c>
      <c r="Z32" s="1814" t="str">
        <f t="shared" si="15"/>
        <v>车位类型</v>
      </c>
      <c r="AA32" s="1811">
        <f t="shared" si="3"/>
        <v>1</v>
      </c>
      <c r="AB32" s="1811">
        <f t="shared" si="4"/>
        <v>1</v>
      </c>
      <c r="AC32" s="1811">
        <f t="shared" si="5"/>
        <v>1</v>
      </c>
    </row>
    <row r="33" spans="1:29" ht="15">
      <c r="A33" s="655"/>
      <c r="B33" s="653" t="s">
        <v>2724</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229"/>
      <c r="Q33" s="1810" t="str">
        <f t="shared" si="11"/>
        <v>是否直接入户</v>
      </c>
      <c r="R33" s="772" t="s">
        <v>17</v>
      </c>
      <c r="S33" s="773">
        <f t="shared" si="12"/>
        <v>100</v>
      </c>
      <c r="T33" s="772" t="s">
        <v>17</v>
      </c>
      <c r="U33" s="773">
        <f t="shared" si="13"/>
        <v>100</v>
      </c>
      <c r="V33" s="772" t="s">
        <v>17</v>
      </c>
      <c r="W33" s="773">
        <f t="shared" si="14"/>
        <v>100</v>
      </c>
      <c r="X33" s="1813"/>
      <c r="Y33" s="3229"/>
      <c r="Z33" s="1814" t="str">
        <f t="shared" si="15"/>
        <v>是否直接入户</v>
      </c>
      <c r="AA33" s="1811">
        <f t="shared" si="3"/>
        <v>1</v>
      </c>
      <c r="AB33" s="1811">
        <f t="shared" si="4"/>
        <v>1</v>
      </c>
      <c r="AC33" s="181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29"/>
      <c r="Q34" s="1810">
        <f t="shared" si="11"/>
        <v>111</v>
      </c>
      <c r="R34" s="772" t="s">
        <v>17</v>
      </c>
      <c r="S34" s="773">
        <f t="shared" si="12"/>
        <v>100</v>
      </c>
      <c r="T34" s="772" t="s">
        <v>17</v>
      </c>
      <c r="U34" s="773">
        <f t="shared" si="13"/>
        <v>100</v>
      </c>
      <c r="V34" s="772" t="s">
        <v>17</v>
      </c>
      <c r="W34" s="773">
        <f t="shared" si="14"/>
        <v>100</v>
      </c>
      <c r="X34" s="1813"/>
      <c r="Y34" s="3229"/>
      <c r="Z34" s="1814">
        <f t="shared" si="15"/>
        <v>111</v>
      </c>
      <c r="AA34" s="1811">
        <f t="shared" si="3"/>
        <v>1</v>
      </c>
      <c r="AB34" s="1811">
        <f t="shared" si="4"/>
        <v>1</v>
      </c>
      <c r="AC34" s="181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29"/>
      <c r="Q35" s="774">
        <f t="shared" si="11"/>
        <v>111</v>
      </c>
      <c r="R35" s="775" t="s">
        <v>17</v>
      </c>
      <c r="S35" s="776">
        <f t="shared" si="12"/>
        <v>100</v>
      </c>
      <c r="T35" s="775" t="s">
        <v>17</v>
      </c>
      <c r="U35" s="776">
        <f t="shared" si="13"/>
        <v>100</v>
      </c>
      <c r="V35" s="775" t="s">
        <v>17</v>
      </c>
      <c r="W35" s="776">
        <f t="shared" si="14"/>
        <v>100</v>
      </c>
      <c r="X35" s="777"/>
      <c r="Y35" s="3229"/>
      <c r="Z35" s="778">
        <f t="shared" si="15"/>
        <v>111</v>
      </c>
      <c r="AA35" s="1811">
        <f t="shared" si="3"/>
        <v>1</v>
      </c>
      <c r="AB35" s="1811">
        <f t="shared" si="4"/>
        <v>1</v>
      </c>
      <c r="AC35" s="181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29"/>
      <c r="Q36" s="1810">
        <f t="shared" si="11"/>
        <v>111</v>
      </c>
      <c r="R36" s="772" t="s">
        <v>17</v>
      </c>
      <c r="S36" s="773">
        <f t="shared" si="12"/>
        <v>100</v>
      </c>
      <c r="T36" s="772" t="s">
        <v>17</v>
      </c>
      <c r="U36" s="773">
        <f t="shared" si="13"/>
        <v>100</v>
      </c>
      <c r="V36" s="772" t="s">
        <v>17</v>
      </c>
      <c r="W36" s="773">
        <f t="shared" si="14"/>
        <v>100</v>
      </c>
      <c r="X36" s="1813"/>
      <c r="Y36" s="3229"/>
      <c r="Z36" s="1814">
        <f t="shared" si="15"/>
        <v>111</v>
      </c>
      <c r="AA36" s="1811">
        <f t="shared" si="3"/>
        <v>1</v>
      </c>
      <c r="AB36" s="1811">
        <f t="shared" si="4"/>
        <v>1</v>
      </c>
      <c r="AC36" s="1811">
        <f t="shared" si="5"/>
        <v>1</v>
      </c>
    </row>
    <row r="37" spans="1:29" ht="15">
      <c r="A37" s="478" t="s">
        <v>2725</v>
      </c>
      <c r="B37" s="2693" t="s">
        <v>2726</v>
      </c>
      <c r="C37" s="1407" t="s">
        <v>1</v>
      </c>
      <c r="D37" s="1408"/>
      <c r="E37" s="1409"/>
      <c r="F37" s="1410"/>
      <c r="G37" s="1411"/>
      <c r="H37" s="1412"/>
      <c r="I37" s="1409"/>
      <c r="J37" s="1412"/>
      <c r="K37" s="618"/>
      <c r="L37" s="1144"/>
      <c r="M37" s="1145"/>
      <c r="N37" s="1132"/>
      <c r="O37" s="1145"/>
      <c r="P37" s="3222" t="str">
        <f>A37</f>
        <v>成交单价</v>
      </c>
      <c r="Q37" s="3222"/>
      <c r="R37" s="3223">
        <f>E37</f>
        <v>0</v>
      </c>
      <c r="S37" s="3223"/>
      <c r="T37" s="3223">
        <f>G37</f>
        <v>0</v>
      </c>
      <c r="U37" s="3223"/>
      <c r="V37" s="3223">
        <f>I37</f>
        <v>0</v>
      </c>
      <c r="W37" s="3223"/>
      <c r="X37" s="757"/>
      <c r="Y37" s="779"/>
      <c r="Z37" s="757"/>
      <c r="AA37" s="757"/>
      <c r="AB37" s="757"/>
      <c r="AC37" s="757"/>
    </row>
    <row r="38" spans="1:29" ht="15.75" thickBot="1">
      <c r="A38" s="485" t="s">
        <v>2727</v>
      </c>
      <c r="B38" s="486" t="str">
        <f>B37</f>
        <v>元/车位</v>
      </c>
      <c r="C38" s="1413" t="e">
        <f>R39</f>
        <v>#DIV/0!</v>
      </c>
      <c r="D38" s="1414"/>
      <c r="E38" s="1415" t="e">
        <f>R38</f>
        <v>#DIV/0!</v>
      </c>
      <c r="F38" s="1415"/>
      <c r="G38" s="1413" t="e">
        <f>T38</f>
        <v>#DIV/0!</v>
      </c>
      <c r="H38" s="1414"/>
      <c r="I38" s="1415" t="e">
        <f>V38</f>
        <v>#DIV/0!</v>
      </c>
      <c r="J38" s="1414"/>
      <c r="K38" s="619"/>
      <c r="L38" s="1144"/>
      <c r="M38" s="1145"/>
      <c r="N38" s="1145"/>
      <c r="O38" s="1145"/>
      <c r="P38" s="3222" t="str">
        <f>A38</f>
        <v>比较价值（元/平方米）</v>
      </c>
      <c r="Q38" s="322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7"/>
      <c r="Y38" s="757"/>
      <c r="Z38" s="757"/>
      <c r="AA38" s="757"/>
      <c r="AB38" s="757"/>
      <c r="AC38" s="757"/>
    </row>
    <row r="39" spans="1:29" ht="15.75" thickBot="1">
      <c r="A39" s="491" t="s">
        <v>2728</v>
      </c>
      <c r="B39" s="492"/>
      <c r="C39" s="1417" t="e">
        <f>R39</f>
        <v>#DIV/0!</v>
      </c>
      <c r="D39" s="1417"/>
      <c r="E39" s="1417"/>
      <c r="F39" s="1417"/>
      <c r="G39" s="1417"/>
      <c r="H39" s="1417"/>
      <c r="I39" s="1417"/>
      <c r="J39" s="1417"/>
      <c r="K39" s="620"/>
      <c r="L39" s="1144"/>
      <c r="M39" s="1145"/>
      <c r="N39" s="1145"/>
      <c r="O39" s="1145"/>
      <c r="P39" s="3219" t="str">
        <f>A39</f>
        <v>估价对象XX用房的比较价值（楼面单价，元/平方米）</v>
      </c>
      <c r="Q39" s="3220"/>
      <c r="R39" s="3221" t="e">
        <f>IF(F1="售价",ROUND(AVERAGE(R38:V38),0),ROUND(AVERAGE(R38:V38),1))</f>
        <v>#DIV/0!</v>
      </c>
      <c r="S39" s="3221"/>
      <c r="T39" s="3221"/>
      <c r="U39" s="3221"/>
      <c r="V39" s="3221"/>
      <c r="W39" s="3221"/>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6" t="s">
        <v>2729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6" t="s">
        <v>2730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1" customFormat="1" ht="13.5" customHeight="1">
      <c r="A44" s="1146"/>
      <c r="B44" s="1146"/>
      <c r="C44" s="496" t="s">
        <v>2731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2732</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7" customFormat="1" ht="15">
      <c r="A48" s="504" t="s">
        <v>2733</v>
      </c>
      <c r="B48" s="505"/>
      <c r="C48" s="1574" t="str">
        <f>YEAR(C7)&amp;"-"&amp;MONTH(C7)</f>
        <v>2018-11</v>
      </c>
      <c r="D48" s="1575">
        <f>EDATE(C48,-1)</f>
        <v>43374</v>
      </c>
      <c r="E48" s="1575">
        <f t="shared" ref="E48:O48" si="16">EDATE(D48,-1)</f>
        <v>43344</v>
      </c>
      <c r="F48" s="1575">
        <f t="shared" si="16"/>
        <v>43313</v>
      </c>
      <c r="G48" s="1575">
        <f t="shared" si="16"/>
        <v>43282</v>
      </c>
      <c r="H48" s="1575">
        <f t="shared" si="16"/>
        <v>43252</v>
      </c>
      <c r="I48" s="1575">
        <f t="shared" si="16"/>
        <v>43221</v>
      </c>
      <c r="J48" s="1575">
        <f t="shared" si="16"/>
        <v>43191</v>
      </c>
      <c r="K48" s="1575">
        <f t="shared" si="16"/>
        <v>43160</v>
      </c>
      <c r="L48" s="1575">
        <f t="shared" si="16"/>
        <v>43132</v>
      </c>
      <c r="M48" s="1575">
        <f t="shared" si="16"/>
        <v>43101</v>
      </c>
      <c r="N48" s="1575">
        <f t="shared" si="16"/>
        <v>43070</v>
      </c>
      <c r="O48" s="1575">
        <f t="shared" si="16"/>
        <v>43040</v>
      </c>
      <c r="P48" s="1438"/>
      <c r="Q48" s="1439"/>
      <c r="R48" s="1439"/>
      <c r="S48" s="1439"/>
      <c r="T48" s="1439"/>
      <c r="U48" s="1439"/>
      <c r="V48" s="1439"/>
      <c r="W48" s="1439"/>
      <c r="X48" s="1439"/>
      <c r="Y48" s="1439"/>
      <c r="Z48" s="1439"/>
      <c r="AA48" s="1439"/>
      <c r="AB48" s="1439"/>
      <c r="AC48" s="1439"/>
    </row>
    <row r="49" spans="1:29" s="116" customFormat="1" ht="15">
      <c r="A49" s="508"/>
      <c r="B49" s="509"/>
      <c r="C49" s="1566">
        <v>100</v>
      </c>
      <c r="D49" s="511"/>
      <c r="E49" s="511"/>
      <c r="F49" s="511"/>
      <c r="G49" s="511"/>
      <c r="H49" s="511"/>
      <c r="I49" s="511"/>
      <c r="J49" s="511"/>
      <c r="K49" s="511"/>
      <c r="L49" s="511"/>
      <c r="M49" s="512"/>
      <c r="N49" s="511"/>
      <c r="O49" s="512"/>
      <c r="P49" s="1428"/>
      <c r="Q49" s="1427"/>
      <c r="R49" s="1427"/>
      <c r="S49" s="1427"/>
      <c r="T49" s="1427"/>
      <c r="U49" s="1427"/>
      <c r="V49" s="1427"/>
      <c r="W49" s="1427"/>
      <c r="X49" s="1427"/>
      <c r="Y49" s="1427"/>
      <c r="Z49" s="1427"/>
      <c r="AA49" s="1427"/>
      <c r="AB49" s="1427"/>
      <c r="AC49" s="1427"/>
    </row>
    <row r="50" spans="1:29" s="116" customFormat="1" ht="15.75" thickBot="1">
      <c r="A50" s="514" t="s">
        <v>2590</v>
      </c>
      <c r="B50" s="515"/>
      <c r="C50" s="516"/>
      <c r="D50" s="517"/>
      <c r="E50" s="517"/>
      <c r="F50" s="517"/>
      <c r="G50" s="517"/>
      <c r="H50" s="517"/>
      <c r="I50" s="517"/>
      <c r="J50" s="517"/>
      <c r="K50" s="517"/>
      <c r="L50" s="517"/>
      <c r="M50" s="518"/>
      <c r="N50" s="517"/>
      <c r="O50" s="518"/>
      <c r="P50" s="1428"/>
      <c r="Q50" s="1423"/>
      <c r="R50" s="1427"/>
      <c r="S50" s="1427"/>
      <c r="T50" s="1427"/>
      <c r="U50" s="1427"/>
      <c r="V50" s="1427"/>
      <c r="W50" s="1427"/>
      <c r="X50" s="1427"/>
      <c r="Y50" s="1427"/>
      <c r="Z50" s="1427"/>
      <c r="AA50" s="1427"/>
      <c r="AB50" s="1427"/>
      <c r="AC50" s="1427"/>
    </row>
    <row r="51" spans="1:29" s="116" customFormat="1" ht="15">
      <c r="A51" s="520" t="s">
        <v>2555</v>
      </c>
      <c r="B51" s="509"/>
      <c r="C51" s="521" t="s">
        <v>2657</v>
      </c>
      <c r="D51" s="522"/>
      <c r="E51" s="522"/>
      <c r="F51" s="522"/>
      <c r="G51" s="522"/>
      <c r="H51" s="522"/>
      <c r="I51" s="522"/>
      <c r="J51" s="522"/>
      <c r="K51" s="522"/>
      <c r="L51" s="523"/>
      <c r="M51" s="524"/>
      <c r="N51" s="1152"/>
      <c r="O51" s="1152"/>
      <c r="P51" s="1426"/>
      <c r="Q51" s="1423"/>
      <c r="R51" s="1427"/>
      <c r="S51" s="1427"/>
      <c r="T51" s="1427"/>
      <c r="U51" s="1427"/>
      <c r="V51" s="1427"/>
      <c r="W51" s="1427"/>
      <c r="X51" s="1427"/>
      <c r="Y51" s="1427"/>
      <c r="Z51" s="1427"/>
      <c r="AA51" s="1427"/>
      <c r="AB51" s="1427"/>
      <c r="AC51" s="1427"/>
    </row>
    <row r="52" spans="1:29" s="116" customFormat="1" ht="15.75" thickBot="1">
      <c r="A52" s="520"/>
      <c r="B52" s="509"/>
      <c r="C52" s="638">
        <v>100</v>
      </c>
      <c r="D52" s="511"/>
      <c r="E52" s="511"/>
      <c r="F52" s="511"/>
      <c r="G52" s="511"/>
      <c r="H52" s="511"/>
      <c r="I52" s="511"/>
      <c r="J52" s="511"/>
      <c r="K52" s="511"/>
      <c r="L52" s="511"/>
      <c r="M52" s="513"/>
      <c r="N52" s="1152"/>
      <c r="O52" s="1152"/>
      <c r="P52" s="1428"/>
      <c r="Q52" s="1423"/>
      <c r="R52" s="1427"/>
      <c r="S52" s="1427"/>
      <c r="T52" s="1427"/>
      <c r="U52" s="1427"/>
      <c r="V52" s="1427"/>
      <c r="W52" s="1427"/>
      <c r="X52" s="1427"/>
      <c r="Y52" s="1427"/>
      <c r="Z52" s="1427"/>
      <c r="AA52" s="1427"/>
      <c r="AB52" s="1427"/>
      <c r="AC52" s="1427"/>
    </row>
    <row r="53" spans="1:29">
      <c r="A53" s="526" t="s">
        <v>2593</v>
      </c>
      <c r="B53" s="527" t="s">
        <v>2559</v>
      </c>
      <c r="C53" s="528">
        <f>C9</f>
        <v>0</v>
      </c>
      <c r="D53" s="529"/>
      <c r="E53" s="529"/>
      <c r="F53" s="529"/>
      <c r="G53" s="529"/>
      <c r="H53" s="529"/>
      <c r="I53" s="529"/>
      <c r="J53" s="529"/>
      <c r="K53" s="530"/>
      <c r="L53" s="531"/>
      <c r="M53" s="532"/>
      <c r="N53" s="1153"/>
      <c r="O53" s="1153"/>
      <c r="P53" s="1429"/>
      <c r="Q53" s="1423"/>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29"/>
      <c r="Q54" s="1423"/>
      <c r="R54" s="1145"/>
      <c r="S54" s="1145"/>
      <c r="T54" s="1145"/>
      <c r="U54" s="1145"/>
      <c r="V54" s="1145"/>
      <c r="W54" s="1145"/>
      <c r="X54" s="1145"/>
      <c r="Y54" s="1145"/>
      <c r="Z54" s="1145"/>
      <c r="AA54" s="1145"/>
      <c r="AB54" s="1145"/>
      <c r="AC54" s="1145"/>
    </row>
    <row r="55" spans="1:29" ht="27.75" thickTop="1">
      <c r="A55" s="533"/>
      <c r="B55" s="537" t="s">
        <v>2562</v>
      </c>
      <c r="C55" s="538" t="s">
        <v>2594</v>
      </c>
      <c r="D55" s="538" t="s">
        <v>2595</v>
      </c>
      <c r="E55" s="538" t="s">
        <v>2596</v>
      </c>
      <c r="F55" s="538" t="s">
        <v>2597</v>
      </c>
      <c r="G55" s="538" t="s">
        <v>2598</v>
      </c>
      <c r="H55" s="538" t="s">
        <v>2599</v>
      </c>
      <c r="I55" s="538" t="s">
        <v>2600</v>
      </c>
      <c r="J55" s="538"/>
      <c r="K55" s="539"/>
      <c r="L55" s="540"/>
      <c r="M55" s="541"/>
      <c r="N55" s="1153"/>
      <c r="O55" s="1153"/>
      <c r="P55" s="1429"/>
      <c r="Q55" s="1423"/>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29"/>
      <c r="Q56" s="1423"/>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29"/>
      <c r="Q57" s="1423"/>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29"/>
      <c r="Q58" s="1423"/>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0"/>
      <c r="Q59" s="1431"/>
      <c r="R59" s="1432"/>
      <c r="S59" s="1432"/>
      <c r="T59" s="1432"/>
      <c r="U59" s="1432"/>
      <c r="V59" s="1432"/>
      <c r="W59" s="1432"/>
      <c r="X59" s="1432"/>
      <c r="Y59" s="1432"/>
      <c r="Z59" s="1432"/>
      <c r="AA59" s="1432"/>
      <c r="AB59" s="1432"/>
      <c r="AC59" s="1432"/>
    </row>
    <row r="60" spans="1:29" s="470" customFormat="1" ht="15.75" thickBot="1">
      <c r="A60" s="552"/>
      <c r="B60" s="542"/>
      <c r="C60" s="559"/>
      <c r="D60" s="535"/>
      <c r="E60" s="535"/>
      <c r="F60" s="535"/>
      <c r="G60" s="535"/>
      <c r="H60" s="535"/>
      <c r="I60" s="535"/>
      <c r="J60" s="535"/>
      <c r="K60" s="535"/>
      <c r="L60" s="535"/>
      <c r="M60" s="536"/>
      <c r="N60" s="1154"/>
      <c r="O60" s="1154"/>
      <c r="P60" s="1430"/>
      <c r="Q60" s="1431"/>
      <c r="R60" s="1432"/>
      <c r="S60" s="1432"/>
      <c r="T60" s="1432"/>
      <c r="U60" s="1432"/>
      <c r="V60" s="1432"/>
      <c r="W60" s="1432"/>
      <c r="X60" s="1432"/>
      <c r="Y60" s="1432"/>
      <c r="Z60" s="1432"/>
      <c r="AA60" s="1432"/>
      <c r="AB60" s="1432"/>
      <c r="AC60" s="1432"/>
    </row>
    <row r="61" spans="1:29" s="470" customFormat="1" ht="15.75" thickTop="1">
      <c r="A61" s="552"/>
      <c r="B61" s="537">
        <f>B13</f>
        <v>111</v>
      </c>
      <c r="C61" s="553"/>
      <c r="D61" s="553"/>
      <c r="E61" s="553"/>
      <c r="F61" s="553"/>
      <c r="G61" s="553"/>
      <c r="H61" s="554"/>
      <c r="I61" s="554"/>
      <c r="J61" s="554"/>
      <c r="K61" s="554"/>
      <c r="L61" s="555"/>
      <c r="M61" s="556"/>
      <c r="N61" s="1155"/>
      <c r="O61" s="1155"/>
      <c r="P61" s="1433"/>
      <c r="Q61" s="1434"/>
      <c r="R61" s="1432"/>
      <c r="S61" s="1432"/>
      <c r="T61" s="1432"/>
      <c r="U61" s="1432"/>
      <c r="V61" s="1432"/>
      <c r="W61" s="1432"/>
      <c r="X61" s="1432"/>
      <c r="Y61" s="1432"/>
      <c r="Z61" s="1432"/>
      <c r="AA61" s="1432"/>
      <c r="AB61" s="1432"/>
      <c r="AC61" s="1432"/>
    </row>
    <row r="62" spans="1:29" s="470" customFormat="1" ht="15.75" thickBot="1">
      <c r="A62" s="552"/>
      <c r="B62" s="542"/>
      <c r="C62" s="559"/>
      <c r="D62" s="559"/>
      <c r="E62" s="559"/>
      <c r="F62" s="559"/>
      <c r="G62" s="559"/>
      <c r="H62" s="561"/>
      <c r="I62" s="561"/>
      <c r="J62" s="561"/>
      <c r="K62" s="561"/>
      <c r="L62" s="561"/>
      <c r="M62" s="562"/>
      <c r="N62" s="1155"/>
      <c r="O62" s="1155"/>
      <c r="P62" s="1430"/>
      <c r="Q62" s="1431"/>
      <c r="R62" s="1432"/>
      <c r="S62" s="1432"/>
      <c r="T62" s="1432"/>
      <c r="U62" s="1432"/>
      <c r="V62" s="1432"/>
      <c r="W62" s="1432"/>
      <c r="X62" s="1432"/>
      <c r="Y62" s="1432"/>
      <c r="Z62" s="1432"/>
      <c r="AA62" s="1432"/>
      <c r="AB62" s="1432"/>
      <c r="AC62" s="1432"/>
    </row>
    <row r="63" spans="1:29" ht="15" thickTop="1">
      <c r="A63" s="526" t="s">
        <v>2564</v>
      </c>
      <c r="B63" s="527" t="s">
        <v>2607</v>
      </c>
      <c r="C63" s="572" t="s">
        <v>2602</v>
      </c>
      <c r="D63" s="572" t="s">
        <v>2603</v>
      </c>
      <c r="E63" s="572" t="s">
        <v>2604</v>
      </c>
      <c r="F63" s="572" t="s">
        <v>2605</v>
      </c>
      <c r="G63" s="572" t="s">
        <v>2606</v>
      </c>
      <c r="H63" s="528"/>
      <c r="I63" s="528"/>
      <c r="J63" s="528"/>
      <c r="K63" s="573"/>
      <c r="L63" s="574"/>
      <c r="M63" s="575"/>
      <c r="N63" s="1153"/>
      <c r="O63" s="1153"/>
      <c r="P63" s="1435"/>
      <c r="Q63" s="1423"/>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29"/>
      <c r="Q64" s="1423"/>
      <c r="R64" s="1145"/>
      <c r="S64" s="1145"/>
      <c r="T64" s="1145"/>
      <c r="U64" s="1145"/>
      <c r="V64" s="1145"/>
      <c r="W64" s="1145"/>
      <c r="X64" s="1145"/>
      <c r="Y64" s="1145"/>
      <c r="Z64" s="1145"/>
      <c r="AA64" s="1145"/>
      <c r="AB64" s="1145"/>
      <c r="AC64" s="1145"/>
    </row>
    <row r="65" spans="1:29" ht="15.75" thickTop="1">
      <c r="A65" s="533"/>
      <c r="B65" s="537" t="s">
        <v>2608</v>
      </c>
      <c r="C65" s="577" t="s">
        <v>2602</v>
      </c>
      <c r="D65" s="577" t="s">
        <v>2603</v>
      </c>
      <c r="E65" s="577" t="s">
        <v>2604</v>
      </c>
      <c r="F65" s="577" t="s">
        <v>2605</v>
      </c>
      <c r="G65" s="577" t="s">
        <v>2606</v>
      </c>
      <c r="H65" s="538"/>
      <c r="I65" s="538"/>
      <c r="J65" s="538"/>
      <c r="K65" s="539"/>
      <c r="L65" s="540"/>
      <c r="M65" s="541"/>
      <c r="N65" s="1153"/>
      <c r="O65" s="1153"/>
      <c r="P65" s="1429"/>
      <c r="Q65" s="1423"/>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29"/>
      <c r="Q66" s="1423"/>
      <c r="R66" s="1145"/>
      <c r="S66" s="1145"/>
      <c r="T66" s="1145"/>
      <c r="U66" s="1145"/>
      <c r="V66" s="1145"/>
      <c r="W66" s="1145"/>
      <c r="X66" s="1145"/>
      <c r="Y66" s="1145"/>
      <c r="Z66" s="1145"/>
      <c r="AA66" s="1145"/>
      <c r="AB66" s="1145"/>
      <c r="AC66" s="1145"/>
    </row>
    <row r="67" spans="1:29" ht="15.75" thickTop="1">
      <c r="A67" s="533"/>
      <c r="B67" s="545" t="s">
        <v>2694</v>
      </c>
      <c r="C67" s="659" t="s">
        <v>2680</v>
      </c>
      <c r="D67" s="659" t="s">
        <v>2681</v>
      </c>
      <c r="E67" s="659" t="s">
        <v>2682</v>
      </c>
      <c r="F67" s="659" t="s">
        <v>2683</v>
      </c>
      <c r="G67" s="659" t="s">
        <v>2684</v>
      </c>
      <c r="H67" s="538"/>
      <c r="I67" s="538"/>
      <c r="J67" s="538"/>
      <c r="K67" s="538"/>
      <c r="L67" s="538"/>
      <c r="M67" s="1382"/>
      <c r="N67" s="1154"/>
      <c r="O67" s="1154"/>
      <c r="P67" s="1429"/>
      <c r="Q67" s="1423"/>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29"/>
      <c r="Q68" s="1423"/>
      <c r="R68" s="1145"/>
      <c r="S68" s="1145"/>
      <c r="T68" s="1145"/>
      <c r="U68" s="1145"/>
      <c r="V68" s="1145"/>
      <c r="W68" s="1145"/>
      <c r="X68" s="1145"/>
      <c r="Y68" s="1145"/>
      <c r="Z68" s="1145"/>
      <c r="AA68" s="1145"/>
      <c r="AB68" s="1145"/>
      <c r="AC68" s="1145"/>
    </row>
    <row r="69" spans="1:29" ht="15.75" thickTop="1">
      <c r="A69" s="533"/>
      <c r="B69" s="537" t="s">
        <v>2614</v>
      </c>
      <c r="C69" s="577" t="s">
        <v>2602</v>
      </c>
      <c r="D69" s="577" t="s">
        <v>2603</v>
      </c>
      <c r="E69" s="577" t="s">
        <v>2604</v>
      </c>
      <c r="F69" s="577" t="s">
        <v>2605</v>
      </c>
      <c r="G69" s="577" t="s">
        <v>2606</v>
      </c>
      <c r="H69" s="538"/>
      <c r="I69" s="538"/>
      <c r="J69" s="538"/>
      <c r="K69" s="539"/>
      <c r="L69" s="540"/>
      <c r="M69" s="541"/>
      <c r="N69" s="1153"/>
      <c r="O69" s="1153"/>
      <c r="P69" s="1429"/>
      <c r="Q69" s="1423"/>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29"/>
      <c r="Q70" s="1423"/>
      <c r="R70" s="1145"/>
      <c r="S70" s="1145"/>
      <c r="T70" s="1145"/>
      <c r="U70" s="1145"/>
      <c r="V70" s="1145"/>
      <c r="W70" s="1145"/>
      <c r="X70" s="1145"/>
      <c r="Y70" s="1145"/>
      <c r="Z70" s="1145"/>
      <c r="AA70" s="1145"/>
      <c r="AB70" s="1145"/>
      <c r="AC70" s="1145"/>
    </row>
    <row r="71" spans="1:29" ht="15.75" thickTop="1">
      <c r="A71" s="533"/>
      <c r="B71" s="537" t="s">
        <v>2734</v>
      </c>
      <c r="C71" s="553"/>
      <c r="D71" s="553"/>
      <c r="E71" s="553"/>
      <c r="F71" s="553"/>
      <c r="G71" s="553"/>
      <c r="H71" s="582"/>
      <c r="I71" s="582"/>
      <c r="J71" s="582"/>
      <c r="K71" s="583"/>
      <c r="L71" s="584"/>
      <c r="M71" s="585"/>
      <c r="N71" s="1153"/>
      <c r="O71" s="1153"/>
      <c r="P71" s="1429"/>
      <c r="Q71" s="1423"/>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29"/>
      <c r="Q72" s="1423"/>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29"/>
      <c r="Q73" s="1423"/>
      <c r="R73" s="1427"/>
      <c r="S73" s="1427"/>
      <c r="T73" s="1427"/>
      <c r="U73" s="1427"/>
      <c r="V73" s="1427"/>
      <c r="W73" s="1427"/>
      <c r="X73" s="1427"/>
      <c r="Y73" s="1427"/>
      <c r="Z73" s="1427"/>
      <c r="AA73" s="1427"/>
      <c r="AB73" s="1427"/>
      <c r="AC73" s="1427"/>
    </row>
    <row r="74" spans="1:29" s="116" customFormat="1" ht="15.75" thickBot="1">
      <c r="A74" s="578"/>
      <c r="B74" s="542"/>
      <c r="C74" s="559"/>
      <c r="D74" s="535"/>
      <c r="E74" s="535"/>
      <c r="F74" s="535"/>
      <c r="G74" s="535"/>
      <c r="H74" s="535"/>
      <c r="I74" s="535"/>
      <c r="J74" s="535"/>
      <c r="K74" s="535"/>
      <c r="L74" s="535"/>
      <c r="M74" s="536"/>
      <c r="N74" s="1154"/>
      <c r="O74" s="1154"/>
      <c r="P74" s="1429"/>
      <c r="Q74" s="1423"/>
      <c r="R74" s="1427"/>
      <c r="S74" s="1427"/>
      <c r="T74" s="1427"/>
      <c r="U74" s="1427"/>
      <c r="V74" s="1427"/>
      <c r="W74" s="1427"/>
      <c r="X74" s="1427"/>
      <c r="Y74" s="1427"/>
      <c r="Z74" s="1427"/>
      <c r="AA74" s="1427"/>
      <c r="AB74" s="1427"/>
      <c r="AC74" s="1427"/>
    </row>
    <row r="75" spans="1:29" s="116" customFormat="1" ht="15.75" thickTop="1">
      <c r="A75" s="578"/>
      <c r="B75" s="537">
        <f>B24</f>
        <v>111</v>
      </c>
      <c r="C75" s="548"/>
      <c r="D75" s="548"/>
      <c r="E75" s="548"/>
      <c r="F75" s="548"/>
      <c r="G75" s="553"/>
      <c r="H75" s="553"/>
      <c r="I75" s="553"/>
      <c r="J75" s="553"/>
      <c r="K75" s="553"/>
      <c r="L75" s="553"/>
      <c r="M75" s="580"/>
      <c r="N75" s="1152"/>
      <c r="O75" s="1152"/>
      <c r="P75" s="1429"/>
      <c r="Q75" s="1423"/>
      <c r="R75" s="1427"/>
      <c r="S75" s="1427"/>
      <c r="T75" s="1427"/>
      <c r="U75" s="1427"/>
      <c r="V75" s="1427"/>
      <c r="W75" s="1427"/>
      <c r="X75" s="1427"/>
      <c r="Y75" s="1427"/>
      <c r="Z75" s="1427"/>
      <c r="AA75" s="1427"/>
      <c r="AB75" s="1427"/>
      <c r="AC75" s="1427"/>
    </row>
    <row r="76" spans="1:29" s="116" customFormat="1" ht="15.75" thickBot="1">
      <c r="A76" s="578"/>
      <c r="B76" s="542"/>
      <c r="C76" s="559"/>
      <c r="D76" s="535"/>
      <c r="E76" s="535"/>
      <c r="F76" s="535"/>
      <c r="G76" s="535"/>
      <c r="H76" s="535"/>
      <c r="I76" s="535"/>
      <c r="J76" s="535"/>
      <c r="K76" s="535"/>
      <c r="L76" s="535"/>
      <c r="M76" s="536"/>
      <c r="N76" s="1154"/>
      <c r="O76" s="1154"/>
      <c r="P76" s="1429"/>
      <c r="Q76" s="1423"/>
      <c r="R76" s="1427"/>
      <c r="S76" s="1427"/>
      <c r="T76" s="1427"/>
      <c r="U76" s="1427"/>
      <c r="V76" s="1427"/>
      <c r="W76" s="1427"/>
      <c r="X76" s="1427"/>
      <c r="Y76" s="1427"/>
      <c r="Z76" s="1427"/>
      <c r="AA76" s="1427"/>
      <c r="AB76" s="1427"/>
      <c r="AC76" s="1427"/>
    </row>
    <row r="77" spans="1:29" s="470" customFormat="1" ht="15.75" thickTop="1">
      <c r="A77" s="552"/>
      <c r="B77" s="537">
        <f>B25</f>
        <v>111</v>
      </c>
      <c r="C77" s="553"/>
      <c r="D77" s="553"/>
      <c r="E77" s="553"/>
      <c r="F77" s="553"/>
      <c r="G77" s="553"/>
      <c r="H77" s="554"/>
      <c r="I77" s="554"/>
      <c r="J77" s="554"/>
      <c r="K77" s="554"/>
      <c r="L77" s="555"/>
      <c r="M77" s="556"/>
      <c r="N77" s="1155"/>
      <c r="O77" s="1155"/>
      <c r="P77" s="1430"/>
      <c r="Q77" s="1431"/>
      <c r="R77" s="1432"/>
      <c r="S77" s="1432"/>
      <c r="T77" s="1432"/>
      <c r="U77" s="1432"/>
      <c r="V77" s="1432"/>
      <c r="W77" s="1432"/>
      <c r="X77" s="1432"/>
      <c r="Y77" s="1432"/>
      <c r="Z77" s="1432"/>
      <c r="AA77" s="1432"/>
      <c r="AB77" s="1432"/>
      <c r="AC77" s="1432"/>
    </row>
    <row r="78" spans="1:29" s="470" customFormat="1" ht="15.75" thickBot="1">
      <c r="A78" s="552"/>
      <c r="B78" s="542"/>
      <c r="C78" s="559"/>
      <c r="D78" s="559"/>
      <c r="E78" s="559"/>
      <c r="F78" s="559"/>
      <c r="G78" s="535"/>
      <c r="H78" s="535"/>
      <c r="I78" s="535"/>
      <c r="J78" s="535"/>
      <c r="K78" s="535"/>
      <c r="L78" s="535"/>
      <c r="M78" s="536"/>
      <c r="N78" s="1155"/>
      <c r="O78" s="1155"/>
      <c r="P78" s="1430"/>
      <c r="Q78" s="1431"/>
      <c r="R78" s="1432"/>
      <c r="S78" s="1432"/>
      <c r="T78" s="1432"/>
      <c r="U78" s="1432"/>
      <c r="V78" s="1432"/>
      <c r="W78" s="1432"/>
      <c r="X78" s="1432"/>
      <c r="Y78" s="1432"/>
      <c r="Z78" s="1432"/>
      <c r="AA78" s="1432"/>
      <c r="AB78" s="1432"/>
      <c r="AC78" s="1432"/>
    </row>
    <row r="79" spans="1:29" ht="27.75" thickTop="1">
      <c r="A79" s="526" t="s">
        <v>2568</v>
      </c>
      <c r="B79" s="527" t="s">
        <v>2735</v>
      </c>
      <c r="C79" s="528">
        <f>C26</f>
        <v>0</v>
      </c>
      <c r="D79" s="529"/>
      <c r="E79" s="529"/>
      <c r="F79" s="529"/>
      <c r="G79" s="529"/>
      <c r="H79" s="529"/>
      <c r="I79" s="529"/>
      <c r="J79" s="529"/>
      <c r="K79" s="530"/>
      <c r="L79" s="531"/>
      <c r="M79" s="532"/>
      <c r="N79" s="1153"/>
      <c r="O79" s="1153"/>
      <c r="P79" s="1429"/>
      <c r="Q79" s="1423"/>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3"/>
      <c r="B81" s="537" t="s">
        <v>2736</v>
      </c>
      <c r="C81" s="660"/>
      <c r="D81" s="660"/>
      <c r="E81" s="660"/>
      <c r="F81" s="660"/>
      <c r="G81" s="660"/>
      <c r="H81" s="660"/>
      <c r="I81" s="660"/>
      <c r="J81" s="660"/>
      <c r="K81" s="661"/>
      <c r="L81" s="662"/>
      <c r="M81" s="663"/>
      <c r="N81" s="1152"/>
      <c r="O81" s="1152"/>
      <c r="P81" s="1429"/>
      <c r="Q81" s="1423"/>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0"/>
      <c r="Q82" s="1431"/>
      <c r="R82" s="1432"/>
      <c r="S82" s="1432"/>
      <c r="T82" s="1432"/>
      <c r="U82" s="1432"/>
      <c r="V82" s="1432"/>
      <c r="W82" s="1432"/>
      <c r="X82" s="1432"/>
      <c r="Y82" s="1432"/>
      <c r="Z82" s="1432"/>
      <c r="AA82" s="1432"/>
      <c r="AB82" s="1432"/>
      <c r="AC82" s="1432"/>
    </row>
    <row r="83" spans="1:29" ht="15" thickTop="1">
      <c r="A83" s="598"/>
      <c r="B83" s="537" t="s">
        <v>2621</v>
      </c>
      <c r="C83" s="553"/>
      <c r="D83" s="553"/>
      <c r="E83" s="582"/>
      <c r="F83" s="582"/>
      <c r="G83" s="582"/>
      <c r="H83" s="582"/>
      <c r="I83" s="582"/>
      <c r="J83" s="582"/>
      <c r="K83" s="583"/>
      <c r="L83" s="584"/>
      <c r="M83" s="585"/>
      <c r="N83" s="1153"/>
      <c r="O83" s="1153"/>
      <c r="P83" s="1429"/>
      <c r="Q83" s="1423"/>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8"/>
      <c r="B85" s="537" t="s">
        <v>2737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29"/>
      <c r="Q85" s="1423"/>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29"/>
      <c r="Q86" s="1423"/>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8"/>
      <c r="B88" s="545" t="s">
        <v>2738</v>
      </c>
      <c r="C88" s="529"/>
      <c r="D88" s="529"/>
      <c r="E88" s="529"/>
      <c r="F88" s="529"/>
      <c r="G88" s="529"/>
      <c r="H88" s="529"/>
      <c r="I88" s="529"/>
      <c r="J88" s="529"/>
      <c r="K88" s="530"/>
      <c r="L88" s="531"/>
      <c r="M88" s="532"/>
      <c r="N88" s="1153"/>
      <c r="O88" s="1153"/>
      <c r="P88" s="1429"/>
      <c r="Q88" s="1423"/>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29"/>
      <c r="Q89" s="1423"/>
      <c r="R89" s="1145"/>
      <c r="S89" s="1145"/>
      <c r="T89" s="1145"/>
      <c r="U89" s="1145"/>
      <c r="V89" s="1145"/>
      <c r="W89" s="1145"/>
      <c r="X89" s="1145"/>
      <c r="Y89" s="1145"/>
      <c r="Z89" s="1145"/>
      <c r="AA89" s="1145"/>
      <c r="AB89" s="1145"/>
      <c r="AC89" s="1145"/>
    </row>
    <row r="90" spans="1:29" s="470" customFormat="1" ht="15" thickTop="1">
      <c r="A90" s="592"/>
      <c r="B90" s="537" t="s">
        <v>2739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0"/>
      <c r="Q90" s="1431"/>
      <c r="R90" s="1432"/>
      <c r="S90" s="1432"/>
      <c r="T90" s="1432"/>
      <c r="U90" s="1432"/>
      <c r="V90" s="1432"/>
      <c r="W90" s="1432"/>
      <c r="X90" s="1432"/>
      <c r="Y90" s="1432"/>
      <c r="Z90" s="1432"/>
      <c r="AA90" s="1432"/>
      <c r="AB90" s="1432"/>
      <c r="AC90" s="1432"/>
    </row>
    <row r="91" spans="1:29" s="470" customFormat="1">
      <c r="A91" s="592"/>
      <c r="B91" s="545"/>
      <c r="C91" s="594"/>
      <c r="D91" s="594"/>
      <c r="E91" s="594"/>
      <c r="F91" s="594"/>
      <c r="G91" s="594"/>
      <c r="H91" s="594"/>
      <c r="I91" s="594"/>
      <c r="J91" s="595"/>
      <c r="K91" s="595"/>
      <c r="L91" s="596"/>
      <c r="M91" s="597"/>
      <c r="N91" s="1155"/>
      <c r="O91" s="1155"/>
      <c r="P91" s="1430"/>
      <c r="Q91" s="1431"/>
      <c r="R91" s="1432"/>
      <c r="S91" s="1432"/>
      <c r="T91" s="1432"/>
      <c r="U91" s="1432"/>
      <c r="V91" s="1432"/>
      <c r="W91" s="1432"/>
      <c r="X91" s="1432"/>
      <c r="Y91" s="1432"/>
      <c r="Z91" s="1432"/>
      <c r="AA91" s="1432"/>
      <c r="AB91" s="1432"/>
      <c r="AC91" s="1432"/>
    </row>
    <row r="92" spans="1:29" s="470" customFormat="1" ht="15.75" thickBot="1">
      <c r="A92" s="552"/>
      <c r="B92" s="542"/>
      <c r="C92" s="559"/>
      <c r="D92" s="535"/>
      <c r="E92" s="535"/>
      <c r="F92" s="535"/>
      <c r="G92" s="535"/>
      <c r="H92" s="535"/>
      <c r="I92" s="535"/>
      <c r="J92" s="535"/>
      <c r="K92" s="535"/>
      <c r="L92" s="535"/>
      <c r="M92" s="536"/>
      <c r="N92" s="1155"/>
      <c r="O92" s="1155"/>
      <c r="P92" s="1430"/>
      <c r="Q92" s="1431"/>
      <c r="R92" s="1432"/>
      <c r="S92" s="1432"/>
      <c r="T92" s="1432"/>
      <c r="U92" s="1432"/>
      <c r="V92" s="1432"/>
      <c r="W92" s="1432"/>
      <c r="X92" s="1432"/>
      <c r="Y92" s="1432"/>
      <c r="Z92" s="1432"/>
      <c r="AA92" s="1432"/>
      <c r="AB92" s="1432"/>
      <c r="AC92" s="1432"/>
    </row>
    <row r="93" spans="1:29" ht="15" thickTop="1">
      <c r="A93" s="598"/>
      <c r="B93" s="537" t="s">
        <v>2740</v>
      </c>
      <c r="C93" s="553"/>
      <c r="D93" s="553"/>
      <c r="E93" s="582"/>
      <c r="F93" s="582"/>
      <c r="G93" s="582"/>
      <c r="H93" s="582"/>
      <c r="I93" s="582"/>
      <c r="J93" s="582"/>
      <c r="K93" s="583"/>
      <c r="L93" s="584"/>
      <c r="M93" s="585"/>
      <c r="N93" s="1153"/>
      <c r="O93" s="1153"/>
      <c r="P93" s="1429"/>
      <c r="Q93" s="1423"/>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8"/>
      <c r="B95" s="537" t="s">
        <v>2741</v>
      </c>
      <c r="C95" s="529"/>
      <c r="D95" s="529"/>
      <c r="E95" s="529"/>
      <c r="F95" s="529"/>
      <c r="G95" s="529"/>
      <c r="H95" s="529"/>
      <c r="I95" s="529"/>
      <c r="J95" s="529"/>
      <c r="K95" s="530"/>
      <c r="L95" s="531"/>
      <c r="M95" s="532"/>
      <c r="N95" s="1153"/>
      <c r="O95" s="1153"/>
      <c r="P95" s="1429"/>
      <c r="Q95" s="1423"/>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29"/>
      <c r="Q96" s="1423"/>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6"/>
      <c r="Q97" s="1437"/>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29"/>
      <c r="Q98" s="1423"/>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0"/>
      <c r="Q99" s="1431"/>
      <c r="R99" s="1432"/>
      <c r="S99" s="1432"/>
      <c r="T99" s="1432"/>
      <c r="U99" s="1432"/>
      <c r="V99" s="1432"/>
      <c r="W99" s="1432"/>
      <c r="X99" s="1432"/>
      <c r="Y99" s="1432"/>
      <c r="Z99" s="1432"/>
      <c r="AA99" s="1432"/>
      <c r="AB99" s="1432"/>
      <c r="AC99" s="1432"/>
    </row>
    <row r="100" spans="1:29" s="470" customFormat="1" ht="15.75" thickBot="1">
      <c r="A100" s="552"/>
      <c r="B100" s="534"/>
      <c r="C100" s="559"/>
      <c r="D100" s="535"/>
      <c r="E100" s="535"/>
      <c r="F100" s="535"/>
      <c r="G100" s="559"/>
      <c r="H100" s="561"/>
      <c r="I100" s="561"/>
      <c r="J100" s="561"/>
      <c r="K100" s="561"/>
      <c r="L100" s="561"/>
      <c r="M100" s="562"/>
      <c r="N100" s="1155"/>
      <c r="O100" s="1155"/>
      <c r="P100" s="1430"/>
      <c r="Q100" s="1431"/>
      <c r="R100" s="1432"/>
      <c r="S100" s="1432"/>
      <c r="T100" s="1432"/>
      <c r="U100" s="1432"/>
      <c r="V100" s="1432"/>
      <c r="W100" s="1432"/>
      <c r="X100" s="1432"/>
      <c r="Y100" s="1432"/>
      <c r="Z100" s="1432"/>
      <c r="AA100" s="1432"/>
      <c r="AB100" s="1432"/>
      <c r="AC100" s="1432"/>
    </row>
    <row r="101" spans="1:29" ht="15" thickTop="1">
      <c r="A101" s="598"/>
      <c r="B101" s="537">
        <f>B36</f>
        <v>111</v>
      </c>
      <c r="C101" s="553"/>
      <c r="D101" s="553"/>
      <c r="E101" s="553"/>
      <c r="F101" s="553"/>
      <c r="G101" s="553"/>
      <c r="H101" s="554"/>
      <c r="I101" s="554"/>
      <c r="J101" s="554"/>
      <c r="K101" s="554"/>
      <c r="L101" s="555"/>
      <c r="M101" s="556"/>
      <c r="N101" s="1153"/>
      <c r="O101" s="1153"/>
      <c r="P101" s="1429"/>
      <c r="Q101" s="1423"/>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2712</v>
      </c>
      <c r="B1" s="1619"/>
      <c r="C1" s="1620" t="s">
        <v>2535</v>
      </c>
      <c r="D1" s="1621"/>
      <c r="E1" s="1630"/>
      <c r="F1" s="2583"/>
      <c r="G1" s="1631" t="s">
        <v>2648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2332</v>
      </c>
      <c r="B2" s="1418" t="e">
        <f ca="1">IF(C2="——",ROUND(C37*D3/10000,0),ROUND(C37*D3/10000,0)-D2)</f>
        <v>#DIV/0!</v>
      </c>
      <c r="C2" s="2585"/>
      <c r="D2" s="1125" t="e">
        <f ca="1">SUMIF(INDIRECT("'"&amp;F2&amp;"'"&amp;"!A:A"),"承租人权益价值",INDIRECT("'"&amp;F2&amp;"'"&amp;"!c:c"))</f>
        <v>#REF!</v>
      </c>
      <c r="E2" s="2586" t="s">
        <v>2333</v>
      </c>
      <c r="F2" s="258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2334</v>
      </c>
      <c r="B3" s="608" t="e">
        <f ca="1">IF(C2="——",C37,ROUND(B2*10000/D3,0))</f>
        <v>#DIV/0!</v>
      </c>
      <c r="C3" s="399" t="s">
        <v>2649</v>
      </c>
      <c r="D3" s="398">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2650</v>
      </c>
      <c r="B4" s="401"/>
      <c r="C4" s="3205" t="s">
        <v>2651</v>
      </c>
      <c r="D4" s="3206"/>
      <c r="E4" s="3207" t="s">
        <v>2652</v>
      </c>
      <c r="F4" s="3208"/>
      <c r="G4" s="3205" t="s">
        <v>2653</v>
      </c>
      <c r="H4" s="3206"/>
      <c r="I4" s="3205" t="s">
        <v>2654</v>
      </c>
      <c r="J4" s="3206"/>
      <c r="K4" s="609" t="s">
        <v>2655</v>
      </c>
      <c r="L4" s="1131"/>
      <c r="M4" s="1132"/>
      <c r="N4" s="1132"/>
      <c r="O4" s="1132"/>
      <c r="P4" s="3209" t="s">
        <v>2656</v>
      </c>
      <c r="Q4" s="3210"/>
      <c r="R4" s="3192" t="s">
        <v>2652</v>
      </c>
      <c r="S4" s="3193"/>
      <c r="T4" s="3192" t="s">
        <v>2653</v>
      </c>
      <c r="U4" s="3193"/>
      <c r="V4" s="3217" t="s">
        <v>2654</v>
      </c>
      <c r="W4" s="3217"/>
      <c r="X4" s="1813"/>
      <c r="Y4" s="3192" t="s">
        <v>2656</v>
      </c>
      <c r="Z4" s="3193"/>
      <c r="AA4" s="3187" t="s">
        <v>2652</v>
      </c>
      <c r="AB4" s="3188" t="s">
        <v>2653</v>
      </c>
      <c r="AC4" s="3187" t="s">
        <v>2654</v>
      </c>
    </row>
    <row r="5" spans="1:29" ht="15">
      <c r="A5" s="403"/>
      <c r="B5" s="404"/>
      <c r="C5" s="3198" t="s">
        <v>2547</v>
      </c>
      <c r="D5" s="3199"/>
      <c r="E5" s="3196" t="s">
        <v>2548</v>
      </c>
      <c r="F5" s="3197"/>
      <c r="G5" s="3198" t="s">
        <v>2549</v>
      </c>
      <c r="H5" s="3199"/>
      <c r="I5" s="3198" t="s">
        <v>2550</v>
      </c>
      <c r="J5" s="3199"/>
      <c r="K5" s="609"/>
      <c r="L5" s="1131"/>
      <c r="M5" s="1132"/>
      <c r="N5" s="1132"/>
      <c r="O5" s="1132"/>
      <c r="P5" s="3211"/>
      <c r="Q5" s="3212"/>
      <c r="R5" s="3194"/>
      <c r="S5" s="3195"/>
      <c r="T5" s="3194"/>
      <c r="U5" s="3195"/>
      <c r="V5" s="3217"/>
      <c r="W5" s="3217"/>
      <c r="X5" s="1813"/>
      <c r="Y5" s="3194"/>
      <c r="Z5" s="3195"/>
      <c r="AA5" s="3188"/>
      <c r="AB5" s="3188"/>
      <c r="AC5" s="3188"/>
    </row>
    <row r="6" spans="1:29" ht="15.75" thickBot="1">
      <c r="A6" s="405"/>
      <c r="B6" s="406"/>
      <c r="C6" s="3200" t="s">
        <v>2551</v>
      </c>
      <c r="D6" s="3201"/>
      <c r="E6" s="3202" t="s">
        <v>2551</v>
      </c>
      <c r="F6" s="3203"/>
      <c r="G6" s="3200" t="s">
        <v>2551</v>
      </c>
      <c r="H6" s="3201"/>
      <c r="I6" s="3200" t="s">
        <v>2551</v>
      </c>
      <c r="J6" s="3201"/>
      <c r="K6" s="609" t="s">
        <v>2552</v>
      </c>
      <c r="L6" s="1131"/>
      <c r="M6" s="1132"/>
      <c r="N6" s="1132"/>
      <c r="O6" s="1132"/>
      <c r="P6" s="3213"/>
      <c r="Q6" s="3214"/>
      <c r="R6" s="3194"/>
      <c r="S6" s="3195"/>
      <c r="T6" s="3215"/>
      <c r="U6" s="3216"/>
      <c r="V6" s="3217"/>
      <c r="W6" s="3217"/>
      <c r="X6" s="1813"/>
      <c r="Y6" s="3215"/>
      <c r="Z6" s="3216"/>
      <c r="AA6" s="3189"/>
      <c r="AB6" s="3189"/>
      <c r="AC6" s="3189"/>
    </row>
    <row r="7" spans="1:29" s="116" customFormat="1" ht="15.75" thickBot="1">
      <c r="A7" s="407" t="s">
        <v>2553</v>
      </c>
      <c r="B7" s="408"/>
      <c r="C7" s="409">
        <f>'数据-取费表'!B2</f>
        <v>43432</v>
      </c>
      <c r="D7" s="410">
        <v>100</v>
      </c>
      <c r="E7" s="411"/>
      <c r="F7" s="412">
        <f>SUMIF(46:46,YEAR(E7)&amp;"-"&amp;MONTH(E7),47:47)</f>
        <v>0</v>
      </c>
      <c r="G7" s="2694"/>
      <c r="H7" s="410">
        <f>SUMIF(46:46,YEAR(G7)&amp;"-"&amp;MONTH(G7),47:47)</f>
        <v>0</v>
      </c>
      <c r="I7" s="411"/>
      <c r="J7" s="410">
        <f>SUMIF(46:46,YEAR(I7)&amp;"-"&amp;MONTH(I7),47:47)</f>
        <v>0</v>
      </c>
      <c r="K7" s="610"/>
      <c r="L7" s="1133"/>
      <c r="M7" s="1134"/>
      <c r="N7" s="1134"/>
      <c r="O7" s="1134"/>
      <c r="P7" s="3190" t="s">
        <v>2554</v>
      </c>
      <c r="Q7" s="3218"/>
      <c r="R7" s="768" t="s">
        <v>17</v>
      </c>
      <c r="S7" s="769">
        <f t="shared" ref="S7:S14" si="0">F7</f>
        <v>0</v>
      </c>
      <c r="T7" s="768" t="s">
        <v>17</v>
      </c>
      <c r="U7" s="769">
        <f t="shared" ref="U7:U14" si="1">H7</f>
        <v>0</v>
      </c>
      <c r="V7" s="768" t="s">
        <v>17</v>
      </c>
      <c r="W7" s="769">
        <f t="shared" ref="W7:W14" si="2">J7</f>
        <v>0</v>
      </c>
      <c r="X7" s="770"/>
      <c r="Y7" s="3190" t="s">
        <v>2554</v>
      </c>
      <c r="Z7" s="3191"/>
      <c r="AA7" s="771" t="e">
        <f>D7/F7</f>
        <v>#DIV/0!</v>
      </c>
      <c r="AB7" s="771" t="e">
        <f>D7/H7</f>
        <v>#DIV/0!</v>
      </c>
      <c r="AC7" s="771" t="e">
        <f>D7/J7</f>
        <v>#DIV/0!</v>
      </c>
    </row>
    <row r="8" spans="1:29" s="116" customFormat="1" ht="15.75" thickBot="1">
      <c r="A8" s="407" t="s">
        <v>2555</v>
      </c>
      <c r="B8" s="408"/>
      <c r="C8" s="413" t="s">
        <v>2657</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190" t="s">
        <v>2557</v>
      </c>
      <c r="Q8" s="3191"/>
      <c r="R8" s="768" t="s">
        <v>17</v>
      </c>
      <c r="S8" s="769">
        <f t="shared" si="0"/>
        <v>0</v>
      </c>
      <c r="T8" s="768" t="s">
        <v>17</v>
      </c>
      <c r="U8" s="769">
        <f t="shared" si="1"/>
        <v>0</v>
      </c>
      <c r="V8" s="768" t="s">
        <v>17</v>
      </c>
      <c r="W8" s="769">
        <f t="shared" si="2"/>
        <v>0</v>
      </c>
      <c r="X8" s="770"/>
      <c r="Y8" s="3190" t="s">
        <v>2557</v>
      </c>
      <c r="Z8" s="3191"/>
      <c r="AA8" s="771" t="e">
        <f t="shared" ref="AA8:AA34" si="3">D8/F8</f>
        <v>#DIV/0!</v>
      </c>
      <c r="AB8" s="771" t="e">
        <f t="shared" ref="AB8:AB34" si="4">D8/H8</f>
        <v>#DIV/0!</v>
      </c>
      <c r="AC8" s="771" t="e">
        <f t="shared" ref="AC8:AC34" si="5">D8/J8</f>
        <v>#DIV/0!</v>
      </c>
    </row>
    <row r="9" spans="1:29" s="116" customFormat="1">
      <c r="A9" s="414" t="s">
        <v>2558</v>
      </c>
      <c r="B9" s="70" t="s">
        <v>2559</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222" t="s">
        <v>2560</v>
      </c>
      <c r="Q9" s="1795" t="str">
        <f t="shared" ref="Q9:Q14" si="6">B9</f>
        <v>用途</v>
      </c>
      <c r="R9" s="768" t="s">
        <v>17</v>
      </c>
      <c r="S9" s="769">
        <f t="shared" si="0"/>
        <v>100</v>
      </c>
      <c r="T9" s="768" t="s">
        <v>17</v>
      </c>
      <c r="U9" s="769">
        <f t="shared" si="1"/>
        <v>100</v>
      </c>
      <c r="V9" s="768" t="s">
        <v>17</v>
      </c>
      <c r="W9" s="769">
        <f t="shared" si="2"/>
        <v>100</v>
      </c>
      <c r="X9" s="770"/>
      <c r="Y9" s="3037" t="s">
        <v>2561</v>
      </c>
      <c r="Z9" s="54" t="str">
        <f t="shared" ref="Z9:Z14" si="7">Q9</f>
        <v>用途</v>
      </c>
      <c r="AA9" s="771">
        <f t="shared" si="3"/>
        <v>1</v>
      </c>
      <c r="AB9" s="771">
        <f t="shared" si="4"/>
        <v>1</v>
      </c>
      <c r="AC9" s="771">
        <f t="shared" si="5"/>
        <v>1</v>
      </c>
    </row>
    <row r="10" spans="1:29" s="426" customFormat="1" ht="27">
      <c r="A10" s="420"/>
      <c r="B10" s="421" t="s">
        <v>2562</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222"/>
      <c r="Q10" s="1795" t="str">
        <f t="shared" si="6"/>
        <v>土地使用年限（年）</v>
      </c>
      <c r="R10" s="768" t="s">
        <v>17</v>
      </c>
      <c r="S10" s="769">
        <f t="shared" si="0"/>
        <v>100</v>
      </c>
      <c r="T10" s="768" t="s">
        <v>17</v>
      </c>
      <c r="U10" s="769">
        <f t="shared" si="1"/>
        <v>100</v>
      </c>
      <c r="V10" s="768" t="s">
        <v>17</v>
      </c>
      <c r="W10" s="769">
        <f t="shared" si="2"/>
        <v>100</v>
      </c>
      <c r="X10" s="770"/>
      <c r="Y10" s="3037"/>
      <c r="Z10" s="54" t="str">
        <f t="shared" si="7"/>
        <v>土地使用年限（年）</v>
      </c>
      <c r="AA10" s="771">
        <f t="shared" si="3"/>
        <v>1</v>
      </c>
      <c r="AB10" s="771">
        <f t="shared" si="4"/>
        <v>1</v>
      </c>
      <c r="AC10" s="771">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222"/>
      <c r="Q11" s="1795">
        <f t="shared" si="6"/>
        <v>111</v>
      </c>
      <c r="R11" s="768" t="s">
        <v>17</v>
      </c>
      <c r="S11" s="769">
        <f t="shared" si="0"/>
        <v>100</v>
      </c>
      <c r="T11" s="768" t="s">
        <v>17</v>
      </c>
      <c r="U11" s="769">
        <f t="shared" si="1"/>
        <v>100</v>
      </c>
      <c r="V11" s="768" t="s">
        <v>17</v>
      </c>
      <c r="W11" s="769">
        <f t="shared" si="2"/>
        <v>100</v>
      </c>
      <c r="X11" s="770"/>
      <c r="Y11" s="3037"/>
      <c r="Z11" s="54">
        <f t="shared" si="7"/>
        <v>111</v>
      </c>
      <c r="AA11" s="771">
        <f t="shared" si="3"/>
        <v>1</v>
      </c>
      <c r="AB11" s="771">
        <f t="shared" si="4"/>
        <v>1</v>
      </c>
      <c r="AC11" s="771">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222"/>
      <c r="Q12" s="1795">
        <f t="shared" si="6"/>
        <v>111</v>
      </c>
      <c r="R12" s="768" t="s">
        <v>17</v>
      </c>
      <c r="S12" s="769">
        <f t="shared" si="0"/>
        <v>100</v>
      </c>
      <c r="T12" s="768" t="s">
        <v>17</v>
      </c>
      <c r="U12" s="769">
        <f t="shared" si="1"/>
        <v>100</v>
      </c>
      <c r="V12" s="768" t="s">
        <v>17</v>
      </c>
      <c r="W12" s="769">
        <f t="shared" si="2"/>
        <v>100</v>
      </c>
      <c r="X12" s="770"/>
      <c r="Y12" s="3037"/>
      <c r="Z12" s="54">
        <f t="shared" si="7"/>
        <v>111</v>
      </c>
      <c r="AA12" s="771">
        <f>D12/F12</f>
        <v>1</v>
      </c>
      <c r="AB12" s="771">
        <f>D12/H12</f>
        <v>1</v>
      </c>
      <c r="AC12" s="771">
        <f>D12/J12</f>
        <v>1</v>
      </c>
    </row>
    <row r="13" spans="1:29" ht="15.75" thickBot="1">
      <c r="A13" s="427"/>
      <c r="B13" s="2599">
        <v>111</v>
      </c>
      <c r="C13" s="433"/>
      <c r="D13" s="434">
        <v>100</v>
      </c>
      <c r="E13" s="468"/>
      <c r="F13" s="424">
        <f>SUMIF(59:59,E13,60:60)-SUMIF(59:59,C13,60:60)+100</f>
        <v>100</v>
      </c>
      <c r="G13" s="2695"/>
      <c r="H13" s="437">
        <f>SUMIF(59:59,G13,60:60)-SUMIF(59:59,C13,60:60)+100</f>
        <v>100</v>
      </c>
      <c r="I13" s="468"/>
      <c r="J13" s="434">
        <f>SUMIF(59:59,I13,60:60)-SUMIF(59:59,C13,60:60)+100</f>
        <v>100</v>
      </c>
      <c r="K13" s="612"/>
      <c r="L13" s="1141"/>
      <c r="M13" s="1132"/>
      <c r="N13" s="1132"/>
      <c r="O13" s="1140"/>
      <c r="P13" s="3222"/>
      <c r="Q13" s="1795">
        <f t="shared" si="6"/>
        <v>111</v>
      </c>
      <c r="R13" s="768" t="s">
        <v>17</v>
      </c>
      <c r="S13" s="769">
        <f t="shared" si="0"/>
        <v>100</v>
      </c>
      <c r="T13" s="768" t="s">
        <v>17</v>
      </c>
      <c r="U13" s="769">
        <f t="shared" si="1"/>
        <v>100</v>
      </c>
      <c r="V13" s="768" t="s">
        <v>17</v>
      </c>
      <c r="W13" s="769">
        <f t="shared" si="2"/>
        <v>100</v>
      </c>
      <c r="X13" s="770"/>
      <c r="Y13" s="3037"/>
      <c r="Z13" s="54">
        <f t="shared" si="7"/>
        <v>111</v>
      </c>
      <c r="AA13" s="771">
        <f t="shared" si="3"/>
        <v>1</v>
      </c>
      <c r="AB13" s="771">
        <f t="shared" si="4"/>
        <v>1</v>
      </c>
      <c r="AC13" s="771">
        <f t="shared" si="5"/>
        <v>1</v>
      </c>
    </row>
    <row r="14" spans="1:29" ht="85.5">
      <c r="A14" s="439" t="s">
        <v>2564</v>
      </c>
      <c r="B14" s="68" t="s">
        <v>2714</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24" t="s">
        <v>2565</v>
      </c>
      <c r="Q14" s="1810" t="str">
        <f t="shared" si="6"/>
        <v>交通便捷度</v>
      </c>
      <c r="R14" s="772" t="s">
        <v>17</v>
      </c>
      <c r="S14" s="773">
        <f t="shared" si="0"/>
        <v>100</v>
      </c>
      <c r="T14" s="772" t="s">
        <v>17</v>
      </c>
      <c r="U14" s="773">
        <f t="shared" si="1"/>
        <v>100</v>
      </c>
      <c r="V14" s="772" t="s">
        <v>17</v>
      </c>
      <c r="W14" s="773">
        <f t="shared" si="2"/>
        <v>100</v>
      </c>
      <c r="X14" s="1813"/>
      <c r="Y14" s="3224" t="s">
        <v>2565</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1"/>
      <c r="M15" s="1132"/>
      <c r="N15" s="1132"/>
      <c r="O15" s="1140"/>
      <c r="P15" s="3225"/>
      <c r="Q15" s="1810"/>
      <c r="R15" s="772"/>
      <c r="S15" s="773"/>
      <c r="T15" s="772"/>
      <c r="U15" s="773"/>
      <c r="V15" s="772"/>
      <c r="W15" s="773"/>
      <c r="X15" s="1813"/>
      <c r="Y15" s="3225"/>
      <c r="Z15" s="1814"/>
      <c r="AA15" s="1811">
        <v>1</v>
      </c>
      <c r="AB15" s="1811">
        <v>1</v>
      </c>
      <c r="AC15" s="1811">
        <v>1</v>
      </c>
    </row>
    <row r="16" spans="1:29" ht="42.75">
      <c r="A16" s="427"/>
      <c r="B16" s="450" t="s">
        <v>2693</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25"/>
      <c r="Q16" s="1810" t="str">
        <f>B16</f>
        <v>公共配套设施</v>
      </c>
      <c r="R16" s="772" t="s">
        <v>17</v>
      </c>
      <c r="S16" s="773">
        <f>F16</f>
        <v>100</v>
      </c>
      <c r="T16" s="772" t="s">
        <v>17</v>
      </c>
      <c r="U16" s="773">
        <f>H16</f>
        <v>100</v>
      </c>
      <c r="V16" s="772" t="s">
        <v>17</v>
      </c>
      <c r="W16" s="773">
        <f>J16</f>
        <v>100</v>
      </c>
      <c r="X16" s="1813"/>
      <c r="Y16" s="3225"/>
      <c r="Z16" s="1814" t="str">
        <f>Q16</f>
        <v>公共配套设施</v>
      </c>
      <c r="AA16" s="1811">
        <f t="shared" si="3"/>
        <v>1</v>
      </c>
      <c r="AB16" s="1811">
        <f t="shared" si="4"/>
        <v>1</v>
      </c>
      <c r="AC16" s="1811">
        <f t="shared" si="5"/>
        <v>1</v>
      </c>
    </row>
    <row r="17" spans="1:29" ht="15">
      <c r="A17" s="427"/>
      <c r="B17" s="455"/>
      <c r="C17" s="2607"/>
      <c r="D17" s="447"/>
      <c r="E17" s="446"/>
      <c r="F17" s="448"/>
      <c r="G17" s="446"/>
      <c r="H17" s="447"/>
      <c r="I17" s="446"/>
      <c r="J17" s="447"/>
      <c r="K17" s="614"/>
      <c r="L17" s="1141"/>
      <c r="M17" s="1132"/>
      <c r="N17" s="1132"/>
      <c r="O17" s="1140"/>
      <c r="P17" s="3225"/>
      <c r="Q17" s="1810"/>
      <c r="R17" s="772"/>
      <c r="S17" s="773"/>
      <c r="T17" s="772"/>
      <c r="U17" s="773"/>
      <c r="V17" s="772"/>
      <c r="W17" s="773"/>
      <c r="X17" s="1813"/>
      <c r="Y17" s="3225"/>
      <c r="Z17" s="1814"/>
      <c r="AA17" s="1811">
        <v>1</v>
      </c>
      <c r="AB17" s="1811">
        <v>1</v>
      </c>
      <c r="AC17" s="1811">
        <v>1</v>
      </c>
    </row>
    <row r="18" spans="1:29" ht="28.5">
      <c r="A18" s="427"/>
      <c r="B18" s="1384" t="s">
        <v>2694</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25"/>
      <c r="Q18" s="1810" t="str">
        <f>B18</f>
        <v>基础设施水平</v>
      </c>
      <c r="R18" s="772" t="s">
        <v>17</v>
      </c>
      <c r="S18" s="773">
        <f>F18</f>
        <v>100</v>
      </c>
      <c r="T18" s="772" t="s">
        <v>17</v>
      </c>
      <c r="U18" s="773">
        <f>H18</f>
        <v>100</v>
      </c>
      <c r="V18" s="772" t="s">
        <v>17</v>
      </c>
      <c r="W18" s="773">
        <f>J18</f>
        <v>100</v>
      </c>
      <c r="X18" s="1813"/>
      <c r="Y18" s="3225"/>
      <c r="Z18" s="1814" t="str">
        <f>Q18</f>
        <v>基础设施水平</v>
      </c>
      <c r="AA18" s="1811">
        <f t="shared" ref="AA18" si="8">D18/F18</f>
        <v>1</v>
      </c>
      <c r="AB18" s="1811">
        <f t="shared" ref="AB18" si="9">D18/H18</f>
        <v>1</v>
      </c>
      <c r="AC18" s="1811">
        <f t="shared" ref="AC18" si="10">D18/J18</f>
        <v>1</v>
      </c>
    </row>
    <row r="19" spans="1:29" ht="15">
      <c r="A19" s="427"/>
      <c r="B19" s="1384"/>
      <c r="C19" s="2607"/>
      <c r="D19" s="449"/>
      <c r="E19" s="2607"/>
      <c r="F19" s="452"/>
      <c r="G19" s="2607"/>
      <c r="H19" s="447"/>
      <c r="I19" s="446"/>
      <c r="J19" s="447"/>
      <c r="K19" s="1383"/>
      <c r="L19" s="1141"/>
      <c r="M19" s="1132"/>
      <c r="N19" s="1132"/>
      <c r="O19" s="1140"/>
      <c r="P19" s="3225"/>
      <c r="Q19" s="1810"/>
      <c r="R19" s="772"/>
      <c r="S19" s="773"/>
      <c r="T19" s="772"/>
      <c r="U19" s="773"/>
      <c r="V19" s="772"/>
      <c r="W19" s="773"/>
      <c r="X19" s="1813"/>
      <c r="Y19" s="3225"/>
      <c r="Z19" s="1814"/>
      <c r="AA19" s="1811">
        <v>1</v>
      </c>
      <c r="AB19" s="1811">
        <v>1</v>
      </c>
      <c r="AC19" s="1811">
        <v>1</v>
      </c>
    </row>
    <row r="20" spans="1:29" ht="57">
      <c r="A20" s="427"/>
      <c r="B20" s="450" t="s">
        <v>2715</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25"/>
      <c r="Q20" s="1810" t="str">
        <f>B20</f>
        <v>自然及人文环境</v>
      </c>
      <c r="R20" s="772" t="s">
        <v>17</v>
      </c>
      <c r="S20" s="773">
        <f>F20</f>
        <v>100</v>
      </c>
      <c r="T20" s="772" t="s">
        <v>17</v>
      </c>
      <c r="U20" s="773">
        <f>H20</f>
        <v>100</v>
      </c>
      <c r="V20" s="772" t="s">
        <v>17</v>
      </c>
      <c r="W20" s="773">
        <f>J20</f>
        <v>100</v>
      </c>
      <c r="X20" s="1813"/>
      <c r="Y20" s="3225"/>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1"/>
      <c r="M21" s="1132"/>
      <c r="N21" s="1132"/>
      <c r="O21" s="1140"/>
      <c r="P21" s="3225"/>
      <c r="Q21" s="1810"/>
      <c r="R21" s="772"/>
      <c r="S21" s="773"/>
      <c r="T21" s="772"/>
      <c r="U21" s="773"/>
      <c r="V21" s="772"/>
      <c r="W21" s="773"/>
      <c r="X21" s="1813"/>
      <c r="Y21" s="3225"/>
      <c r="Z21" s="1814"/>
      <c r="AA21" s="1811">
        <v>1</v>
      </c>
      <c r="AB21" s="1811">
        <v>1</v>
      </c>
      <c r="AC21" s="1811">
        <v>1</v>
      </c>
    </row>
    <row r="22" spans="1:29" ht="15">
      <c r="A22" s="427"/>
      <c r="B22" s="450" t="s">
        <v>2716</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25"/>
      <c r="Q22" s="1810" t="str">
        <f>B22</f>
        <v>楼层</v>
      </c>
      <c r="R22" s="772" t="s">
        <v>17</v>
      </c>
      <c r="S22" s="773">
        <f>F22</f>
        <v>100</v>
      </c>
      <c r="T22" s="772" t="s">
        <v>17</v>
      </c>
      <c r="U22" s="773">
        <f>H22</f>
        <v>100</v>
      </c>
      <c r="V22" s="772" t="s">
        <v>17</v>
      </c>
      <c r="W22" s="773">
        <f>J22</f>
        <v>100</v>
      </c>
      <c r="X22" s="1813"/>
      <c r="Y22" s="3225"/>
      <c r="Z22" s="1814" t="str">
        <f>Q22</f>
        <v>楼层</v>
      </c>
      <c r="AA22" s="1811">
        <f t="shared" si="3"/>
        <v>1</v>
      </c>
      <c r="AB22" s="1811">
        <f t="shared" si="4"/>
        <v>1</v>
      </c>
      <c r="AC22" s="1811">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25"/>
      <c r="Q23" s="1810">
        <f>B23</f>
        <v>111</v>
      </c>
      <c r="R23" s="772" t="s">
        <v>17</v>
      </c>
      <c r="S23" s="773">
        <f>F23</f>
        <v>100</v>
      </c>
      <c r="T23" s="772" t="s">
        <v>17</v>
      </c>
      <c r="U23" s="773">
        <f>H23</f>
        <v>100</v>
      </c>
      <c r="V23" s="772" t="s">
        <v>17</v>
      </c>
      <c r="W23" s="773">
        <f>J23</f>
        <v>100</v>
      </c>
      <c r="X23" s="1813"/>
      <c r="Y23" s="3225"/>
      <c r="Z23" s="1814">
        <f>Q23</f>
        <v>111</v>
      </c>
      <c r="AA23" s="1811">
        <f t="shared" si="3"/>
        <v>1</v>
      </c>
      <c r="AB23" s="1811">
        <f t="shared" si="4"/>
        <v>1</v>
      </c>
      <c r="AC23" s="1811">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25"/>
      <c r="Q24" s="1810">
        <f t="shared" ref="Q24:Q34" si="11">B24</f>
        <v>111</v>
      </c>
      <c r="R24" s="772" t="s">
        <v>17</v>
      </c>
      <c r="S24" s="773">
        <f>F24</f>
        <v>100</v>
      </c>
      <c r="T24" s="772" t="s">
        <v>17</v>
      </c>
      <c r="U24" s="773">
        <f>H24</f>
        <v>100</v>
      </c>
      <c r="V24" s="772" t="s">
        <v>17</v>
      </c>
      <c r="W24" s="773">
        <f>J24</f>
        <v>100</v>
      </c>
      <c r="X24" s="1813"/>
      <c r="Y24" s="3225"/>
      <c r="Z24" s="1814">
        <f>Q24</f>
        <v>111</v>
      </c>
      <c r="AA24" s="1811">
        <f t="shared" si="3"/>
        <v>1</v>
      </c>
      <c r="AB24" s="1811">
        <f t="shared" si="4"/>
        <v>1</v>
      </c>
      <c r="AC24" s="1811">
        <f t="shared" si="5"/>
        <v>1</v>
      </c>
    </row>
    <row r="25" spans="1:29" s="116" customFormat="1" ht="15.75" thickBot="1">
      <c r="A25" s="430"/>
      <c r="B25" s="2599">
        <v>111</v>
      </c>
      <c r="C25" s="2696"/>
      <c r="D25" s="664">
        <v>100</v>
      </c>
      <c r="E25" s="2696"/>
      <c r="F25" s="665">
        <f>SUMIF(75:75,E25,76:76)-SUMIF(75:75,C25,76:76)+100</f>
        <v>100</v>
      </c>
      <c r="G25" s="2696"/>
      <c r="H25" s="664">
        <f>SUMIF(75:75,G25,76:76)-SUMIF(75:75,C25,76:76)+100</f>
        <v>100</v>
      </c>
      <c r="I25" s="2696"/>
      <c r="J25" s="664">
        <f>SUMIF(75:75,I25,76:76)-SUMIF(75:75,C25,76:76)+100</f>
        <v>100</v>
      </c>
      <c r="K25" s="612"/>
      <c r="L25" s="1133"/>
      <c r="M25" s="1134"/>
      <c r="N25" s="1134"/>
      <c r="O25" s="1135"/>
      <c r="P25" s="3225"/>
      <c r="Q25" s="1795">
        <f t="shared" si="11"/>
        <v>111</v>
      </c>
      <c r="R25" s="768" t="s">
        <v>17</v>
      </c>
      <c r="S25" s="769">
        <f>F25</f>
        <v>100</v>
      </c>
      <c r="T25" s="768" t="s">
        <v>17</v>
      </c>
      <c r="U25" s="769">
        <f>H25</f>
        <v>100</v>
      </c>
      <c r="V25" s="768" t="s">
        <v>17</v>
      </c>
      <c r="W25" s="769">
        <f>J25</f>
        <v>100</v>
      </c>
      <c r="X25" s="770"/>
      <c r="Y25" s="3225"/>
      <c r="Z25" s="54">
        <f>Q25</f>
        <v>111</v>
      </c>
      <c r="AA25" s="1811">
        <f>D25/F25</f>
        <v>1</v>
      </c>
      <c r="AB25" s="1811">
        <f>D25/H25</f>
        <v>1</v>
      </c>
      <c r="AC25" s="1811">
        <f>D25/J25</f>
        <v>1</v>
      </c>
    </row>
    <row r="26" spans="1:29" ht="15">
      <c r="A26" s="465" t="s">
        <v>2568</v>
      </c>
      <c r="B26" s="70" t="s">
        <v>2719</v>
      </c>
      <c r="C26" s="2677"/>
      <c r="D26" s="466">
        <v>100</v>
      </c>
      <c r="E26" s="2677"/>
      <c r="F26" s="666">
        <f>SUMIF(77:77,E26,78:78)-SUMIF(77:77,C26,78:78)+100</f>
        <v>100</v>
      </c>
      <c r="G26" s="2677"/>
      <c r="H26" s="466">
        <f>SUMIF(77:77,G26,78:78)-SUMIF(77:77,C26,78:78)+100</f>
        <v>100</v>
      </c>
      <c r="I26" s="2677"/>
      <c r="J26" s="466">
        <f>SUMIF(77:77,I26,78:78)-SUMIF(77:77,C26,78:78)+100</f>
        <v>100</v>
      </c>
      <c r="K26" s="611"/>
      <c r="L26" s="1141"/>
      <c r="M26" s="1132"/>
      <c r="N26" s="1132"/>
      <c r="O26" s="1140"/>
      <c r="P26" s="3250" t="s">
        <v>2570</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229" t="s">
        <v>2570</v>
      </c>
      <c r="Z26" s="1814" t="str">
        <f t="shared" ref="Z26:Z34" si="15">Q26</f>
        <v>公共部分装修</v>
      </c>
      <c r="AA26" s="1811">
        <f t="shared" si="3"/>
        <v>1</v>
      </c>
      <c r="AB26" s="1811">
        <f t="shared" si="4"/>
        <v>1</v>
      </c>
      <c r="AC26" s="1811">
        <f t="shared" si="5"/>
        <v>1</v>
      </c>
    </row>
    <row r="27" spans="1:29" s="470" customFormat="1" ht="15">
      <c r="A27" s="467"/>
      <c r="B27" s="421" t="s">
        <v>2720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29"/>
      <c r="Q27" s="774" t="str">
        <f t="shared" si="11"/>
        <v>成新率</v>
      </c>
      <c r="R27" s="775" t="s">
        <v>17</v>
      </c>
      <c r="S27" s="776" t="e">
        <f t="shared" si="12"/>
        <v>#N/A</v>
      </c>
      <c r="T27" s="775" t="s">
        <v>17</v>
      </c>
      <c r="U27" s="776" t="e">
        <f t="shared" si="13"/>
        <v>#N/A</v>
      </c>
      <c r="V27" s="775" t="s">
        <v>17</v>
      </c>
      <c r="W27" s="776" t="e">
        <f t="shared" si="14"/>
        <v>#N/A</v>
      </c>
      <c r="X27" s="777"/>
      <c r="Y27" s="3229"/>
      <c r="Z27" s="778" t="str">
        <f t="shared" si="15"/>
        <v>成新率</v>
      </c>
      <c r="AA27" s="1811" t="e">
        <f t="shared" si="3"/>
        <v>#N/A</v>
      </c>
      <c r="AB27" s="1811" t="e">
        <f t="shared" si="4"/>
        <v>#N/A</v>
      </c>
      <c r="AC27" s="1811" t="e">
        <f t="shared" si="5"/>
        <v>#N/A</v>
      </c>
    </row>
    <row r="28" spans="1:29" ht="15">
      <c r="A28" s="471"/>
      <c r="B28" s="421" t="s">
        <v>2721</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29"/>
      <c r="Q28" s="1810" t="str">
        <f t="shared" si="11"/>
        <v>物业等级</v>
      </c>
      <c r="R28" s="772" t="s">
        <v>17</v>
      </c>
      <c r="S28" s="773">
        <f t="shared" si="12"/>
        <v>100</v>
      </c>
      <c r="T28" s="772" t="s">
        <v>17</v>
      </c>
      <c r="U28" s="773">
        <f t="shared" si="13"/>
        <v>100</v>
      </c>
      <c r="V28" s="772" t="s">
        <v>17</v>
      </c>
      <c r="W28" s="773">
        <f t="shared" si="14"/>
        <v>100</v>
      </c>
      <c r="X28" s="1813"/>
      <c r="Y28" s="3229"/>
      <c r="Z28" s="1814" t="str">
        <f t="shared" si="15"/>
        <v>物业等级</v>
      </c>
      <c r="AA28" s="1811">
        <f t="shared" si="3"/>
        <v>1</v>
      </c>
      <c r="AB28" s="1811">
        <f t="shared" si="4"/>
        <v>1</v>
      </c>
      <c r="AC28" s="1811">
        <f t="shared" si="5"/>
        <v>1</v>
      </c>
    </row>
    <row r="29" spans="1:29" ht="15">
      <c r="A29" s="471"/>
      <c r="B29" s="421" t="s">
        <v>2742</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229"/>
      <c r="Q29" s="1810" t="str">
        <f t="shared" si="11"/>
        <v>有无电梯</v>
      </c>
      <c r="R29" s="772" t="s">
        <v>17</v>
      </c>
      <c r="S29" s="773">
        <f t="shared" si="12"/>
        <v>100</v>
      </c>
      <c r="T29" s="772" t="s">
        <v>17</v>
      </c>
      <c r="U29" s="773">
        <f t="shared" si="13"/>
        <v>100</v>
      </c>
      <c r="V29" s="772" t="s">
        <v>17</v>
      </c>
      <c r="W29" s="773">
        <f t="shared" si="14"/>
        <v>100</v>
      </c>
      <c r="X29" s="1813"/>
      <c r="Y29" s="3229"/>
      <c r="Z29" s="1814" t="str">
        <f t="shared" si="15"/>
        <v>有无电梯</v>
      </c>
      <c r="AA29" s="1811">
        <f t="shared" si="3"/>
        <v>1</v>
      </c>
      <c r="AB29" s="1811">
        <f t="shared" si="4"/>
        <v>1</v>
      </c>
      <c r="AC29" s="1811">
        <f t="shared" si="5"/>
        <v>1</v>
      </c>
    </row>
    <row r="30" spans="1:29" ht="15">
      <c r="A30" s="471"/>
      <c r="B30" s="421" t="s">
        <v>2743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29"/>
      <c r="Q30" s="1810" t="str">
        <f t="shared" si="11"/>
        <v>建筑面积</v>
      </c>
      <c r="R30" s="772" t="s">
        <v>17</v>
      </c>
      <c r="S30" s="773" t="e">
        <f t="shared" si="12"/>
        <v>#N/A</v>
      </c>
      <c r="T30" s="772" t="s">
        <v>17</v>
      </c>
      <c r="U30" s="773" t="e">
        <f t="shared" si="13"/>
        <v>#N/A</v>
      </c>
      <c r="V30" s="772" t="s">
        <v>17</v>
      </c>
      <c r="W30" s="773" t="e">
        <f t="shared" si="14"/>
        <v>#N/A</v>
      </c>
      <c r="X30" s="1813"/>
      <c r="Y30" s="3229"/>
      <c r="Z30" s="1814" t="str">
        <f t="shared" si="15"/>
        <v>建筑面积</v>
      </c>
      <c r="AA30" s="1811" t="e">
        <f t="shared" si="3"/>
        <v>#N/A</v>
      </c>
      <c r="AB30" s="1811" t="e">
        <f t="shared" si="4"/>
        <v>#N/A</v>
      </c>
      <c r="AC30" s="1811" t="e">
        <f t="shared" si="5"/>
        <v>#N/A</v>
      </c>
    </row>
    <row r="31" spans="1:29" s="116" customFormat="1" ht="15">
      <c r="A31" s="472"/>
      <c r="B31" s="421" t="s">
        <v>2744</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229"/>
      <c r="Q31" s="1795" t="str">
        <f t="shared" si="11"/>
        <v>是否封闭</v>
      </c>
      <c r="R31" s="768" t="s">
        <v>17</v>
      </c>
      <c r="S31" s="769">
        <f t="shared" si="12"/>
        <v>100</v>
      </c>
      <c r="T31" s="768" t="s">
        <v>17</v>
      </c>
      <c r="U31" s="769">
        <f t="shared" si="13"/>
        <v>100</v>
      </c>
      <c r="V31" s="768" t="s">
        <v>17</v>
      </c>
      <c r="W31" s="769">
        <f t="shared" si="14"/>
        <v>100</v>
      </c>
      <c r="X31" s="770"/>
      <c r="Y31" s="3229"/>
      <c r="Z31" s="54" t="str">
        <f t="shared" si="15"/>
        <v>是否封闭</v>
      </c>
      <c r="AA31" s="771">
        <f t="shared" si="3"/>
        <v>1</v>
      </c>
      <c r="AB31" s="771">
        <f t="shared" si="4"/>
        <v>1</v>
      </c>
      <c r="AC31" s="771">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29" t="s">
        <v>2570</v>
      </c>
      <c r="Q32" s="1810">
        <f t="shared" si="11"/>
        <v>111</v>
      </c>
      <c r="R32" s="772" t="s">
        <v>17</v>
      </c>
      <c r="S32" s="773">
        <f t="shared" si="12"/>
        <v>100</v>
      </c>
      <c r="T32" s="772" t="s">
        <v>17</v>
      </c>
      <c r="U32" s="773">
        <f t="shared" si="13"/>
        <v>100</v>
      </c>
      <c r="V32" s="772" t="s">
        <v>17</v>
      </c>
      <c r="W32" s="773">
        <f t="shared" si="14"/>
        <v>100</v>
      </c>
      <c r="X32" s="1813"/>
      <c r="Y32" s="3229" t="s">
        <v>2570</v>
      </c>
      <c r="Z32" s="1814">
        <f t="shared" si="15"/>
        <v>111</v>
      </c>
      <c r="AA32" s="1811">
        <f t="shared" si="3"/>
        <v>1</v>
      </c>
      <c r="AB32" s="1811">
        <f t="shared" si="4"/>
        <v>1</v>
      </c>
      <c r="AC32" s="1811">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29"/>
      <c r="Q33" s="1810">
        <f t="shared" si="11"/>
        <v>111</v>
      </c>
      <c r="R33" s="772" t="s">
        <v>17</v>
      </c>
      <c r="S33" s="773">
        <f t="shared" si="12"/>
        <v>100</v>
      </c>
      <c r="T33" s="772" t="s">
        <v>17</v>
      </c>
      <c r="U33" s="773">
        <f t="shared" si="13"/>
        <v>100</v>
      </c>
      <c r="V33" s="772" t="s">
        <v>17</v>
      </c>
      <c r="W33" s="773">
        <f t="shared" si="14"/>
        <v>100</v>
      </c>
      <c r="X33" s="1813"/>
      <c r="Y33" s="3229"/>
      <c r="Z33" s="1814">
        <f t="shared" si="15"/>
        <v>111</v>
      </c>
      <c r="AA33" s="1811">
        <f t="shared" si="3"/>
        <v>1</v>
      </c>
      <c r="AB33" s="1811">
        <f t="shared" si="4"/>
        <v>1</v>
      </c>
      <c r="AC33" s="1811">
        <f t="shared" si="5"/>
        <v>1</v>
      </c>
    </row>
    <row r="34" spans="1:29" ht="15.75" thickBot="1">
      <c r="A34" s="477"/>
      <c r="B34" s="2601">
        <v>111</v>
      </c>
      <c r="C34" s="436"/>
      <c r="D34" s="437">
        <v>100</v>
      </c>
      <c r="E34" s="2695"/>
      <c r="F34" s="438">
        <f>SUMIF(95:95,E34,96:96)-SUMIF(95:95,C34,96:96)+100</f>
        <v>100</v>
      </c>
      <c r="G34" s="2695"/>
      <c r="H34" s="437">
        <f>SUMIF(95:95,G34,96:96)-SUMIF(95:95,C34,96:96)+100</f>
        <v>100</v>
      </c>
      <c r="I34" s="2695"/>
      <c r="J34" s="437">
        <f>SUMIF(95:95,I34,96:96)-SUMIF(95:95,C34,96:96)+100</f>
        <v>100</v>
      </c>
      <c r="K34" s="612"/>
      <c r="L34" s="1141"/>
      <c r="M34" s="1132"/>
      <c r="N34" s="1132"/>
      <c r="O34" s="1140"/>
      <c r="P34" s="3229"/>
      <c r="Q34" s="1810">
        <f t="shared" si="11"/>
        <v>111</v>
      </c>
      <c r="R34" s="772" t="s">
        <v>17</v>
      </c>
      <c r="S34" s="773">
        <f t="shared" si="12"/>
        <v>100</v>
      </c>
      <c r="T34" s="772" t="s">
        <v>17</v>
      </c>
      <c r="U34" s="773">
        <f t="shared" si="13"/>
        <v>100</v>
      </c>
      <c r="V34" s="772" t="s">
        <v>17</v>
      </c>
      <c r="W34" s="773">
        <f t="shared" si="14"/>
        <v>100</v>
      </c>
      <c r="X34" s="1813"/>
      <c r="Y34" s="3229"/>
      <c r="Z34" s="1814">
        <f t="shared" si="15"/>
        <v>111</v>
      </c>
      <c r="AA34" s="1811">
        <f t="shared" si="3"/>
        <v>1</v>
      </c>
      <c r="AB34" s="1811">
        <f t="shared" si="4"/>
        <v>1</v>
      </c>
      <c r="AC34" s="1811">
        <f t="shared" si="5"/>
        <v>1</v>
      </c>
    </row>
    <row r="35" spans="1:29" ht="15">
      <c r="A35" s="478" t="s">
        <v>2582</v>
      </c>
      <c r="B35" s="479"/>
      <c r="C35" s="1407" t="s">
        <v>1</v>
      </c>
      <c r="D35" s="1408"/>
      <c r="E35" s="1409"/>
      <c r="F35" s="1410"/>
      <c r="G35" s="1411"/>
      <c r="H35" s="1412"/>
      <c r="I35" s="1409"/>
      <c r="J35" s="1412"/>
      <c r="K35" s="781"/>
      <c r="L35" s="1144"/>
      <c r="M35" s="1145"/>
      <c r="N35" s="1132"/>
      <c r="O35" s="1145"/>
      <c r="P35" s="3222" t="str">
        <f>A35</f>
        <v>成交单价（元/平方米）</v>
      </c>
      <c r="Q35" s="3222"/>
      <c r="R35" s="3223">
        <f>E35</f>
        <v>0</v>
      </c>
      <c r="S35" s="3223"/>
      <c r="T35" s="3223">
        <f>G35</f>
        <v>0</v>
      </c>
      <c r="U35" s="3223"/>
      <c r="V35" s="3223">
        <f>I35</f>
        <v>0</v>
      </c>
      <c r="W35" s="3223"/>
      <c r="X35" s="757"/>
      <c r="Y35" s="779"/>
      <c r="Z35" s="757"/>
      <c r="AA35" s="757"/>
      <c r="AB35" s="757"/>
      <c r="AC35" s="757"/>
    </row>
    <row r="36" spans="1:29" ht="15.75" thickBot="1">
      <c r="A36" s="485" t="s">
        <v>2674</v>
      </c>
      <c r="B36" s="486"/>
      <c r="C36" s="1413" t="e">
        <f>R37</f>
        <v>#DIV/0!</v>
      </c>
      <c r="D36" s="1414"/>
      <c r="E36" s="1415" t="e">
        <f>R36</f>
        <v>#DIV/0!</v>
      </c>
      <c r="F36" s="1415"/>
      <c r="G36" s="1413" t="e">
        <f>T36</f>
        <v>#DIV/0!</v>
      </c>
      <c r="H36" s="1414"/>
      <c r="I36" s="1415" t="e">
        <f>V36</f>
        <v>#DIV/0!</v>
      </c>
      <c r="J36" s="1414"/>
      <c r="K36" s="782"/>
      <c r="L36" s="1144"/>
      <c r="M36" s="1145"/>
      <c r="N36" s="1132"/>
      <c r="O36" s="1145"/>
      <c r="P36" s="3222" t="str">
        <f>A36</f>
        <v>比较价值（元/平方米）</v>
      </c>
      <c r="Q36" s="322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7"/>
      <c r="Y36" s="757"/>
      <c r="Z36" s="757"/>
      <c r="AA36" s="757"/>
      <c r="AB36" s="757"/>
      <c r="AC36" s="757"/>
    </row>
    <row r="37" spans="1:29" ht="15.75" thickBot="1">
      <c r="A37" s="491" t="s">
        <v>2675</v>
      </c>
      <c r="B37" s="492"/>
      <c r="C37" s="1417" t="e">
        <f>R37</f>
        <v>#DIV/0!</v>
      </c>
      <c r="D37" s="1417"/>
      <c r="E37" s="1417"/>
      <c r="F37" s="1417"/>
      <c r="G37" s="1417"/>
      <c r="H37" s="1417"/>
      <c r="I37" s="1417"/>
      <c r="J37" s="1417"/>
      <c r="K37" s="783"/>
      <c r="L37" s="1144"/>
      <c r="M37" s="1145"/>
      <c r="N37" s="1145"/>
      <c r="O37" s="1145"/>
      <c r="P37" s="3219" t="str">
        <f>A37</f>
        <v>估价对象XX用房的比较价值（楼面单价，元/平方米）</v>
      </c>
      <c r="Q37" s="3220"/>
      <c r="R37" s="3221" t="e">
        <f>IF(F1="售价",ROUND(AVERAGE(R36:V36),0),ROUND(AVERAGE(R36:V36),1))</f>
        <v>#DIV/0!</v>
      </c>
      <c r="S37" s="3221"/>
      <c r="T37" s="3221"/>
      <c r="U37" s="3221"/>
      <c r="V37" s="3221"/>
      <c r="W37" s="3221"/>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2679</v>
      </c>
      <c r="B45" s="757"/>
      <c r="C45" s="762"/>
      <c r="D45" s="762"/>
      <c r="E45" s="762"/>
      <c r="F45" s="763"/>
      <c r="G45" s="763"/>
      <c r="H45" s="762"/>
      <c r="I45" s="762"/>
      <c r="J45" s="762"/>
      <c r="K45" s="764"/>
      <c r="L45" s="765"/>
      <c r="M45" s="762"/>
      <c r="N45" s="762"/>
      <c r="O45" s="762"/>
      <c r="P45" s="502"/>
      <c r="Q45" s="503"/>
    </row>
    <row r="46" spans="1:29" s="507" customFormat="1" ht="15">
      <c r="A46" s="504" t="s">
        <v>2553</v>
      </c>
      <c r="B46" s="505"/>
      <c r="C46" s="1574" t="str">
        <f>YEAR(C7)&amp;"-"&amp;MONTH(C7)</f>
        <v>2018-11</v>
      </c>
      <c r="D46" s="1575">
        <f>EDATE(C46,-1)</f>
        <v>43374</v>
      </c>
      <c r="E46" s="1575">
        <f t="shared" ref="E46:O46" si="16">EDATE(D46,-1)</f>
        <v>43344</v>
      </c>
      <c r="F46" s="1575">
        <f t="shared" si="16"/>
        <v>43313</v>
      </c>
      <c r="G46" s="1575">
        <f t="shared" si="16"/>
        <v>43282</v>
      </c>
      <c r="H46" s="1575">
        <f t="shared" si="16"/>
        <v>43252</v>
      </c>
      <c r="I46" s="1575">
        <f t="shared" si="16"/>
        <v>43221</v>
      </c>
      <c r="J46" s="1575">
        <f t="shared" si="16"/>
        <v>43191</v>
      </c>
      <c r="K46" s="1575">
        <f t="shared" si="16"/>
        <v>43160</v>
      </c>
      <c r="L46" s="1575">
        <f t="shared" si="16"/>
        <v>43132</v>
      </c>
      <c r="M46" s="1575">
        <f t="shared" si="16"/>
        <v>43101</v>
      </c>
      <c r="N46" s="1575">
        <f t="shared" si="16"/>
        <v>43070</v>
      </c>
      <c r="O46" s="1575">
        <f t="shared" si="16"/>
        <v>43040</v>
      </c>
      <c r="P46" s="506"/>
    </row>
    <row r="47" spans="1:29" s="116" customFormat="1" ht="15">
      <c r="A47" s="508"/>
      <c r="B47" s="509"/>
      <c r="C47" s="1573">
        <v>100</v>
      </c>
      <c r="D47" s="511"/>
      <c r="E47" s="511"/>
      <c r="F47" s="511"/>
      <c r="G47" s="511"/>
      <c r="H47" s="511"/>
      <c r="I47" s="511"/>
      <c r="J47" s="511"/>
      <c r="K47" s="511"/>
      <c r="L47" s="511"/>
      <c r="M47" s="512"/>
      <c r="N47" s="511"/>
      <c r="O47" s="513"/>
      <c r="P47" s="503"/>
    </row>
    <row r="48" spans="1:29" s="116" customFormat="1" ht="15.75" thickBot="1">
      <c r="A48" s="514" t="s">
        <v>2590</v>
      </c>
      <c r="B48" s="515"/>
      <c r="C48" s="516"/>
      <c r="D48" s="517"/>
      <c r="E48" s="517"/>
      <c r="F48" s="517"/>
      <c r="G48" s="517"/>
      <c r="H48" s="517"/>
      <c r="I48" s="517"/>
      <c r="J48" s="517"/>
      <c r="K48" s="517"/>
      <c r="L48" s="517"/>
      <c r="M48" s="518"/>
      <c r="N48" s="517"/>
      <c r="O48" s="519"/>
      <c r="P48" s="503"/>
      <c r="Q48" s="503"/>
    </row>
    <row r="49" spans="1:17" s="116" customFormat="1" ht="15">
      <c r="A49" s="520" t="s">
        <v>2555</v>
      </c>
      <c r="B49" s="509"/>
      <c r="C49" s="521" t="s">
        <v>2657</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2593</v>
      </c>
      <c r="B51" s="527" t="s">
        <v>2559</v>
      </c>
      <c r="C51" s="528">
        <f>C9</f>
        <v>0</v>
      </c>
      <c r="D51" s="529"/>
      <c r="E51" s="529"/>
      <c r="F51" s="529"/>
      <c r="G51" s="529"/>
      <c r="H51" s="529"/>
      <c r="I51" s="529"/>
      <c r="J51" s="529"/>
      <c r="K51" s="530"/>
      <c r="L51" s="531"/>
      <c r="M51" s="532"/>
      <c r="N51" s="1153"/>
      <c r="O51" s="1153"/>
      <c r="P51" s="44"/>
      <c r="Q51" s="503"/>
    </row>
    <row r="52" spans="1:17" ht="15.75" thickBot="1">
      <c r="A52" s="533"/>
      <c r="B52" s="534"/>
      <c r="C52" s="535">
        <v>100</v>
      </c>
      <c r="D52" s="535"/>
      <c r="E52" s="535"/>
      <c r="F52" s="535"/>
      <c r="G52" s="535"/>
      <c r="H52" s="535"/>
      <c r="I52" s="535"/>
      <c r="J52" s="535"/>
      <c r="K52" s="535"/>
      <c r="L52" s="535"/>
      <c r="M52" s="536"/>
      <c r="N52" s="1154"/>
      <c r="O52" s="1154"/>
      <c r="P52" s="44"/>
      <c r="Q52" s="503"/>
    </row>
    <row r="53" spans="1:17" ht="27.75" thickTop="1">
      <c r="A53" s="533"/>
      <c r="B53" s="537" t="s">
        <v>2562</v>
      </c>
      <c r="C53" s="538" t="s">
        <v>2594</v>
      </c>
      <c r="D53" s="538" t="s">
        <v>2595</v>
      </c>
      <c r="E53" s="538" t="s">
        <v>2596</v>
      </c>
      <c r="F53" s="538" t="s">
        <v>2597</v>
      </c>
      <c r="G53" s="538" t="s">
        <v>2598</v>
      </c>
      <c r="H53" s="538" t="s">
        <v>2599</v>
      </c>
      <c r="I53" s="538" t="s">
        <v>2600</v>
      </c>
      <c r="J53" s="538"/>
      <c r="K53" s="539"/>
      <c r="L53" s="540"/>
      <c r="M53" s="541"/>
      <c r="N53" s="1153"/>
      <c r="O53" s="1153"/>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4"/>
      <c r="Q54" s="503"/>
    </row>
    <row r="55" spans="1:17" ht="15.75" thickTop="1">
      <c r="A55" s="533"/>
      <c r="B55" s="659">
        <f>B11</f>
        <v>111</v>
      </c>
      <c r="C55" s="548"/>
      <c r="D55" s="548"/>
      <c r="E55" s="548"/>
      <c r="F55" s="548"/>
      <c r="G55" s="548"/>
      <c r="H55" s="548"/>
      <c r="I55" s="548"/>
      <c r="J55" s="548"/>
      <c r="K55" s="549"/>
      <c r="L55" s="550"/>
      <c r="M55" s="551"/>
      <c r="N55" s="1153"/>
      <c r="O55" s="1153"/>
      <c r="P55" s="44"/>
      <c r="Q55" s="503"/>
    </row>
    <row r="56" spans="1:17" ht="15.75" thickBot="1">
      <c r="A56" s="533"/>
      <c r="B56" s="534"/>
      <c r="C56" s="559"/>
      <c r="D56" s="535"/>
      <c r="E56" s="535"/>
      <c r="F56" s="535"/>
      <c r="G56" s="535"/>
      <c r="H56" s="535"/>
      <c r="I56" s="535"/>
      <c r="J56" s="535"/>
      <c r="K56" s="535"/>
      <c r="L56" s="535"/>
      <c r="M56" s="536"/>
      <c r="N56" s="1154"/>
      <c r="O56" s="1154"/>
      <c r="P56" s="44"/>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2564</v>
      </c>
      <c r="B61" s="527" t="s">
        <v>2607</v>
      </c>
      <c r="C61" s="572" t="s">
        <v>2602</v>
      </c>
      <c r="D61" s="572" t="s">
        <v>2603</v>
      </c>
      <c r="E61" s="572" t="s">
        <v>2604</v>
      </c>
      <c r="F61" s="572" t="s">
        <v>2605</v>
      </c>
      <c r="G61" s="572" t="s">
        <v>2606</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4"/>
      <c r="Q62" s="503"/>
    </row>
    <row r="63" spans="1:17" ht="27.75" thickTop="1">
      <c r="A63" s="533"/>
      <c r="B63" s="537" t="s">
        <v>2745</v>
      </c>
      <c r="C63" s="577" t="s">
        <v>2602</v>
      </c>
      <c r="D63" s="577" t="s">
        <v>2603</v>
      </c>
      <c r="E63" s="577" t="s">
        <v>2604</v>
      </c>
      <c r="F63" s="577" t="s">
        <v>2605</v>
      </c>
      <c r="G63" s="577" t="s">
        <v>2606</v>
      </c>
      <c r="H63" s="538"/>
      <c r="I63" s="538"/>
      <c r="J63" s="538"/>
      <c r="K63" s="539"/>
      <c r="L63" s="540"/>
      <c r="M63" s="541"/>
      <c r="N63" s="1153"/>
      <c r="O63" s="1153"/>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4"/>
      <c r="Q64" s="503"/>
    </row>
    <row r="65" spans="1:17" ht="15.75" thickTop="1">
      <c r="A65" s="533"/>
      <c r="B65" s="545" t="s">
        <v>2694</v>
      </c>
      <c r="C65" s="659" t="s">
        <v>2680</v>
      </c>
      <c r="D65" s="659" t="s">
        <v>2681</v>
      </c>
      <c r="E65" s="659" t="s">
        <v>2682</v>
      </c>
      <c r="F65" s="659" t="s">
        <v>2683</v>
      </c>
      <c r="G65" s="659" t="s">
        <v>2684</v>
      </c>
      <c r="H65" s="538"/>
      <c r="I65" s="538"/>
      <c r="J65" s="538"/>
      <c r="K65" s="538"/>
      <c r="L65" s="538"/>
      <c r="M65" s="1382"/>
      <c r="N65" s="1154"/>
      <c r="O65" s="1154"/>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4"/>
      <c r="Q66" s="503"/>
    </row>
    <row r="67" spans="1:17" ht="15.75" thickTop="1">
      <c r="A67" s="533"/>
      <c r="B67" s="537" t="s">
        <v>2614</v>
      </c>
      <c r="C67" s="577" t="s">
        <v>2602</v>
      </c>
      <c r="D67" s="577" t="s">
        <v>2603</v>
      </c>
      <c r="E67" s="577" t="s">
        <v>2604</v>
      </c>
      <c r="F67" s="577" t="s">
        <v>2605</v>
      </c>
      <c r="G67" s="577" t="s">
        <v>2606</v>
      </c>
      <c r="H67" s="538"/>
      <c r="I67" s="538"/>
      <c r="J67" s="538"/>
      <c r="K67" s="539"/>
      <c r="L67" s="540"/>
      <c r="M67" s="541"/>
      <c r="N67" s="1153"/>
      <c r="O67" s="1153"/>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4"/>
      <c r="Q68" s="503"/>
    </row>
    <row r="69" spans="1:17" ht="15.75" thickTop="1">
      <c r="A69" s="533"/>
      <c r="B69" s="537" t="s">
        <v>2734</v>
      </c>
      <c r="C69" s="553"/>
      <c r="D69" s="553"/>
      <c r="E69" s="553"/>
      <c r="F69" s="553"/>
      <c r="G69" s="553"/>
      <c r="H69" s="582"/>
      <c r="I69" s="582"/>
      <c r="J69" s="582"/>
      <c r="K69" s="583"/>
      <c r="L69" s="584"/>
      <c r="M69" s="585"/>
      <c r="N69" s="1153"/>
      <c r="O69" s="1153"/>
      <c r="P69" s="44"/>
      <c r="Q69" s="503"/>
    </row>
    <row r="70" spans="1:17" ht="15.75" thickBot="1">
      <c r="A70" s="533"/>
      <c r="B70" s="542"/>
      <c r="C70" s="543">
        <v>100</v>
      </c>
      <c r="D70" s="543">
        <f>C70-$K22</f>
        <v>100</v>
      </c>
      <c r="E70" s="543"/>
      <c r="F70" s="543"/>
      <c r="G70" s="543"/>
      <c r="H70" s="543"/>
      <c r="I70" s="543"/>
      <c r="J70" s="543"/>
      <c r="K70" s="543"/>
      <c r="L70" s="543"/>
      <c r="M70" s="544"/>
      <c r="N70" s="1154"/>
      <c r="O70" s="1154"/>
      <c r="P70" s="44"/>
      <c r="Q70" s="503"/>
    </row>
    <row r="71" spans="1:17" s="116" customFormat="1" ht="15.75" thickTop="1">
      <c r="A71" s="578"/>
      <c r="B71" s="537">
        <f>B23</f>
        <v>111</v>
      </c>
      <c r="C71" s="548"/>
      <c r="D71" s="548"/>
      <c r="E71" s="548"/>
      <c r="F71" s="548"/>
      <c r="G71" s="553"/>
      <c r="H71" s="553"/>
      <c r="I71" s="553"/>
      <c r="J71" s="553"/>
      <c r="K71" s="553"/>
      <c r="L71" s="579"/>
      <c r="M71" s="580"/>
      <c r="N71" s="1152"/>
      <c r="O71" s="1152"/>
      <c r="P71" s="44"/>
      <c r="Q71" s="503"/>
    </row>
    <row r="72" spans="1:17" s="116" customFormat="1" ht="15.75" thickBot="1">
      <c r="A72" s="578"/>
      <c r="B72" s="542"/>
      <c r="C72" s="559"/>
      <c r="D72" s="535"/>
      <c r="E72" s="535"/>
      <c r="F72" s="535"/>
      <c r="G72" s="535"/>
      <c r="H72" s="535"/>
      <c r="I72" s="535"/>
      <c r="J72" s="535"/>
      <c r="K72" s="535"/>
      <c r="L72" s="535"/>
      <c r="M72" s="536"/>
      <c r="N72" s="1154"/>
      <c r="O72" s="1154"/>
      <c r="P72" s="44"/>
      <c r="Q72" s="503"/>
    </row>
    <row r="73" spans="1:17" s="116" customFormat="1" ht="15.75" thickTop="1">
      <c r="A73" s="578"/>
      <c r="B73" s="537">
        <f>B24</f>
        <v>111</v>
      </c>
      <c r="C73" s="548"/>
      <c r="D73" s="548"/>
      <c r="E73" s="548"/>
      <c r="F73" s="548"/>
      <c r="G73" s="553"/>
      <c r="H73" s="553"/>
      <c r="I73" s="553"/>
      <c r="J73" s="553"/>
      <c r="K73" s="553"/>
      <c r="L73" s="553"/>
      <c r="M73" s="580"/>
      <c r="N73" s="1152"/>
      <c r="O73" s="1152"/>
      <c r="P73" s="44"/>
      <c r="Q73" s="503"/>
    </row>
    <row r="74" spans="1:17" s="116" customFormat="1" ht="15.75" thickBot="1">
      <c r="A74" s="578"/>
      <c r="B74" s="542"/>
      <c r="C74" s="559"/>
      <c r="D74" s="535"/>
      <c r="E74" s="535"/>
      <c r="F74" s="535"/>
      <c r="G74" s="535"/>
      <c r="H74" s="535"/>
      <c r="I74" s="535"/>
      <c r="J74" s="535"/>
      <c r="K74" s="535"/>
      <c r="L74" s="535"/>
      <c r="M74" s="536"/>
      <c r="N74" s="1154"/>
      <c r="O74" s="1154"/>
      <c r="P74" s="44"/>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2568</v>
      </c>
      <c r="B77" s="527" t="s">
        <v>2621</v>
      </c>
      <c r="C77" s="553"/>
      <c r="D77" s="553"/>
      <c r="E77" s="529"/>
      <c r="F77" s="529"/>
      <c r="G77" s="529"/>
      <c r="H77" s="529"/>
      <c r="I77" s="529"/>
      <c r="J77" s="529"/>
      <c r="K77" s="530"/>
      <c r="L77" s="531"/>
      <c r="M77" s="532"/>
      <c r="N77" s="1153"/>
      <c r="O77" s="1153"/>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4"/>
      <c r="Q78" s="503"/>
    </row>
    <row r="79" spans="1:17" ht="15.75" thickTop="1">
      <c r="A79" s="533"/>
      <c r="B79" s="537" t="s">
        <v>2737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4"/>
      <c r="Q79" s="503"/>
    </row>
    <row r="80" spans="1:17" ht="15">
      <c r="A80" s="533"/>
      <c r="B80" s="545"/>
      <c r="C80" s="602">
        <v>0.5</v>
      </c>
      <c r="D80" s="602">
        <v>0.6</v>
      </c>
      <c r="E80" s="602">
        <v>0.7</v>
      </c>
      <c r="F80" s="602">
        <v>0.8</v>
      </c>
      <c r="G80" s="602">
        <v>0.9</v>
      </c>
      <c r="H80" s="602">
        <v>1.0001</v>
      </c>
      <c r="I80" s="659"/>
      <c r="J80" s="659"/>
      <c r="K80" s="667"/>
      <c r="L80" s="668"/>
      <c r="M80" s="669"/>
      <c r="N80" s="1152"/>
      <c r="O80" s="1152"/>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2738</v>
      </c>
      <c r="C82" s="553"/>
      <c r="D82" s="553"/>
      <c r="E82" s="582"/>
      <c r="F82" s="582"/>
      <c r="G82" s="582"/>
      <c r="H82" s="582"/>
      <c r="I82" s="582"/>
      <c r="J82" s="582"/>
      <c r="K82" s="583"/>
      <c r="L82" s="584"/>
      <c r="M82" s="585"/>
      <c r="N82" s="1153"/>
      <c r="O82" s="1153"/>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4"/>
      <c r="Q83" s="503"/>
    </row>
    <row r="84" spans="1:17" ht="15" thickTop="1">
      <c r="A84" s="598"/>
      <c r="B84" s="537" t="s">
        <v>2746</v>
      </c>
      <c r="C84" s="553"/>
      <c r="D84" s="553"/>
      <c r="E84" s="553"/>
      <c r="F84" s="553"/>
      <c r="G84" s="553"/>
      <c r="H84" s="553"/>
      <c r="I84" s="582"/>
      <c r="J84" s="582"/>
      <c r="K84" s="583"/>
      <c r="L84" s="584"/>
      <c r="M84" s="585"/>
      <c r="N84" s="1153"/>
      <c r="O84" s="1153"/>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4"/>
      <c r="Q85" s="503"/>
    </row>
    <row r="86" spans="1:17" ht="15" thickTop="1">
      <c r="A86" s="598"/>
      <c r="B86" s="545" t="s">
        <v>2747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4"/>
      <c r="Q86" s="503"/>
    </row>
    <row r="87" spans="1:17">
      <c r="A87" s="598"/>
      <c r="B87" s="545"/>
      <c r="C87" s="594"/>
      <c r="D87" s="594"/>
      <c r="E87" s="594"/>
      <c r="F87" s="594"/>
      <c r="G87" s="594"/>
      <c r="H87" s="594"/>
      <c r="I87" s="594"/>
      <c r="J87" s="595"/>
      <c r="K87" s="595"/>
      <c r="L87" s="596"/>
      <c r="M87" s="597"/>
      <c r="N87" s="1153"/>
      <c r="O87" s="1153"/>
      <c r="P87" s="44"/>
      <c r="Q87" s="503"/>
    </row>
    <row r="88" spans="1:17" ht="15.75" thickBot="1">
      <c r="A88" s="533"/>
      <c r="B88" s="542"/>
      <c r="C88" s="559"/>
      <c r="D88" s="535"/>
      <c r="E88" s="535"/>
      <c r="F88" s="535"/>
      <c r="G88" s="535"/>
      <c r="H88" s="535"/>
      <c r="I88" s="535"/>
      <c r="J88" s="535"/>
      <c r="K88" s="535"/>
      <c r="L88" s="535"/>
      <c r="M88" s="535"/>
      <c r="N88" s="1154"/>
      <c r="O88" s="1154"/>
      <c r="P88" s="44"/>
      <c r="Q88" s="503"/>
    </row>
    <row r="89" spans="1:17" s="470" customFormat="1" ht="15" thickTop="1">
      <c r="A89" s="592"/>
      <c r="B89" s="537" t="s">
        <v>2748</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4"/>
      <c r="Q91" s="503"/>
    </row>
    <row r="92" spans="1:17" ht="15.75" thickBot="1">
      <c r="A92" s="533"/>
      <c r="B92" s="542"/>
      <c r="C92" s="559"/>
      <c r="D92" s="535"/>
      <c r="E92" s="535"/>
      <c r="F92" s="535"/>
      <c r="G92" s="559"/>
      <c r="H92" s="561"/>
      <c r="I92" s="561"/>
      <c r="J92" s="561"/>
      <c r="K92" s="561"/>
      <c r="L92" s="561"/>
      <c r="M92" s="562"/>
      <c r="N92" s="1154"/>
      <c r="O92" s="1154"/>
      <c r="P92" s="44"/>
      <c r="Q92" s="503"/>
    </row>
    <row r="93" spans="1:17" ht="15" thickTop="1">
      <c r="A93" s="598"/>
      <c r="B93" s="537">
        <f>B33</f>
        <v>111</v>
      </c>
      <c r="C93" s="548"/>
      <c r="D93" s="548"/>
      <c r="E93" s="548"/>
      <c r="F93" s="548"/>
      <c r="G93" s="553"/>
      <c r="H93" s="554"/>
      <c r="I93" s="554"/>
      <c r="J93" s="554"/>
      <c r="K93" s="554"/>
      <c r="L93" s="555"/>
      <c r="M93" s="556"/>
      <c r="N93" s="1153"/>
      <c r="O93" s="1153"/>
      <c r="P93" s="44"/>
      <c r="Q93" s="503"/>
    </row>
    <row r="94" spans="1:17" ht="15.75" thickBot="1">
      <c r="A94" s="533"/>
      <c r="B94" s="542"/>
      <c r="C94" s="559"/>
      <c r="D94" s="535"/>
      <c r="E94" s="535"/>
      <c r="F94" s="535"/>
      <c r="G94" s="559"/>
      <c r="H94" s="561"/>
      <c r="I94" s="561"/>
      <c r="J94" s="561"/>
      <c r="K94" s="561"/>
      <c r="L94" s="561"/>
      <c r="M94" s="562"/>
      <c r="N94" s="1154"/>
      <c r="O94" s="1154"/>
      <c r="P94" s="44"/>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4"/>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80" zoomScaleNormal="80" workbookViewId="0">
      <selection activeCell="M19" sqref="M19"/>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2749</v>
      </c>
      <c r="B1" s="394"/>
      <c r="C1" s="395" t="s">
        <v>2750</v>
      </c>
      <c r="D1" s="753"/>
      <c r="E1" s="753"/>
      <c r="F1" s="752" t="s">
        <v>2648</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2332</v>
      </c>
      <c r="B2" s="670" t="e">
        <f>F66</f>
        <v>#N/A</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6"/>
    </row>
    <row r="3" spans="1:30" s="397" customFormat="1" ht="28.5" customHeight="1" thickBot="1">
      <c r="A3" s="246" t="s">
        <v>2334</v>
      </c>
      <c r="B3" s="608" t="e">
        <f>ROUND(IF(D3="",B2*10000/'数据-汇总表'!E3,B2*10000/D3),0)</f>
        <v>#N/A</v>
      </c>
      <c r="C3" s="246" t="s">
        <v>2751</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0" t="s">
        <v>2650</v>
      </c>
      <c r="B4" s="401"/>
      <c r="C4" s="3205" t="s">
        <v>2651</v>
      </c>
      <c r="D4" s="3206"/>
      <c r="E4" s="3207" t="s">
        <v>2652</v>
      </c>
      <c r="F4" s="3208"/>
      <c r="G4" s="3205" t="s">
        <v>2653</v>
      </c>
      <c r="H4" s="3206"/>
      <c r="I4" s="3205" t="s">
        <v>2654</v>
      </c>
      <c r="J4" s="3206"/>
      <c r="K4" s="609" t="s">
        <v>2655</v>
      </c>
      <c r="L4" s="1131"/>
      <c r="M4" s="1132"/>
      <c r="N4" s="1132"/>
      <c r="O4" s="1132"/>
      <c r="P4" s="3209" t="s">
        <v>2656</v>
      </c>
      <c r="Q4" s="3210"/>
      <c r="R4" s="3192" t="s">
        <v>2652</v>
      </c>
      <c r="S4" s="3193"/>
      <c r="T4" s="3192" t="s">
        <v>2653</v>
      </c>
      <c r="U4" s="3193"/>
      <c r="V4" s="3217" t="s">
        <v>2654</v>
      </c>
      <c r="W4" s="3217"/>
      <c r="X4" s="1813"/>
      <c r="Y4" s="3192" t="s">
        <v>2656</v>
      </c>
      <c r="Z4" s="3193"/>
      <c r="AA4" s="3187" t="s">
        <v>2652</v>
      </c>
      <c r="AB4" s="3188" t="s">
        <v>2653</v>
      </c>
      <c r="AC4" s="3187" t="s">
        <v>2654</v>
      </c>
    </row>
    <row r="5" spans="1:30" ht="15">
      <c r="A5" s="403"/>
      <c r="B5" s="404"/>
      <c r="C5" s="3198" t="s">
        <v>2547</v>
      </c>
      <c r="D5" s="3199"/>
      <c r="E5" s="3236" t="s">
        <v>3075</v>
      </c>
      <c r="F5" s="3197"/>
      <c r="G5" s="3237" t="s">
        <v>3076</v>
      </c>
      <c r="H5" s="3199"/>
      <c r="I5" s="3237" t="s">
        <v>3077</v>
      </c>
      <c r="J5" s="3199"/>
      <c r="K5" s="609"/>
      <c r="L5" s="1131"/>
      <c r="M5" s="1132"/>
      <c r="N5" s="1132"/>
      <c r="O5" s="1132"/>
      <c r="P5" s="3211"/>
      <c r="Q5" s="3212"/>
      <c r="R5" s="3194"/>
      <c r="S5" s="3195"/>
      <c r="T5" s="3194"/>
      <c r="U5" s="3195"/>
      <c r="V5" s="3217"/>
      <c r="W5" s="3217"/>
      <c r="X5" s="1813"/>
      <c r="Y5" s="3194"/>
      <c r="Z5" s="3195"/>
      <c r="AA5" s="3188"/>
      <c r="AB5" s="3188"/>
      <c r="AC5" s="3188"/>
    </row>
    <row r="6" spans="1:30" ht="15.75" thickBot="1">
      <c r="A6" s="405"/>
      <c r="B6" s="406"/>
      <c r="C6" s="3200" t="s">
        <v>2551</v>
      </c>
      <c r="D6" s="3201"/>
      <c r="E6" s="3202" t="s">
        <v>2551</v>
      </c>
      <c r="F6" s="3203"/>
      <c r="G6" s="3200" t="s">
        <v>2551</v>
      </c>
      <c r="H6" s="3201"/>
      <c r="I6" s="3200" t="s">
        <v>2551</v>
      </c>
      <c r="J6" s="3201"/>
      <c r="K6" s="609" t="s">
        <v>2552</v>
      </c>
      <c r="L6" s="1131"/>
      <c r="M6" s="1132"/>
      <c r="N6" s="1132"/>
      <c r="O6" s="1132"/>
      <c r="P6" s="3213"/>
      <c r="Q6" s="3214"/>
      <c r="R6" s="3194"/>
      <c r="S6" s="3195"/>
      <c r="T6" s="3215"/>
      <c r="U6" s="3216"/>
      <c r="V6" s="3217"/>
      <c r="W6" s="3217"/>
      <c r="X6" s="1813"/>
      <c r="Y6" s="3215"/>
      <c r="Z6" s="3216"/>
      <c r="AA6" s="3189"/>
      <c r="AB6" s="3189"/>
      <c r="AC6" s="3189"/>
    </row>
    <row r="7" spans="1:30" s="116" customFormat="1" ht="15.75" thickBot="1">
      <c r="A7" s="407" t="s">
        <v>2553</v>
      </c>
      <c r="B7" s="408"/>
      <c r="C7" s="409">
        <f>'数据-取费表'!B2</f>
        <v>43432</v>
      </c>
      <c r="D7" s="410">
        <v>100</v>
      </c>
      <c r="E7" s="411">
        <v>43405</v>
      </c>
      <c r="F7" s="412">
        <f>SUMIF(70:70,YEAR(E7)&amp;"-"&amp;INT((MONTH(E7)+2)/3),71:71)</f>
        <v>100</v>
      </c>
      <c r="G7" s="2694">
        <v>43405</v>
      </c>
      <c r="H7" s="410">
        <f>SUMIF(70:70,YEAR(G7)&amp;"-"&amp;INT((MONTH(G7)+2)/3),71:71)</f>
        <v>100</v>
      </c>
      <c r="I7" s="2694">
        <v>43405</v>
      </c>
      <c r="J7" s="410">
        <f>SUMIF(70:70,YEAR(I7)&amp;"-"&amp;INT((MONTH(I7)+2)/3),71:71)</f>
        <v>100</v>
      </c>
      <c r="K7" s="610"/>
      <c r="L7" s="1133"/>
      <c r="M7" s="1134"/>
      <c r="N7" s="1134"/>
      <c r="O7" s="1134"/>
      <c r="P7" s="3190" t="s">
        <v>2554</v>
      </c>
      <c r="Q7" s="3218"/>
      <c r="R7" s="768" t="s">
        <v>17</v>
      </c>
      <c r="S7" s="769">
        <f t="shared" ref="S7:S15" si="0">F7</f>
        <v>100</v>
      </c>
      <c r="T7" s="768" t="s">
        <v>17</v>
      </c>
      <c r="U7" s="769">
        <f t="shared" ref="U7:U15" si="1">H7</f>
        <v>100</v>
      </c>
      <c r="V7" s="768" t="s">
        <v>17</v>
      </c>
      <c r="W7" s="769">
        <f t="shared" ref="W7:W15" si="2">J7</f>
        <v>100</v>
      </c>
      <c r="X7" s="770"/>
      <c r="Y7" s="3190" t="s">
        <v>2554</v>
      </c>
      <c r="Z7" s="3191"/>
      <c r="AA7" s="771">
        <f>D7/F7</f>
        <v>1</v>
      </c>
      <c r="AB7" s="771">
        <f>D7/H7</f>
        <v>1</v>
      </c>
      <c r="AC7" s="771">
        <f>D7/J7</f>
        <v>1</v>
      </c>
    </row>
    <row r="8" spans="1:30" s="116" customFormat="1" ht="15.75" thickBot="1">
      <c r="A8" s="407" t="s">
        <v>2555</v>
      </c>
      <c r="B8" s="408"/>
      <c r="C8" s="413" t="s">
        <v>2556</v>
      </c>
      <c r="D8" s="410">
        <v>100</v>
      </c>
      <c r="E8" s="2944" t="s">
        <v>3073</v>
      </c>
      <c r="F8" s="412">
        <f>SUMIF(73:73,E8,74:74)-SUMIF(73:73,C8,74:74)+100</f>
        <v>100</v>
      </c>
      <c r="G8" s="2944" t="s">
        <v>3073</v>
      </c>
      <c r="H8" s="410">
        <f>SUMIF(73:73,G8,74:74)-SUMIF(73:73,C8,74:74)+100</f>
        <v>100</v>
      </c>
      <c r="I8" s="2944" t="s">
        <v>3073</v>
      </c>
      <c r="J8" s="410">
        <f>SUMIF(73:73,I8,74:74)-SUMIF(73:73,C8,74:74)+100</f>
        <v>100</v>
      </c>
      <c r="K8" s="610"/>
      <c r="L8" s="1133"/>
      <c r="M8" s="1134"/>
      <c r="N8" s="1134"/>
      <c r="O8" s="1134"/>
      <c r="P8" s="3190" t="s">
        <v>2557</v>
      </c>
      <c r="Q8" s="3191"/>
      <c r="R8" s="768" t="s">
        <v>17</v>
      </c>
      <c r="S8" s="769">
        <f t="shared" si="0"/>
        <v>100</v>
      </c>
      <c r="T8" s="768" t="s">
        <v>17</v>
      </c>
      <c r="U8" s="769">
        <f t="shared" si="1"/>
        <v>100</v>
      </c>
      <c r="V8" s="768" t="s">
        <v>17</v>
      </c>
      <c r="W8" s="769">
        <f t="shared" si="2"/>
        <v>100</v>
      </c>
      <c r="X8" s="770"/>
      <c r="Y8" s="3190" t="s">
        <v>2557</v>
      </c>
      <c r="Z8" s="3191"/>
      <c r="AA8" s="771">
        <f t="shared" ref="AA8:AA45" si="3">D8/F8</f>
        <v>1</v>
      </c>
      <c r="AB8" s="771">
        <f t="shared" ref="AB8:AB45" si="4">D8/H8</f>
        <v>1</v>
      </c>
      <c r="AC8" s="771">
        <f t="shared" ref="AC8:AC45" si="5">D8/J8</f>
        <v>1</v>
      </c>
    </row>
    <row r="9" spans="1:30" s="116" customFormat="1">
      <c r="A9" s="414" t="s">
        <v>2558</v>
      </c>
      <c r="B9" s="70" t="s">
        <v>2559</v>
      </c>
      <c r="C9" s="2945" t="s">
        <v>3074</v>
      </c>
      <c r="D9" s="134">
        <v>100</v>
      </c>
      <c r="E9" s="2945" t="s">
        <v>3074</v>
      </c>
      <c r="F9" s="134">
        <f>SUMIF(75:75,E9,76:76)-SUMIF(75:75,C9,76:76)+100</f>
        <v>100</v>
      </c>
      <c r="G9" s="2945" t="s">
        <v>3074</v>
      </c>
      <c r="H9" s="134">
        <f>SUMIF(75:75,G9,76:76)-SUMIF(75:75,C9,76:76)+100</f>
        <v>100</v>
      </c>
      <c r="I9" s="2945" t="s">
        <v>3074</v>
      </c>
      <c r="J9" s="134">
        <f>SUMIF(75:75,I9,76:76)-SUMIF(75:75,C9,76:76)+100</f>
        <v>100</v>
      </c>
      <c r="K9" s="610"/>
      <c r="L9" s="1133"/>
      <c r="M9" s="1134"/>
      <c r="N9" s="1134"/>
      <c r="O9" s="1135"/>
      <c r="P9" s="3222" t="s">
        <v>2560</v>
      </c>
      <c r="Q9" s="1795" t="str">
        <f t="shared" ref="Q9:Q15" si="6">B9</f>
        <v>用途</v>
      </c>
      <c r="R9" s="768" t="s">
        <v>17</v>
      </c>
      <c r="S9" s="769">
        <f t="shared" si="0"/>
        <v>100</v>
      </c>
      <c r="T9" s="768" t="s">
        <v>17</v>
      </c>
      <c r="U9" s="769">
        <f t="shared" si="1"/>
        <v>100</v>
      </c>
      <c r="V9" s="768" t="s">
        <v>17</v>
      </c>
      <c r="W9" s="769">
        <f t="shared" si="2"/>
        <v>100</v>
      </c>
      <c r="X9" s="770"/>
      <c r="Y9" s="3037" t="s">
        <v>2561</v>
      </c>
      <c r="Z9" s="54" t="str">
        <f t="shared" ref="Z9:Z15" si="7">Q9</f>
        <v>用途</v>
      </c>
      <c r="AA9" s="771">
        <f t="shared" si="3"/>
        <v>1</v>
      </c>
      <c r="AB9" s="771">
        <f t="shared" si="4"/>
        <v>1</v>
      </c>
      <c r="AC9" s="771">
        <f t="shared" si="5"/>
        <v>1</v>
      </c>
    </row>
    <row r="10" spans="1:30" s="426" customFormat="1" ht="27">
      <c r="A10" s="420"/>
      <c r="B10" s="421" t="s">
        <v>2562</v>
      </c>
      <c r="C10" s="431"/>
      <c r="D10" s="135">
        <v>100</v>
      </c>
      <c r="E10" s="464"/>
      <c r="F10" s="135">
        <f>ROUND(100/'数据-取费表'!G16,0)</f>
        <v>104</v>
      </c>
      <c r="G10" s="462"/>
      <c r="H10" s="135">
        <f>ROUND(100/'数据-取费表'!G16,0)</f>
        <v>104</v>
      </c>
      <c r="I10" s="462"/>
      <c r="J10" s="135">
        <f>ROUND(100/'数据-取费表'!G16,0)</f>
        <v>104</v>
      </c>
      <c r="K10" s="671"/>
      <c r="L10" s="1136"/>
      <c r="M10" s="1137"/>
      <c r="N10" s="1137"/>
      <c r="O10" s="1138"/>
      <c r="P10" s="3222"/>
      <c r="Q10" s="1795" t="str">
        <f t="shared" si="6"/>
        <v>土地使用年限（年）</v>
      </c>
      <c r="R10" s="768" t="s">
        <v>17</v>
      </c>
      <c r="S10" s="769">
        <f t="shared" si="0"/>
        <v>104</v>
      </c>
      <c r="T10" s="768" t="s">
        <v>17</v>
      </c>
      <c r="U10" s="769">
        <f t="shared" si="1"/>
        <v>104</v>
      </c>
      <c r="V10" s="768" t="s">
        <v>17</v>
      </c>
      <c r="W10" s="769">
        <f t="shared" si="2"/>
        <v>104</v>
      </c>
      <c r="X10" s="770"/>
      <c r="Y10" s="3037"/>
      <c r="Z10" s="54" t="str">
        <f t="shared" si="7"/>
        <v>土地使用年限（年）</v>
      </c>
      <c r="AA10" s="771">
        <f t="shared" si="3"/>
        <v>0.96153846153846156</v>
      </c>
      <c r="AB10" s="771">
        <f t="shared" si="4"/>
        <v>0.96153846153846156</v>
      </c>
      <c r="AC10" s="771">
        <f t="shared" si="5"/>
        <v>0.96153846153846156</v>
      </c>
    </row>
    <row r="11" spans="1:30" ht="15">
      <c r="A11" s="427"/>
      <c r="B11" s="421" t="s">
        <v>2563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222"/>
      <c r="Q11" s="1795" t="str">
        <f t="shared" si="6"/>
        <v>容积率</v>
      </c>
      <c r="R11" s="768" t="s">
        <v>17</v>
      </c>
      <c r="S11" s="769" t="e">
        <f t="shared" si="0"/>
        <v>#N/A</v>
      </c>
      <c r="T11" s="768" t="s">
        <v>17</v>
      </c>
      <c r="U11" s="769" t="e">
        <f t="shared" si="1"/>
        <v>#N/A</v>
      </c>
      <c r="V11" s="768" t="s">
        <v>17</v>
      </c>
      <c r="W11" s="769" t="e">
        <f t="shared" si="2"/>
        <v>#N/A</v>
      </c>
      <c r="X11" s="770"/>
      <c r="Y11" s="3037"/>
      <c r="Z11" s="54" t="str">
        <f t="shared" si="7"/>
        <v>容积率</v>
      </c>
      <c r="AA11" s="771" t="e">
        <f t="shared" si="3"/>
        <v>#N/A</v>
      </c>
      <c r="AB11" s="771" t="e">
        <f t="shared" si="4"/>
        <v>#N/A</v>
      </c>
      <c r="AC11" s="771" t="e">
        <f t="shared" si="5"/>
        <v>#N/A</v>
      </c>
    </row>
    <row r="12" spans="1:30" s="116" customFormat="1" ht="15">
      <c r="A12" s="430"/>
      <c r="B12" s="2599" t="s">
        <v>2752</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222"/>
      <c r="Q12" s="1795" t="str">
        <f t="shared" si="6"/>
        <v>配建</v>
      </c>
      <c r="R12" s="768" t="s">
        <v>17</v>
      </c>
      <c r="S12" s="769">
        <f t="shared" si="0"/>
        <v>100</v>
      </c>
      <c r="T12" s="768" t="s">
        <v>17</v>
      </c>
      <c r="U12" s="769">
        <f t="shared" si="1"/>
        <v>100</v>
      </c>
      <c r="V12" s="768" t="s">
        <v>17</v>
      </c>
      <c r="W12" s="769">
        <f t="shared" si="2"/>
        <v>100</v>
      </c>
      <c r="X12" s="770"/>
      <c r="Y12" s="3037"/>
      <c r="Z12" s="54" t="str">
        <f t="shared" si="7"/>
        <v>配建</v>
      </c>
      <c r="AA12" s="771">
        <f>D12/F12</f>
        <v>1</v>
      </c>
      <c r="AB12" s="771">
        <f>D12/H12</f>
        <v>1</v>
      </c>
      <c r="AC12" s="771">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222"/>
      <c r="Q13" s="1795">
        <f t="shared" si="6"/>
        <v>111</v>
      </c>
      <c r="R13" s="768" t="s">
        <v>17</v>
      </c>
      <c r="S13" s="769">
        <f t="shared" si="0"/>
        <v>100</v>
      </c>
      <c r="T13" s="768" t="s">
        <v>17</v>
      </c>
      <c r="U13" s="769">
        <f t="shared" si="1"/>
        <v>100</v>
      </c>
      <c r="V13" s="768" t="s">
        <v>17</v>
      </c>
      <c r="W13" s="769">
        <f t="shared" si="2"/>
        <v>100</v>
      </c>
      <c r="X13" s="770"/>
      <c r="Y13" s="3037"/>
      <c r="Z13" s="54">
        <f t="shared" si="7"/>
        <v>111</v>
      </c>
      <c r="AA13" s="771">
        <f>D13/F13</f>
        <v>1</v>
      </c>
      <c r="AB13" s="771">
        <f>D13/H13</f>
        <v>1</v>
      </c>
      <c r="AC13" s="771">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222"/>
      <c r="Q14" s="1795">
        <f t="shared" si="6"/>
        <v>111</v>
      </c>
      <c r="R14" s="768" t="s">
        <v>17</v>
      </c>
      <c r="S14" s="769">
        <f t="shared" si="0"/>
        <v>100</v>
      </c>
      <c r="T14" s="768" t="s">
        <v>17</v>
      </c>
      <c r="U14" s="769">
        <f t="shared" si="1"/>
        <v>100</v>
      </c>
      <c r="V14" s="768" t="s">
        <v>17</v>
      </c>
      <c r="W14" s="769">
        <f t="shared" si="2"/>
        <v>100</v>
      </c>
      <c r="X14" s="770"/>
      <c r="Y14" s="3037"/>
      <c r="Z14" s="54">
        <f t="shared" si="7"/>
        <v>111</v>
      </c>
      <c r="AA14" s="771">
        <f>D14/F14</f>
        <v>1</v>
      </c>
      <c r="AB14" s="771">
        <f>D14/H14</f>
        <v>1</v>
      </c>
      <c r="AC14" s="771">
        <f>D14/J14</f>
        <v>1</v>
      </c>
    </row>
    <row r="15" spans="1:30" ht="99.75">
      <c r="A15" s="439" t="s">
        <v>2564</v>
      </c>
      <c r="B15" s="68" t="s">
        <v>2089</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224" t="s">
        <v>2565</v>
      </c>
      <c r="Q15" s="1810" t="str">
        <f t="shared" si="6"/>
        <v>居住社区成熟度</v>
      </c>
      <c r="R15" s="772" t="s">
        <v>17</v>
      </c>
      <c r="S15" s="773">
        <f t="shared" si="0"/>
        <v>100</v>
      </c>
      <c r="T15" s="772" t="s">
        <v>17</v>
      </c>
      <c r="U15" s="773">
        <f t="shared" si="1"/>
        <v>100</v>
      </c>
      <c r="V15" s="772" t="s">
        <v>17</v>
      </c>
      <c r="W15" s="773">
        <f t="shared" si="2"/>
        <v>100</v>
      </c>
      <c r="X15" s="1813"/>
      <c r="Y15" s="3224" t="s">
        <v>2565</v>
      </c>
      <c r="Z15" s="1814" t="str">
        <f t="shared" si="7"/>
        <v>居住社区成熟度</v>
      </c>
      <c r="AA15" s="1811">
        <f t="shared" si="3"/>
        <v>1</v>
      </c>
      <c r="AB15" s="1811">
        <f t="shared" si="4"/>
        <v>1</v>
      </c>
      <c r="AC15" s="1811">
        <f t="shared" si="5"/>
        <v>1</v>
      </c>
    </row>
    <row r="16" spans="1:30" ht="15">
      <c r="A16" s="427"/>
      <c r="B16" s="445"/>
      <c r="C16" s="446"/>
      <c r="D16" s="447"/>
      <c r="E16" s="2946"/>
      <c r="F16" s="447"/>
      <c r="G16" s="2946"/>
      <c r="H16" s="449"/>
      <c r="I16" s="2947"/>
      <c r="J16" s="447"/>
      <c r="K16" s="671"/>
      <c r="L16" s="1141"/>
      <c r="M16" s="1132"/>
      <c r="N16" s="1132"/>
      <c r="O16" s="1140"/>
      <c r="P16" s="3225"/>
      <c r="Q16" s="1810"/>
      <c r="R16" s="772"/>
      <c r="S16" s="773"/>
      <c r="T16" s="772"/>
      <c r="U16" s="773"/>
      <c r="V16" s="772"/>
      <c r="W16" s="773"/>
      <c r="X16" s="1813"/>
      <c r="Y16" s="3225"/>
      <c r="Z16" s="1814"/>
      <c r="AA16" s="1811">
        <v>1</v>
      </c>
      <c r="AB16" s="1811">
        <v>1</v>
      </c>
      <c r="AC16" s="1811">
        <v>1</v>
      </c>
    </row>
    <row r="17" spans="1:29" ht="71.25" hidden="1">
      <c r="A17" s="427"/>
      <c r="B17" s="450" t="s">
        <v>2658</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225"/>
      <c r="Q17" s="1810" t="str">
        <f>B17</f>
        <v>商业繁华度</v>
      </c>
      <c r="R17" s="772" t="s">
        <v>17</v>
      </c>
      <c r="S17" s="773">
        <f>F17</f>
        <v>100</v>
      </c>
      <c r="T17" s="772" t="s">
        <v>17</v>
      </c>
      <c r="U17" s="773">
        <f>H17</f>
        <v>100</v>
      </c>
      <c r="V17" s="772" t="s">
        <v>17</v>
      </c>
      <c r="W17" s="773">
        <f>J17</f>
        <v>100</v>
      </c>
      <c r="X17" s="1813"/>
      <c r="Y17" s="3225"/>
      <c r="Z17" s="1814" t="str">
        <f>Q17</f>
        <v>商业繁华度</v>
      </c>
      <c r="AA17" s="1811">
        <f t="shared" si="3"/>
        <v>1</v>
      </c>
      <c r="AB17" s="1811">
        <f t="shared" si="4"/>
        <v>1</v>
      </c>
      <c r="AC17" s="1811">
        <f t="shared" si="5"/>
        <v>1</v>
      </c>
    </row>
    <row r="18" spans="1:29" ht="15" hidden="1">
      <c r="A18" s="427"/>
      <c r="B18" s="455"/>
      <c r="C18" s="2607"/>
      <c r="D18" s="449"/>
      <c r="E18" s="2609"/>
      <c r="F18" s="449"/>
      <c r="G18" s="2609"/>
      <c r="H18" s="447"/>
      <c r="I18" s="2608"/>
      <c r="J18" s="447"/>
      <c r="K18" s="671"/>
      <c r="L18" s="1141"/>
      <c r="M18" s="1132"/>
      <c r="N18" s="1132"/>
      <c r="O18" s="1140"/>
      <c r="P18" s="3225"/>
      <c r="Q18" s="1810"/>
      <c r="R18" s="772"/>
      <c r="S18" s="773"/>
      <c r="T18" s="772"/>
      <c r="U18" s="773"/>
      <c r="V18" s="772"/>
      <c r="W18" s="773"/>
      <c r="X18" s="1813"/>
      <c r="Y18" s="3225"/>
      <c r="Z18" s="1814"/>
      <c r="AA18" s="1811">
        <v>1</v>
      </c>
      <c r="AB18" s="1811">
        <v>1</v>
      </c>
      <c r="AC18" s="1811">
        <v>1</v>
      </c>
    </row>
    <row r="19" spans="1:29" ht="71.25">
      <c r="A19" s="427"/>
      <c r="B19" s="450" t="s">
        <v>2692</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225"/>
      <c r="Q19" s="1810" t="str">
        <f>B19</f>
        <v>办公集聚程度</v>
      </c>
      <c r="R19" s="772" t="s">
        <v>17</v>
      </c>
      <c r="S19" s="773">
        <f>F19</f>
        <v>100</v>
      </c>
      <c r="T19" s="772" t="s">
        <v>17</v>
      </c>
      <c r="U19" s="773">
        <f>H19</f>
        <v>100</v>
      </c>
      <c r="V19" s="772" t="s">
        <v>17</v>
      </c>
      <c r="W19" s="773">
        <f>J19</f>
        <v>100</v>
      </c>
      <c r="X19" s="1813"/>
      <c r="Y19" s="3225"/>
      <c r="Z19" s="1814" t="str">
        <f>Q19</f>
        <v>办公集聚程度</v>
      </c>
      <c r="AA19" s="1811">
        <f t="shared" si="3"/>
        <v>1</v>
      </c>
      <c r="AB19" s="1811">
        <f t="shared" si="4"/>
        <v>1</v>
      </c>
      <c r="AC19" s="1811">
        <f t="shared" si="5"/>
        <v>1</v>
      </c>
    </row>
    <row r="20" spans="1:29" ht="15">
      <c r="A20" s="427"/>
      <c r="B20" s="455"/>
      <c r="C20" s="446"/>
      <c r="D20" s="447"/>
      <c r="E20" s="2604"/>
      <c r="F20" s="447"/>
      <c r="G20" s="2604"/>
      <c r="H20" s="447"/>
      <c r="I20" s="2603"/>
      <c r="J20" s="447"/>
      <c r="K20" s="671"/>
      <c r="L20" s="1141"/>
      <c r="M20" s="1132"/>
      <c r="N20" s="1132"/>
      <c r="O20" s="1140"/>
      <c r="P20" s="3225"/>
      <c r="Q20" s="1810"/>
      <c r="R20" s="772"/>
      <c r="S20" s="773"/>
      <c r="T20" s="772"/>
      <c r="U20" s="773"/>
      <c r="V20" s="772"/>
      <c r="W20" s="773"/>
      <c r="X20" s="1813"/>
      <c r="Y20" s="3225"/>
      <c r="Z20" s="1814"/>
      <c r="AA20" s="1811">
        <v>1</v>
      </c>
      <c r="AB20" s="1811">
        <v>1</v>
      </c>
      <c r="AC20" s="1811">
        <v>1</v>
      </c>
    </row>
    <row r="21" spans="1:29" ht="85.5">
      <c r="A21" s="427"/>
      <c r="B21" s="450" t="s">
        <v>2714</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225"/>
      <c r="Q21" s="1810" t="str">
        <f>B21</f>
        <v>交通便捷度</v>
      </c>
      <c r="R21" s="772" t="s">
        <v>17</v>
      </c>
      <c r="S21" s="773">
        <f>F21</f>
        <v>100</v>
      </c>
      <c r="T21" s="772" t="s">
        <v>17</v>
      </c>
      <c r="U21" s="773">
        <f>H21</f>
        <v>100</v>
      </c>
      <c r="V21" s="772" t="s">
        <v>17</v>
      </c>
      <c r="W21" s="773">
        <f>J21</f>
        <v>100</v>
      </c>
      <c r="X21" s="1813"/>
      <c r="Y21" s="3225"/>
      <c r="Z21" s="1814" t="str">
        <f>Q21</f>
        <v>交通便捷度</v>
      </c>
      <c r="AA21" s="1811">
        <f t="shared" si="3"/>
        <v>1</v>
      </c>
      <c r="AB21" s="1811">
        <f t="shared" si="4"/>
        <v>1</v>
      </c>
      <c r="AC21" s="1811">
        <f t="shared" si="5"/>
        <v>1</v>
      </c>
    </row>
    <row r="22" spans="1:29" ht="15">
      <c r="A22" s="427"/>
      <c r="B22" s="1384"/>
      <c r="C22" s="446"/>
      <c r="D22" s="449"/>
      <c r="E22" s="2604"/>
      <c r="F22" s="447"/>
      <c r="G22" s="2604"/>
      <c r="H22" s="447"/>
      <c r="I22" s="2603"/>
      <c r="J22" s="447"/>
      <c r="K22" s="671"/>
      <c r="L22" s="1141"/>
      <c r="M22" s="1132"/>
      <c r="N22" s="1132"/>
      <c r="O22" s="1140"/>
      <c r="P22" s="3225"/>
      <c r="Q22" s="1810"/>
      <c r="R22" s="772"/>
      <c r="S22" s="773"/>
      <c r="T22" s="772"/>
      <c r="U22" s="773"/>
      <c r="V22" s="772"/>
      <c r="W22" s="773"/>
      <c r="X22" s="1813"/>
      <c r="Y22" s="3225"/>
      <c r="Z22" s="1814"/>
      <c r="AA22" s="1811">
        <v>1</v>
      </c>
      <c r="AB22" s="1811">
        <v>1</v>
      </c>
      <c r="AC22" s="1811">
        <v>1</v>
      </c>
    </row>
    <row r="23" spans="1:29" ht="15">
      <c r="A23" s="403"/>
      <c r="B23" s="450" t="s">
        <v>2753</v>
      </c>
      <c r="C23" s="1389">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225"/>
      <c r="Q23" s="1810" t="str">
        <f t="shared" ref="Q23:Q37" si="8">B23</f>
        <v>区域土地利用方向</v>
      </c>
      <c r="R23" s="772" t="s">
        <v>17</v>
      </c>
      <c r="S23" s="773">
        <f>F23</f>
        <v>100</v>
      </c>
      <c r="T23" s="772" t="s">
        <v>17</v>
      </c>
      <c r="U23" s="773">
        <f>H23</f>
        <v>100</v>
      </c>
      <c r="V23" s="772" t="s">
        <v>17</v>
      </c>
      <c r="W23" s="773">
        <f>J23</f>
        <v>100</v>
      </c>
      <c r="X23" s="1813"/>
      <c r="Y23" s="3225"/>
      <c r="Z23" s="1814" t="str">
        <f>Q23</f>
        <v>区域土地利用方向</v>
      </c>
      <c r="AA23" s="1811">
        <f t="shared" si="3"/>
        <v>1</v>
      </c>
      <c r="AB23" s="1811">
        <f t="shared" si="4"/>
        <v>1</v>
      </c>
      <c r="AC23" s="1811">
        <f t="shared" si="5"/>
        <v>1</v>
      </c>
    </row>
    <row r="24" spans="1:29" ht="15">
      <c r="A24" s="403"/>
      <c r="B24" s="455"/>
      <c r="C24" s="615"/>
      <c r="D24" s="447"/>
      <c r="E24" s="2604"/>
      <c r="F24" s="447"/>
      <c r="G24" s="2603"/>
      <c r="H24" s="447"/>
      <c r="I24" s="2603"/>
      <c r="J24" s="447"/>
      <c r="K24" s="810"/>
      <c r="L24" s="1141"/>
      <c r="M24" s="1132"/>
      <c r="N24" s="1132"/>
      <c r="O24" s="1140"/>
      <c r="P24" s="3225"/>
      <c r="Q24" s="1810"/>
      <c r="R24" s="772"/>
      <c r="S24" s="773"/>
      <c r="T24" s="772"/>
      <c r="U24" s="773"/>
      <c r="V24" s="772"/>
      <c r="W24" s="773"/>
      <c r="X24" s="1813"/>
      <c r="Y24" s="3225"/>
      <c r="Z24" s="1814"/>
      <c r="AA24" s="1811"/>
      <c r="AB24" s="1811"/>
      <c r="AC24" s="1811"/>
    </row>
    <row r="25" spans="1:29" ht="57">
      <c r="A25" s="403"/>
      <c r="B25" s="1384" t="s">
        <v>2754</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225"/>
      <c r="Q25" s="1810" t="str">
        <f t="shared" si="8"/>
        <v>自然及人文环境状况</v>
      </c>
      <c r="R25" s="772" t="s">
        <v>17</v>
      </c>
      <c r="S25" s="773">
        <f>F25</f>
        <v>100</v>
      </c>
      <c r="T25" s="772" t="s">
        <v>17</v>
      </c>
      <c r="U25" s="773">
        <f>H25</f>
        <v>100</v>
      </c>
      <c r="V25" s="772" t="s">
        <v>17</v>
      </c>
      <c r="W25" s="773">
        <f>J25</f>
        <v>100</v>
      </c>
      <c r="X25" s="1813"/>
      <c r="Y25" s="3225"/>
      <c r="Z25" s="1814" t="str">
        <f>Q25</f>
        <v>自然及人文环境状况</v>
      </c>
      <c r="AA25" s="1811">
        <f t="shared" si="3"/>
        <v>1</v>
      </c>
      <c r="AB25" s="1811">
        <f t="shared" si="4"/>
        <v>1</v>
      </c>
      <c r="AC25" s="1811">
        <f t="shared" si="5"/>
        <v>1</v>
      </c>
    </row>
    <row r="26" spans="1:29" ht="15">
      <c r="A26" s="403"/>
      <c r="B26" s="455"/>
      <c r="C26" s="446"/>
      <c r="D26" s="447"/>
      <c r="E26" s="2610"/>
      <c r="F26" s="447"/>
      <c r="G26" s="2610"/>
      <c r="H26" s="447"/>
      <c r="I26" s="446"/>
      <c r="J26" s="447"/>
      <c r="K26" s="671"/>
      <c r="L26" s="1141"/>
      <c r="M26" s="1132"/>
      <c r="N26" s="1132"/>
      <c r="O26" s="1140"/>
      <c r="P26" s="3225"/>
      <c r="Q26" s="1810"/>
      <c r="R26" s="772"/>
      <c r="S26" s="773"/>
      <c r="T26" s="772"/>
      <c r="U26" s="773"/>
      <c r="V26" s="772"/>
      <c r="W26" s="773"/>
      <c r="X26" s="1813"/>
      <c r="Y26" s="3225"/>
      <c r="Z26" s="1814"/>
      <c r="AA26" s="1811">
        <v>1</v>
      </c>
      <c r="AB26" s="1811">
        <v>1</v>
      </c>
      <c r="AC26" s="1811">
        <v>1</v>
      </c>
    </row>
    <row r="27" spans="1:29" s="116" customFormat="1" ht="42.75">
      <c r="A27" s="648"/>
      <c r="B27" s="1384" t="s">
        <v>2659</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225"/>
      <c r="Q27" s="1795" t="str">
        <f t="shared" si="8"/>
        <v>公共配套设施</v>
      </c>
      <c r="R27" s="768" t="s">
        <v>17</v>
      </c>
      <c r="S27" s="769">
        <f>F27</f>
        <v>100</v>
      </c>
      <c r="T27" s="768" t="s">
        <v>17</v>
      </c>
      <c r="U27" s="769">
        <f>H27</f>
        <v>100</v>
      </c>
      <c r="V27" s="768" t="s">
        <v>17</v>
      </c>
      <c r="W27" s="769">
        <f>J27</f>
        <v>100</v>
      </c>
      <c r="X27" s="770"/>
      <c r="Y27" s="3225"/>
      <c r="Z27" s="54" t="str">
        <f>Q27</f>
        <v>公共配套设施</v>
      </c>
      <c r="AA27" s="1811">
        <f>D27/F27</f>
        <v>1</v>
      </c>
      <c r="AB27" s="1811">
        <f>D27/H27</f>
        <v>1</v>
      </c>
      <c r="AC27" s="1811">
        <f>D27/J27</f>
        <v>1</v>
      </c>
    </row>
    <row r="28" spans="1:29" s="116" customFormat="1" ht="15">
      <c r="A28" s="648"/>
      <c r="B28" s="455"/>
      <c r="C28" s="2698"/>
      <c r="D28" s="447"/>
      <c r="E28" s="2610"/>
      <c r="F28" s="447"/>
      <c r="G28" s="2610"/>
      <c r="H28" s="447"/>
      <c r="I28" s="446"/>
      <c r="J28" s="447"/>
      <c r="K28" s="671"/>
      <c r="L28" s="1133"/>
      <c r="M28" s="1134"/>
      <c r="N28" s="1134"/>
      <c r="O28" s="1135"/>
      <c r="P28" s="3225"/>
      <c r="Q28" s="1795"/>
      <c r="R28" s="768"/>
      <c r="S28" s="769"/>
      <c r="T28" s="768"/>
      <c r="U28" s="769"/>
      <c r="V28" s="768"/>
      <c r="W28" s="769"/>
      <c r="X28" s="770"/>
      <c r="Y28" s="3225"/>
      <c r="Z28" s="54"/>
      <c r="AA28" s="1811">
        <v>1</v>
      </c>
      <c r="AB28" s="1811">
        <v>1</v>
      </c>
      <c r="AC28" s="1811">
        <v>1</v>
      </c>
    </row>
    <row r="29" spans="1:29" s="116" customFormat="1" ht="28.5">
      <c r="A29" s="648"/>
      <c r="B29" s="1384" t="s">
        <v>2660</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225"/>
      <c r="Q29" s="1795" t="str">
        <f t="shared" ref="Q29" si="9">B29</f>
        <v>基础设施水平</v>
      </c>
      <c r="R29" s="768" t="s">
        <v>17</v>
      </c>
      <c r="S29" s="769">
        <f>F29</f>
        <v>100</v>
      </c>
      <c r="T29" s="768" t="s">
        <v>17</v>
      </c>
      <c r="U29" s="769">
        <f>H29</f>
        <v>100</v>
      </c>
      <c r="V29" s="768" t="s">
        <v>17</v>
      </c>
      <c r="W29" s="769">
        <f>J29</f>
        <v>100</v>
      </c>
      <c r="X29" s="770"/>
      <c r="Y29" s="3225"/>
      <c r="Z29" s="54" t="str">
        <f>Q29</f>
        <v>基础设施水平</v>
      </c>
      <c r="AA29" s="1811">
        <f>D29/F29</f>
        <v>1</v>
      </c>
      <c r="AB29" s="1811">
        <f>D29/H29</f>
        <v>1</v>
      </c>
      <c r="AC29" s="1811">
        <f>D29/J29</f>
        <v>1</v>
      </c>
    </row>
    <row r="30" spans="1:29" s="116" customFormat="1" ht="15">
      <c r="A30" s="648"/>
      <c r="B30" s="455"/>
      <c r="C30" s="2698"/>
      <c r="D30" s="447"/>
      <c r="E30" s="2699"/>
      <c r="F30" s="447"/>
      <c r="G30" s="2699"/>
      <c r="H30" s="447"/>
      <c r="I30" s="2699"/>
      <c r="J30" s="447"/>
      <c r="K30" s="671"/>
      <c r="L30" s="1133"/>
      <c r="M30" s="1134"/>
      <c r="N30" s="1134"/>
      <c r="O30" s="1135"/>
      <c r="P30" s="3225"/>
      <c r="Q30" s="1795"/>
      <c r="R30" s="768"/>
      <c r="S30" s="769"/>
      <c r="T30" s="768"/>
      <c r="U30" s="769"/>
      <c r="V30" s="768"/>
      <c r="W30" s="769"/>
      <c r="X30" s="770"/>
      <c r="Y30" s="3225"/>
      <c r="Z30" s="54"/>
      <c r="AA30" s="1811">
        <v>1</v>
      </c>
      <c r="AB30" s="1811">
        <v>1</v>
      </c>
      <c r="AC30" s="1811">
        <v>1</v>
      </c>
    </row>
    <row r="31" spans="1:29" ht="15">
      <c r="A31" s="427"/>
      <c r="B31" s="455" t="s">
        <v>2661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225"/>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225"/>
      <c r="Z31" s="1814" t="str">
        <f t="shared" ref="Z31:Z45" si="13">Q31</f>
        <v>临街状况</v>
      </c>
      <c r="AA31" s="1811">
        <f t="shared" si="3"/>
        <v>1</v>
      </c>
      <c r="AB31" s="1811">
        <f t="shared" si="4"/>
        <v>1</v>
      </c>
      <c r="AC31" s="1811">
        <f t="shared" si="5"/>
        <v>1</v>
      </c>
    </row>
    <row r="32" spans="1:29" ht="27">
      <c r="A32" s="427"/>
      <c r="B32" s="1384" t="s">
        <v>2696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225"/>
      <c r="Q32" s="1810" t="str">
        <f t="shared" si="8"/>
        <v>毗邻道路的类型与等级</v>
      </c>
      <c r="R32" s="772" t="s">
        <v>17</v>
      </c>
      <c r="S32" s="773">
        <f t="shared" si="10"/>
        <v>100</v>
      </c>
      <c r="T32" s="772" t="s">
        <v>17</v>
      </c>
      <c r="U32" s="773">
        <f t="shared" si="11"/>
        <v>100</v>
      </c>
      <c r="V32" s="772" t="s">
        <v>17</v>
      </c>
      <c r="W32" s="773">
        <f t="shared" si="12"/>
        <v>100</v>
      </c>
      <c r="X32" s="1813"/>
      <c r="Y32" s="3225"/>
      <c r="Z32" s="1814" t="str">
        <f t="shared" si="13"/>
        <v>毗邻道路的类型与等级</v>
      </c>
      <c r="AA32" s="1811">
        <f t="shared" si="3"/>
        <v>1</v>
      </c>
      <c r="AB32" s="1811">
        <f t="shared" si="4"/>
        <v>1</v>
      </c>
      <c r="AC32" s="1811">
        <f t="shared" si="5"/>
        <v>1</v>
      </c>
    </row>
    <row r="33" spans="1:29" ht="15">
      <c r="A33" s="427"/>
      <c r="B33" s="455"/>
      <c r="C33" s="446"/>
      <c r="D33" s="447"/>
      <c r="E33" s="2610"/>
      <c r="F33" s="447"/>
      <c r="G33" s="2610"/>
      <c r="H33" s="447"/>
      <c r="I33" s="446"/>
      <c r="J33" s="447"/>
      <c r="K33" s="612"/>
      <c r="L33" s="1141"/>
      <c r="M33" s="1132"/>
      <c r="N33" s="1132"/>
      <c r="O33" s="1140"/>
      <c r="P33" s="3225"/>
      <c r="Q33" s="1810"/>
      <c r="R33" s="772"/>
      <c r="S33" s="773"/>
      <c r="T33" s="772"/>
      <c r="U33" s="773"/>
      <c r="V33" s="772"/>
      <c r="W33" s="773"/>
      <c r="X33" s="1813"/>
      <c r="Y33" s="3225"/>
      <c r="Z33" s="1814"/>
      <c r="AA33" s="1811">
        <v>1</v>
      </c>
      <c r="AB33" s="1811">
        <v>1</v>
      </c>
      <c r="AC33" s="1811">
        <v>1</v>
      </c>
    </row>
    <row r="34" spans="1:29" ht="15">
      <c r="A34" s="427"/>
      <c r="B34" s="421" t="s">
        <v>2755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225"/>
      <c r="Q34" s="1810" t="str">
        <f t="shared" si="8"/>
        <v>土地级别</v>
      </c>
      <c r="R34" s="772" t="s">
        <v>17</v>
      </c>
      <c r="S34" s="773">
        <f t="shared" si="10"/>
        <v>100</v>
      </c>
      <c r="T34" s="772" t="s">
        <v>17</v>
      </c>
      <c r="U34" s="773">
        <f t="shared" si="11"/>
        <v>100</v>
      </c>
      <c r="V34" s="772" t="s">
        <v>17</v>
      </c>
      <c r="W34" s="773">
        <f t="shared" si="12"/>
        <v>100</v>
      </c>
      <c r="X34" s="1813"/>
      <c r="Y34" s="3225"/>
      <c r="Z34" s="1814" t="str">
        <f t="shared" si="13"/>
        <v>土地级别</v>
      </c>
      <c r="AA34" s="1811">
        <f t="shared" si="3"/>
        <v>1</v>
      </c>
      <c r="AB34" s="1811">
        <f t="shared" si="4"/>
        <v>1</v>
      </c>
      <c r="AC34" s="1811">
        <f t="shared" si="5"/>
        <v>1</v>
      </c>
    </row>
    <row r="35" spans="1:29" ht="15">
      <c r="A35" s="403"/>
      <c r="B35" s="1386">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225"/>
      <c r="Q35" s="1810">
        <f t="shared" si="8"/>
        <v>111</v>
      </c>
      <c r="R35" s="772" t="s">
        <v>17</v>
      </c>
      <c r="S35" s="773">
        <f t="shared" si="10"/>
        <v>100</v>
      </c>
      <c r="T35" s="772" t="s">
        <v>17</v>
      </c>
      <c r="U35" s="773">
        <f t="shared" si="11"/>
        <v>100</v>
      </c>
      <c r="V35" s="772" t="s">
        <v>17</v>
      </c>
      <c r="W35" s="773">
        <f t="shared" si="12"/>
        <v>100</v>
      </c>
      <c r="X35" s="1813"/>
      <c r="Y35" s="3225"/>
      <c r="Z35" s="1814">
        <f t="shared" si="13"/>
        <v>111</v>
      </c>
      <c r="AA35" s="1811">
        <f t="shared" si="3"/>
        <v>1</v>
      </c>
      <c r="AB35" s="1811">
        <f t="shared" si="4"/>
        <v>1</v>
      </c>
      <c r="AC35" s="1811">
        <f t="shared" si="5"/>
        <v>1</v>
      </c>
    </row>
    <row r="36" spans="1:29" ht="15">
      <c r="A36" s="674"/>
      <c r="B36" s="1387">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50" t="s">
        <v>2570</v>
      </c>
      <c r="Q36" s="1810">
        <f t="shared" si="8"/>
        <v>111</v>
      </c>
      <c r="R36" s="772" t="s">
        <v>17</v>
      </c>
      <c r="S36" s="773">
        <f t="shared" si="10"/>
        <v>100</v>
      </c>
      <c r="T36" s="772" t="s">
        <v>17</v>
      </c>
      <c r="U36" s="773">
        <f t="shared" si="11"/>
        <v>100</v>
      </c>
      <c r="V36" s="772" t="s">
        <v>17</v>
      </c>
      <c r="W36" s="773">
        <f t="shared" si="12"/>
        <v>100</v>
      </c>
      <c r="X36" s="1813"/>
      <c r="Y36" s="3229" t="s">
        <v>2570</v>
      </c>
      <c r="Z36" s="1814">
        <f t="shared" si="13"/>
        <v>111</v>
      </c>
      <c r="AA36" s="1811">
        <f t="shared" si="3"/>
        <v>1</v>
      </c>
      <c r="AB36" s="1811">
        <f t="shared" si="4"/>
        <v>1</v>
      </c>
      <c r="AC36" s="1811">
        <f t="shared" si="5"/>
        <v>1</v>
      </c>
    </row>
    <row r="37" spans="1:29" s="470" customFormat="1" ht="15.75" thickBot="1">
      <c r="A37" s="675"/>
      <c r="B37" s="1388">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229"/>
      <c r="Q37" s="1810">
        <f t="shared" si="8"/>
        <v>111</v>
      </c>
      <c r="R37" s="775" t="s">
        <v>17</v>
      </c>
      <c r="S37" s="776">
        <f t="shared" si="10"/>
        <v>100</v>
      </c>
      <c r="T37" s="775" t="s">
        <v>17</v>
      </c>
      <c r="U37" s="776">
        <f t="shared" si="11"/>
        <v>100</v>
      </c>
      <c r="V37" s="775" t="s">
        <v>17</v>
      </c>
      <c r="W37" s="776">
        <f t="shared" si="12"/>
        <v>100</v>
      </c>
      <c r="X37" s="777"/>
      <c r="Y37" s="3229"/>
      <c r="Z37" s="778">
        <f t="shared" si="13"/>
        <v>111</v>
      </c>
      <c r="AA37" s="1811">
        <f t="shared" si="3"/>
        <v>1</v>
      </c>
      <c r="AB37" s="1811">
        <f t="shared" si="4"/>
        <v>1</v>
      </c>
      <c r="AC37" s="1811">
        <f t="shared" si="5"/>
        <v>1</v>
      </c>
    </row>
    <row r="38" spans="1:29" ht="15">
      <c r="A38" s="471" t="s">
        <v>2568</v>
      </c>
      <c r="B38" s="455" t="s">
        <v>2756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229"/>
      <c r="Q38" s="1810" t="str">
        <f>B38</f>
        <v>宗地面积</v>
      </c>
      <c r="R38" s="772" t="s">
        <v>17</v>
      </c>
      <c r="S38" s="773" t="e">
        <f t="shared" si="10"/>
        <v>#N/A</v>
      </c>
      <c r="T38" s="772" t="s">
        <v>17</v>
      </c>
      <c r="U38" s="773" t="e">
        <f t="shared" si="11"/>
        <v>#N/A</v>
      </c>
      <c r="V38" s="772" t="s">
        <v>17</v>
      </c>
      <c r="W38" s="773" t="e">
        <f t="shared" si="12"/>
        <v>#N/A</v>
      </c>
      <c r="X38" s="1813"/>
      <c r="Y38" s="3229"/>
      <c r="Z38" s="1814" t="str">
        <f t="shared" si="13"/>
        <v>宗地面积</v>
      </c>
      <c r="AA38" s="1811" t="e">
        <f t="shared" si="3"/>
        <v>#N/A</v>
      </c>
      <c r="AB38" s="1811" t="e">
        <f t="shared" si="4"/>
        <v>#N/A</v>
      </c>
      <c r="AC38" s="1811" t="e">
        <f t="shared" si="5"/>
        <v>#N/A</v>
      </c>
    </row>
    <row r="39" spans="1:29" ht="15">
      <c r="A39" s="471"/>
      <c r="B39" s="421" t="s">
        <v>2757</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41"/>
      <c r="M39" s="1132"/>
      <c r="N39" s="1132"/>
      <c r="O39" s="1140"/>
      <c r="P39" s="3229"/>
      <c r="Q39" s="1810" t="str">
        <f t="shared" ref="Q39:Q45" si="14">B39</f>
        <v>宗地形状</v>
      </c>
      <c r="R39" s="772" t="s">
        <v>17</v>
      </c>
      <c r="S39" s="773">
        <f t="shared" si="10"/>
        <v>100</v>
      </c>
      <c r="T39" s="772" t="s">
        <v>17</v>
      </c>
      <c r="U39" s="773">
        <f t="shared" si="11"/>
        <v>100</v>
      </c>
      <c r="V39" s="772" t="s">
        <v>17</v>
      </c>
      <c r="W39" s="773">
        <f t="shared" si="12"/>
        <v>100</v>
      </c>
      <c r="X39" s="1813"/>
      <c r="Y39" s="3229"/>
      <c r="Z39" s="1814" t="str">
        <f t="shared" si="13"/>
        <v>宗地形状</v>
      </c>
      <c r="AA39" s="1811">
        <f t="shared" si="3"/>
        <v>1</v>
      </c>
      <c r="AB39" s="1811">
        <f t="shared" si="4"/>
        <v>1</v>
      </c>
      <c r="AC39" s="1811">
        <f t="shared" si="5"/>
        <v>1</v>
      </c>
    </row>
    <row r="40" spans="1:29" ht="15">
      <c r="A40" s="471"/>
      <c r="B40" s="421" t="s">
        <v>2758</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41"/>
      <c r="M40" s="1132"/>
      <c r="N40" s="1132"/>
      <c r="O40" s="1140"/>
      <c r="P40" s="3229"/>
      <c r="Q40" s="1810" t="str">
        <f t="shared" si="14"/>
        <v>临街宽度及深度</v>
      </c>
      <c r="R40" s="772" t="s">
        <v>17</v>
      </c>
      <c r="S40" s="773">
        <f t="shared" si="10"/>
        <v>100</v>
      </c>
      <c r="T40" s="772" t="s">
        <v>17</v>
      </c>
      <c r="U40" s="773">
        <f t="shared" si="11"/>
        <v>100</v>
      </c>
      <c r="V40" s="772" t="s">
        <v>17</v>
      </c>
      <c r="W40" s="773">
        <f t="shared" si="12"/>
        <v>100</v>
      </c>
      <c r="X40" s="1813"/>
      <c r="Y40" s="3229"/>
      <c r="Z40" s="1814" t="str">
        <f t="shared" si="13"/>
        <v>临街宽度及深度</v>
      </c>
      <c r="AA40" s="1811">
        <f t="shared" si="3"/>
        <v>1</v>
      </c>
      <c r="AB40" s="1811">
        <f t="shared" si="4"/>
        <v>1</v>
      </c>
      <c r="AC40" s="1811">
        <f t="shared" si="5"/>
        <v>1</v>
      </c>
    </row>
    <row r="41" spans="1:29" s="116" customFormat="1" ht="15">
      <c r="A41" s="472"/>
      <c r="B41" s="421" t="s">
        <v>2759</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c r="L41" s="1133"/>
      <c r="M41" s="1134"/>
      <c r="N41" s="1134"/>
      <c r="O41" s="1135"/>
      <c r="P41" s="3229"/>
      <c r="Q41" s="1810" t="str">
        <f t="shared" si="14"/>
        <v>宗地开发程度</v>
      </c>
      <c r="R41" s="768" t="s">
        <v>17</v>
      </c>
      <c r="S41" s="769">
        <f t="shared" si="10"/>
        <v>100</v>
      </c>
      <c r="T41" s="768" t="s">
        <v>17</v>
      </c>
      <c r="U41" s="769">
        <f t="shared" si="11"/>
        <v>100</v>
      </c>
      <c r="V41" s="768" t="s">
        <v>17</v>
      </c>
      <c r="W41" s="769">
        <f t="shared" si="12"/>
        <v>100</v>
      </c>
      <c r="X41" s="770"/>
      <c r="Y41" s="3229"/>
      <c r="Z41" s="54" t="str">
        <f t="shared" si="13"/>
        <v>宗地开发程度</v>
      </c>
      <c r="AA41" s="771">
        <f t="shared" si="3"/>
        <v>1</v>
      </c>
      <c r="AB41" s="771">
        <f t="shared" si="4"/>
        <v>1</v>
      </c>
      <c r="AC41" s="771">
        <f t="shared" si="5"/>
        <v>1</v>
      </c>
    </row>
    <row r="42" spans="1:29" ht="15">
      <c r="A42" s="471"/>
      <c r="B42" s="421" t="s">
        <v>2760</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41"/>
      <c r="M42" s="1132"/>
      <c r="N42" s="1132"/>
      <c r="O42" s="1140"/>
      <c r="P42" s="3229" t="s">
        <v>2570</v>
      </c>
      <c r="Q42" s="1810" t="str">
        <f t="shared" si="14"/>
        <v>工程地质条件</v>
      </c>
      <c r="R42" s="772" t="s">
        <v>17</v>
      </c>
      <c r="S42" s="773">
        <f t="shared" si="10"/>
        <v>100</v>
      </c>
      <c r="T42" s="772" t="s">
        <v>17</v>
      </c>
      <c r="U42" s="773">
        <f t="shared" si="11"/>
        <v>100</v>
      </c>
      <c r="V42" s="772" t="s">
        <v>17</v>
      </c>
      <c r="W42" s="773">
        <f t="shared" si="12"/>
        <v>100</v>
      </c>
      <c r="X42" s="1813"/>
      <c r="Y42" s="3229" t="s">
        <v>2570</v>
      </c>
      <c r="Z42" s="1814" t="str">
        <f t="shared" si="13"/>
        <v>工程地质条件</v>
      </c>
      <c r="AA42" s="1811">
        <f t="shared" si="3"/>
        <v>1</v>
      </c>
      <c r="AB42" s="1811">
        <f t="shared" si="4"/>
        <v>1</v>
      </c>
      <c r="AC42" s="1811">
        <f t="shared" si="5"/>
        <v>1</v>
      </c>
    </row>
    <row r="43" spans="1:29" ht="15">
      <c r="A43" s="471"/>
      <c r="B43" s="1387">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229"/>
      <c r="Q43" s="1810">
        <f t="shared" si="14"/>
        <v>111</v>
      </c>
      <c r="R43" s="772" t="s">
        <v>17</v>
      </c>
      <c r="S43" s="773">
        <f t="shared" si="10"/>
        <v>100</v>
      </c>
      <c r="T43" s="772" t="s">
        <v>17</v>
      </c>
      <c r="U43" s="773">
        <f t="shared" si="11"/>
        <v>100</v>
      </c>
      <c r="V43" s="772" t="s">
        <v>17</v>
      </c>
      <c r="W43" s="773">
        <f t="shared" si="12"/>
        <v>100</v>
      </c>
      <c r="X43" s="1813"/>
      <c r="Y43" s="3229"/>
      <c r="Z43" s="1814">
        <f t="shared" si="13"/>
        <v>111</v>
      </c>
      <c r="AA43" s="1811">
        <f t="shared" si="3"/>
        <v>1</v>
      </c>
      <c r="AB43" s="1811">
        <f t="shared" si="4"/>
        <v>1</v>
      </c>
      <c r="AC43" s="1811">
        <f t="shared" si="5"/>
        <v>1</v>
      </c>
    </row>
    <row r="44" spans="1:29" ht="15">
      <c r="A44" s="471"/>
      <c r="B44" s="1387">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229"/>
      <c r="Q44" s="1810">
        <f t="shared" si="14"/>
        <v>111</v>
      </c>
      <c r="R44" s="772" t="s">
        <v>17</v>
      </c>
      <c r="S44" s="773">
        <f t="shared" si="10"/>
        <v>100</v>
      </c>
      <c r="T44" s="772" t="s">
        <v>17</v>
      </c>
      <c r="U44" s="773">
        <f t="shared" si="11"/>
        <v>100</v>
      </c>
      <c r="V44" s="772" t="s">
        <v>17</v>
      </c>
      <c r="W44" s="773">
        <f t="shared" si="12"/>
        <v>100</v>
      </c>
      <c r="X44" s="1813"/>
      <c r="Y44" s="3229"/>
      <c r="Z44" s="1814">
        <f t="shared" si="13"/>
        <v>111</v>
      </c>
      <c r="AA44" s="1811">
        <f t="shared" si="3"/>
        <v>1</v>
      </c>
      <c r="AB44" s="1811">
        <f t="shared" si="4"/>
        <v>1</v>
      </c>
      <c r="AC44" s="1811">
        <f t="shared" si="5"/>
        <v>1</v>
      </c>
    </row>
    <row r="45" spans="1:29" s="470" customFormat="1" ht="15.75" thickBot="1">
      <c r="A45" s="467"/>
      <c r="B45" s="1387">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229"/>
      <c r="Q45" s="1810">
        <f t="shared" si="14"/>
        <v>111</v>
      </c>
      <c r="R45" s="775" t="s">
        <v>17</v>
      </c>
      <c r="S45" s="776">
        <f t="shared" si="10"/>
        <v>100</v>
      </c>
      <c r="T45" s="775" t="s">
        <v>17</v>
      </c>
      <c r="U45" s="776">
        <f t="shared" si="11"/>
        <v>100</v>
      </c>
      <c r="V45" s="775" t="s">
        <v>17</v>
      </c>
      <c r="W45" s="776">
        <f t="shared" si="12"/>
        <v>100</v>
      </c>
      <c r="X45" s="777"/>
      <c r="Y45" s="3229"/>
      <c r="Z45" s="778">
        <f t="shared" si="13"/>
        <v>111</v>
      </c>
      <c r="AA45" s="1811">
        <f t="shared" si="3"/>
        <v>1</v>
      </c>
      <c r="AB45" s="1811">
        <f t="shared" si="4"/>
        <v>1</v>
      </c>
      <c r="AC45" s="1811">
        <f t="shared" si="5"/>
        <v>1</v>
      </c>
    </row>
    <row r="46" spans="1:29" ht="15">
      <c r="A46" s="478" t="s">
        <v>2725</v>
      </c>
      <c r="B46" s="2702" t="s">
        <v>2761</v>
      </c>
      <c r="C46" s="681" t="s">
        <v>1</v>
      </c>
      <c r="D46" s="480"/>
      <c r="E46" s="481"/>
      <c r="F46" s="482"/>
      <c r="G46" s="483"/>
      <c r="H46" s="484"/>
      <c r="I46" s="481"/>
      <c r="J46" s="484"/>
      <c r="K46" s="781"/>
      <c r="L46" s="1144"/>
      <c r="M46" s="1145"/>
      <c r="N46" s="1132"/>
      <c r="O46" s="1145"/>
      <c r="P46" s="3222" t="str">
        <f>A46</f>
        <v>成交单价</v>
      </c>
      <c r="Q46" s="3222"/>
      <c r="R46" s="3217">
        <f>E46</f>
        <v>0</v>
      </c>
      <c r="S46" s="3217"/>
      <c r="T46" s="3217">
        <f>G46</f>
        <v>0</v>
      </c>
      <c r="U46" s="3217"/>
      <c r="V46" s="3217">
        <f>I46</f>
        <v>0</v>
      </c>
      <c r="W46" s="3217"/>
      <c r="X46" s="757"/>
      <c r="Y46" s="779"/>
      <c r="Z46" s="757"/>
      <c r="AA46" s="757"/>
      <c r="AB46" s="757"/>
      <c r="AC46" s="757"/>
    </row>
    <row r="47" spans="1:29" ht="15.75" thickBot="1">
      <c r="A47" s="485" t="s">
        <v>2674</v>
      </c>
      <c r="B47" s="682"/>
      <c r="C47" s="489" t="e">
        <f>R48</f>
        <v>#N/A</v>
      </c>
      <c r="D47" s="488"/>
      <c r="E47" s="489" t="e">
        <f>R47</f>
        <v>#N/A</v>
      </c>
      <c r="F47" s="490"/>
      <c r="G47" s="487" t="e">
        <f>T47</f>
        <v>#N/A</v>
      </c>
      <c r="H47" s="488"/>
      <c r="I47" s="489" t="e">
        <f>V47</f>
        <v>#N/A</v>
      </c>
      <c r="J47" s="488"/>
      <c r="K47" s="782"/>
      <c r="L47" s="1144"/>
      <c r="M47" s="1145"/>
      <c r="N47" s="1145"/>
      <c r="O47" s="1145"/>
      <c r="P47" s="3222" t="str">
        <f>A47</f>
        <v>比较价值（元/平方米）</v>
      </c>
      <c r="Q47" s="3222"/>
      <c r="R47" s="3251" t="e">
        <f>ROUND(PRODUCT(R46,AA7:AA45),0)</f>
        <v>#N/A</v>
      </c>
      <c r="S47" s="3251"/>
      <c r="T47" s="3251" t="e">
        <f>ROUND(PRODUCT(T46,AB7:AB45),0)</f>
        <v>#N/A</v>
      </c>
      <c r="U47" s="3251"/>
      <c r="V47" s="3251" t="e">
        <f>ROUND(PRODUCT(V46,AC7:AC45),0)</f>
        <v>#N/A</v>
      </c>
      <c r="W47" s="3251"/>
      <c r="X47" s="757"/>
      <c r="Y47" s="757"/>
      <c r="Z47" s="757"/>
      <c r="AA47" s="757"/>
      <c r="AB47" s="757"/>
      <c r="AC47" s="757"/>
    </row>
    <row r="48" spans="1:29" ht="15.75" thickBot="1">
      <c r="A48" s="491" t="s">
        <v>2762</v>
      </c>
      <c r="B48" s="492"/>
      <c r="C48" s="493" t="e">
        <f>R48</f>
        <v>#N/A</v>
      </c>
      <c r="D48" s="493"/>
      <c r="E48" s="493"/>
      <c r="F48" s="493"/>
      <c r="G48" s="493"/>
      <c r="H48" s="493"/>
      <c r="I48" s="493"/>
      <c r="J48" s="493"/>
      <c r="K48" s="783"/>
      <c r="L48" s="1144"/>
      <c r="M48" s="1145"/>
      <c r="N48" s="1145"/>
      <c r="O48" s="1145"/>
      <c r="P48" s="3219" t="str">
        <f>A48</f>
        <v>估价对象XX用房的比较价值（楼面单价，元/平方米）</v>
      </c>
      <c r="Q48" s="3220"/>
      <c r="R48" s="3252" t="e">
        <f>ROUND(AVERAGE(R47:V47),0)</f>
        <v>#N/A</v>
      </c>
      <c r="S48" s="3252"/>
      <c r="T48" s="3252"/>
      <c r="U48" s="3252"/>
      <c r="V48" s="3252"/>
      <c r="W48" s="3252"/>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2676</v>
      </c>
      <c r="D51" s="497"/>
      <c r="E51" s="498" t="e">
        <f>IF(E46&lt;E47,E47/E46-1,E46/E47-1)</f>
        <v>#N/A</v>
      </c>
      <c r="F51" s="499" t="e">
        <f>IF(OR(E51&gt;=0.3,E51&lt;=-0.3),"超过30%","")</f>
        <v>#N/A</v>
      </c>
      <c r="G51" s="498" t="e">
        <f>IF(G46&lt;G47,G47/G46-1,G46/G47-1)</f>
        <v>#N/A</v>
      </c>
      <c r="H51" s="499" t="e">
        <f>IF(OR(G51&gt;=0.3,G51&lt;=-0.3),"超过30%","")</f>
        <v>#N/A</v>
      </c>
      <c r="I51" s="498" t="e">
        <f>IF(I46&lt;I47,I47/I46-1,I46/I47-1)</f>
        <v>#N/A</v>
      </c>
      <c r="J51" s="499" t="e">
        <f>IF(OR(I51&gt;=0.3,I51&lt;=-0.3),"超过30%","")</f>
        <v>#N/A</v>
      </c>
      <c r="K51" s="1106"/>
      <c r="L51" s="1107"/>
      <c r="M51" s="1145"/>
      <c r="N51" s="1145"/>
      <c r="O51" s="1145"/>
    </row>
    <row r="52" spans="1:15" ht="13.5" customHeight="1">
      <c r="A52" s="1145"/>
      <c r="B52" s="1145"/>
      <c r="C52" s="496" t="s">
        <v>2677</v>
      </c>
      <c r="D52" s="500"/>
      <c r="E52" s="498" t="e">
        <f>IF(E47&lt;G47,G47/E47-1,E47/G47-1)</f>
        <v>#N/A</v>
      </c>
      <c r="F52" s="499" t="e">
        <f>IF(OR(E52&gt;=0.2,E52&lt;=-0.2),"超过20%","")</f>
        <v>#N/A</v>
      </c>
      <c r="G52" s="498" t="e">
        <f>IF(G47&lt;I47,I47/G47-1,G47/I47-1)</f>
        <v>#N/A</v>
      </c>
      <c r="H52" s="499" t="e">
        <f>IF(OR(G52&gt;=0.2,G52&lt;=-0.2),"超过20%","")</f>
        <v>#N/A</v>
      </c>
      <c r="I52" s="498" t="e">
        <f>IF(I47&lt;E47,E47/I47-1,I47/E47-1)</f>
        <v>#N/A</v>
      </c>
      <c r="J52" s="499" t="e">
        <f>IF(OR(I52&gt;=0.2,I52&lt;=-0.2),"超过20%","")</f>
        <v>#N/A</v>
      </c>
      <c r="K52" s="1106"/>
      <c r="L52" s="1107"/>
      <c r="M52" s="1145"/>
      <c r="N52" s="1145"/>
      <c r="O52" s="1145"/>
    </row>
    <row r="53" spans="1:15" s="501" customFormat="1" ht="13.5" customHeight="1">
      <c r="A53" s="1146"/>
      <c r="B53" s="1146"/>
      <c r="C53" s="496" t="s">
        <v>2678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0"/>
      <c r="D54" s="758"/>
      <c r="E54" s="758"/>
      <c r="F54" s="758"/>
      <c r="G54" s="758"/>
      <c r="H54" s="758"/>
      <c r="I54" s="758"/>
      <c r="J54" s="758"/>
      <c r="K54" s="1149"/>
      <c r="L54" s="1150"/>
      <c r="M54" s="1146"/>
      <c r="N54" s="1146"/>
      <c r="O54" s="1146"/>
    </row>
    <row r="55" spans="1:15" ht="27" customHeight="1">
      <c r="A55" s="683" t="s">
        <v>2763</v>
      </c>
      <c r="B55" s="684" t="s">
        <v>2764</v>
      </c>
      <c r="C55" s="2703" t="s">
        <v>2765</v>
      </c>
      <c r="D55" s="2704" t="s">
        <v>2766</v>
      </c>
      <c r="E55" s="685" t="s">
        <v>2767</v>
      </c>
      <c r="F55" s="1108" t="s">
        <v>2768</v>
      </c>
      <c r="G55" s="3205" t="s">
        <v>2769</v>
      </c>
      <c r="H55" s="3253"/>
      <c r="I55" s="143" t="s">
        <v>2770</v>
      </c>
      <c r="J55" s="2705" t="str">
        <f>项目基本情况!F35</f>
        <v>湖北省武汉市</v>
      </c>
      <c r="K55" s="2706" t="s">
        <v>2771</v>
      </c>
      <c r="L55" s="1107"/>
      <c r="M55" s="1145"/>
      <c r="N55" s="1145"/>
      <c r="O55" s="1145"/>
    </row>
    <row r="56" spans="1:15" s="691" customFormat="1">
      <c r="A56" s="687" t="s">
        <v>2772</v>
      </c>
      <c r="B56" s="688" t="e">
        <f>C48</f>
        <v>#N/A</v>
      </c>
      <c r="C56" s="689">
        <v>1</v>
      </c>
      <c r="D56" s="1164">
        <v>1</v>
      </c>
      <c r="E56" s="689">
        <f>'数据-汇总表'!E8+'数据-汇总表'!E9</f>
        <v>1368.3300000000163</v>
      </c>
      <c r="F56" s="1104" t="e">
        <f t="shared" ref="F56:F65" si="15">ROUND(B56*E56/10000,0)</f>
        <v>#N/A</v>
      </c>
      <c r="G56" s="3204"/>
      <c r="H56" s="3222"/>
      <c r="I56" s="1109">
        <v>1</v>
      </c>
      <c r="J56" s="1112">
        <v>1</v>
      </c>
      <c r="K56" s="1146"/>
      <c r="L56" s="942"/>
      <c r="M56" s="942"/>
      <c r="N56" s="942"/>
      <c r="O56" s="942"/>
    </row>
    <row r="57" spans="1:15" s="691" customFormat="1">
      <c r="A57" s="692" t="s">
        <v>2773</v>
      </c>
      <c r="B57" s="261" t="e">
        <f>ROUND($C$48*C57*D57,0)</f>
        <v>#N/A</v>
      </c>
      <c r="C57" s="199">
        <f t="shared" ref="C57:C65" si="16">IF($C$55="北京市系数",I57,J57)</f>
        <v>0</v>
      </c>
      <c r="D57" s="1165">
        <v>0.25</v>
      </c>
      <c r="E57" s="693"/>
      <c r="F57" s="1104" t="e">
        <f t="shared" si="15"/>
        <v>#N/A</v>
      </c>
      <c r="G57" s="3254" t="s">
        <v>2774</v>
      </c>
      <c r="H57" s="1105">
        <f>项目基本情况!B37</f>
        <v>0</v>
      </c>
      <c r="I57" s="1109">
        <f>SUMIF(修正!A45:A56,H57,修正!B45:B56)</f>
        <v>0</v>
      </c>
      <c r="J57" s="1113"/>
      <c r="K57" s="1145"/>
      <c r="L57" s="942"/>
      <c r="M57" s="942"/>
      <c r="N57" s="942"/>
      <c r="O57" s="942"/>
    </row>
    <row r="58" spans="1:15" s="691" customFormat="1">
      <c r="A58" s="692" t="s">
        <v>2775</v>
      </c>
      <c r="B58" s="261" t="e">
        <f t="shared" ref="B58:B65" si="17">ROUND($C$48*C58*D58,0)</f>
        <v>#N/A</v>
      </c>
      <c r="C58" s="199">
        <f t="shared" si="16"/>
        <v>0</v>
      </c>
      <c r="D58" s="1165">
        <v>0.25</v>
      </c>
      <c r="E58" s="693"/>
      <c r="F58" s="1104" t="e">
        <f t="shared" si="15"/>
        <v>#N/A</v>
      </c>
      <c r="G58" s="3254"/>
      <c r="H58" s="1105">
        <f>项目基本情况!B37</f>
        <v>0</v>
      </c>
      <c r="I58" s="1109">
        <f>SUMIF(修正!A45:A56,H58,修正!C45:C56)</f>
        <v>0</v>
      </c>
      <c r="J58" s="1113"/>
      <c r="K58" s="1146"/>
      <c r="L58" s="942"/>
      <c r="M58" s="942"/>
      <c r="N58" s="942"/>
      <c r="O58" s="942"/>
    </row>
    <row r="59" spans="1:15" s="691" customFormat="1">
      <c r="A59" s="692" t="s">
        <v>2776</v>
      </c>
      <c r="B59" s="261" t="e">
        <f t="shared" si="17"/>
        <v>#N/A</v>
      </c>
      <c r="C59" s="199">
        <f t="shared" si="16"/>
        <v>0</v>
      </c>
      <c r="D59" s="1165">
        <v>0.25</v>
      </c>
      <c r="E59" s="693"/>
      <c r="F59" s="1104" t="e">
        <f t="shared" si="15"/>
        <v>#N/A</v>
      </c>
      <c r="G59" s="3254"/>
      <c r="H59" s="1105">
        <f>项目基本情况!B37</f>
        <v>0</v>
      </c>
      <c r="I59" s="1109">
        <f>SUMIF(修正!A45:A56,H59,修正!D45:D56)</f>
        <v>0</v>
      </c>
      <c r="J59" s="1113"/>
      <c r="K59" s="1145"/>
      <c r="L59" s="942"/>
      <c r="M59" s="942"/>
      <c r="N59" s="942"/>
      <c r="O59" s="942"/>
    </row>
    <row r="60" spans="1:15" s="691" customFormat="1">
      <c r="A60" s="692" t="s">
        <v>2777</v>
      </c>
      <c r="B60" s="261" t="e">
        <f t="shared" si="17"/>
        <v>#N/A</v>
      </c>
      <c r="C60" s="199">
        <f t="shared" si="16"/>
        <v>0</v>
      </c>
      <c r="D60" s="1165">
        <v>0.25</v>
      </c>
      <c r="E60" s="693"/>
      <c r="F60" s="1104" t="e">
        <f t="shared" si="15"/>
        <v>#N/A</v>
      </c>
      <c r="G60" s="3254"/>
      <c r="H60" s="1105">
        <f>项目基本情况!B37</f>
        <v>0</v>
      </c>
      <c r="I60" s="1109">
        <f>SUMIF(修正!A45:A56,H60,修正!E45:E56)</f>
        <v>0</v>
      </c>
      <c r="J60" s="1113"/>
      <c r="K60" s="1146"/>
      <c r="L60" s="942"/>
      <c r="M60" s="942"/>
      <c r="N60" s="942"/>
      <c r="O60" s="942"/>
    </row>
    <row r="61" spans="1:15" s="691" customFormat="1">
      <c r="A61" s="692" t="s">
        <v>2778</v>
      </c>
      <c r="B61" s="261" t="e">
        <f t="shared" si="17"/>
        <v>#N/A</v>
      </c>
      <c r="C61" s="199">
        <f t="shared" si="16"/>
        <v>0</v>
      </c>
      <c r="D61" s="1165">
        <v>0.25</v>
      </c>
      <c r="E61" s="260">
        <f>'数据-汇总表'!E11</f>
        <v>0</v>
      </c>
      <c r="F61" s="1104" t="e">
        <f t="shared" si="15"/>
        <v>#N/A</v>
      </c>
      <c r="G61" s="2707" t="s">
        <v>2779</v>
      </c>
      <c r="H61" s="1105">
        <f>项目基本情况!C37</f>
        <v>0</v>
      </c>
      <c r="I61" s="1109">
        <f>SUMIF(修正!A45:A56,H61,修正!F45:F56)</f>
        <v>0</v>
      </c>
      <c r="J61" s="1113"/>
      <c r="K61" s="1145"/>
      <c r="L61" s="942"/>
      <c r="M61" s="942"/>
      <c r="N61" s="942"/>
      <c r="O61" s="942"/>
    </row>
    <row r="62" spans="1:15" s="691" customFormat="1">
      <c r="A62" s="692" t="s">
        <v>2780</v>
      </c>
      <c r="B62" s="261" t="e">
        <f t="shared" si="17"/>
        <v>#N/A</v>
      </c>
      <c r="C62" s="199">
        <f t="shared" si="16"/>
        <v>0</v>
      </c>
      <c r="D62" s="1165">
        <v>0.25</v>
      </c>
      <c r="E62" s="260">
        <f>'数据-汇总表'!E12</f>
        <v>0</v>
      </c>
      <c r="F62" s="1104" t="e">
        <f t="shared" si="15"/>
        <v>#N/A</v>
      </c>
      <c r="G62" s="1110" t="s">
        <v>2781</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1" customFormat="1">
      <c r="A63" s="692" t="s">
        <v>2782</v>
      </c>
      <c r="B63" s="261" t="e">
        <f t="shared" si="17"/>
        <v>#N/A</v>
      </c>
      <c r="C63" s="199">
        <f t="shared" si="16"/>
        <v>0</v>
      </c>
      <c r="D63" s="1165">
        <v>0.25</v>
      </c>
      <c r="E63" s="260">
        <f>'数据-汇总表'!E13</f>
        <v>0</v>
      </c>
      <c r="F63" s="1104" t="e">
        <f t="shared" si="15"/>
        <v>#N/A</v>
      </c>
      <c r="G63" s="1110" t="s">
        <v>2783</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2784</v>
      </c>
      <c r="B64" s="261" t="e">
        <f t="shared" si="17"/>
        <v>#N/A</v>
      </c>
      <c r="C64" s="199">
        <f t="shared" si="16"/>
        <v>0</v>
      </c>
      <c r="D64" s="1165">
        <v>0.25</v>
      </c>
      <c r="E64" s="260">
        <f>'数据-汇总表'!E14</f>
        <v>0</v>
      </c>
      <c r="F64" s="1104" t="e">
        <f t="shared" si="15"/>
        <v>#N/A</v>
      </c>
      <c r="G64" s="2707" t="s">
        <v>2774</v>
      </c>
      <c r="H64" s="1105">
        <f>项目基本情况!B37</f>
        <v>0</v>
      </c>
      <c r="I64" s="1109">
        <f>SUMIF(修正!A45:A56,H64,修正!H45:H56)</f>
        <v>0</v>
      </c>
      <c r="J64" s="1113"/>
      <c r="K64" s="1146"/>
      <c r="L64" s="942"/>
      <c r="M64" s="942"/>
      <c r="N64" s="942"/>
      <c r="O64" s="942"/>
    </row>
    <row r="65" spans="1:17" s="691" customFormat="1" ht="15" thickBot="1">
      <c r="A65" s="692" t="s">
        <v>2785</v>
      </c>
      <c r="B65" s="261" t="e">
        <f t="shared" si="17"/>
        <v>#N/A</v>
      </c>
      <c r="C65" s="199">
        <f t="shared" si="16"/>
        <v>0</v>
      </c>
      <c r="D65" s="1165">
        <v>0.25</v>
      </c>
      <c r="E65" s="260">
        <f>'数据-汇总表'!E15</f>
        <v>0</v>
      </c>
      <c r="F65" s="1104" t="e">
        <f t="shared" si="15"/>
        <v>#N/A</v>
      </c>
      <c r="G65" s="2708" t="s">
        <v>2779</v>
      </c>
      <c r="H65" s="1115">
        <f>项目基本情况!C37</f>
        <v>0</v>
      </c>
      <c r="I65" s="1111">
        <f>SUMIF(修正!A45:A56,H65,修正!H45:H56)</f>
        <v>0</v>
      </c>
      <c r="J65" s="1114"/>
      <c r="K65" s="1145"/>
      <c r="L65" s="942"/>
      <c r="M65" s="942"/>
      <c r="N65" s="942"/>
      <c r="O65" s="942"/>
    </row>
    <row r="66" spans="1:17" s="691" customFormat="1" ht="13.5" thickBot="1">
      <c r="A66" s="694" t="s">
        <v>2786</v>
      </c>
      <c r="B66" s="695" t="s">
        <v>28</v>
      </c>
      <c r="C66" s="695" t="s">
        <v>29</v>
      </c>
      <c r="D66" s="695" t="s">
        <v>1029</v>
      </c>
      <c r="E66" s="695">
        <f>IF(B46="楼面地价",SUM(E56:E65),'数据-汇总表'!D3)</f>
        <v>1368.3300000000163</v>
      </c>
      <c r="F66" s="696" t="e">
        <f>IF(B46="楼面地价",SUM(F56:F65),ROUND(C48*E66/10000,0))</f>
        <v>#N/A</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2018-11-1</v>
      </c>
      <c r="D68" s="759">
        <f>EDATE(C68,-3)</f>
        <v>43313</v>
      </c>
      <c r="E68" s="759">
        <f>EDATE(D68,-3)</f>
        <v>43221</v>
      </c>
      <c r="F68" s="759">
        <f t="shared" ref="F68:O68" si="18">EDATE(E68,-3)</f>
        <v>43132</v>
      </c>
      <c r="G68" s="759">
        <f t="shared" si="18"/>
        <v>43040</v>
      </c>
      <c r="H68" s="759">
        <f t="shared" si="18"/>
        <v>42948</v>
      </c>
      <c r="I68" s="759">
        <f t="shared" si="18"/>
        <v>42856</v>
      </c>
      <c r="J68" s="759">
        <f t="shared" si="18"/>
        <v>42767</v>
      </c>
      <c r="K68" s="759">
        <f t="shared" si="18"/>
        <v>42675</v>
      </c>
      <c r="L68" s="759">
        <f t="shared" si="18"/>
        <v>42583</v>
      </c>
      <c r="M68" s="759">
        <f t="shared" si="18"/>
        <v>42491</v>
      </c>
      <c r="N68" s="759">
        <f t="shared" si="18"/>
        <v>42401</v>
      </c>
      <c r="O68" s="759">
        <f t="shared" si="18"/>
        <v>42309</v>
      </c>
    </row>
    <row r="69" spans="1:17" ht="21.75" thickBot="1">
      <c r="A69" s="761" t="s">
        <v>2679</v>
      </c>
      <c r="B69" s="757"/>
      <c r="C69" s="762"/>
      <c r="D69" s="762"/>
      <c r="E69" s="762"/>
      <c r="F69" s="763"/>
      <c r="G69" s="763"/>
      <c r="H69" s="762"/>
      <c r="I69" s="762"/>
      <c r="J69" s="1160"/>
      <c r="K69" s="1161"/>
      <c r="L69" s="1162"/>
      <c r="M69" s="1160"/>
      <c r="N69" s="1160"/>
      <c r="O69" s="1160"/>
      <c r="P69" s="502"/>
      <c r="Q69" s="503"/>
    </row>
    <row r="70" spans="1:17" s="507" customFormat="1" ht="15">
      <c r="A70" s="2709" t="s">
        <v>2787</v>
      </c>
      <c r="B70" s="1359"/>
      <c r="C70" s="1572" t="str">
        <f>YEAR(C68)&amp;"-"&amp;ROUNDUP(MONTH(C68)/3,0)</f>
        <v>2018-4</v>
      </c>
      <c r="D70" s="1572" t="str">
        <f>YEAR(D68)&amp;"-"&amp;ROUNDUP(MONTH(D68)/3,0)</f>
        <v>2018-3</v>
      </c>
      <c r="E70" s="1572" t="str">
        <f t="shared" ref="E70:O70" si="19">YEAR(E68)&amp;"-"&amp;ROUNDUP(MONTH(E68)/3,0)</f>
        <v>2018-2</v>
      </c>
      <c r="F70" s="1572" t="str">
        <f t="shared" si="19"/>
        <v>2018-1</v>
      </c>
      <c r="G70" s="1572" t="str">
        <f t="shared" si="19"/>
        <v>2017-4</v>
      </c>
      <c r="H70" s="1572" t="str">
        <f t="shared" si="19"/>
        <v>2017-3</v>
      </c>
      <c r="I70" s="1572" t="str">
        <f t="shared" si="19"/>
        <v>2017-2</v>
      </c>
      <c r="J70" s="1572" t="str">
        <f t="shared" si="19"/>
        <v>2017-1</v>
      </c>
      <c r="K70" s="1572" t="str">
        <f t="shared" si="19"/>
        <v>2016-4</v>
      </c>
      <c r="L70" s="1572" t="str">
        <f t="shared" si="19"/>
        <v>2016-3</v>
      </c>
      <c r="M70" s="1572" t="str">
        <f t="shared" si="19"/>
        <v>2016-2</v>
      </c>
      <c r="N70" s="1572" t="str">
        <f t="shared" si="19"/>
        <v>2016-1</v>
      </c>
      <c r="O70" s="1572" t="str">
        <f t="shared" si="19"/>
        <v>2015-4</v>
      </c>
      <c r="P70" s="506"/>
    </row>
    <row r="71" spans="1:17" s="116" customFormat="1" ht="30" customHeight="1">
      <c r="A71" s="2710" t="s">
        <v>2788</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7"/>
      <c r="N71" s="594"/>
      <c r="O71" s="1568"/>
      <c r="P71" s="503"/>
    </row>
    <row r="72" spans="1:17" s="116" customFormat="1" ht="15.75" thickBot="1">
      <c r="A72" s="514" t="s">
        <v>2590</v>
      </c>
      <c r="B72" s="515"/>
      <c r="C72" s="516"/>
      <c r="D72" s="517"/>
      <c r="E72" s="517"/>
      <c r="F72" s="517"/>
      <c r="G72" s="517"/>
      <c r="H72" s="517"/>
      <c r="I72" s="517"/>
      <c r="J72" s="517"/>
      <c r="K72" s="517"/>
      <c r="L72" s="517"/>
      <c r="M72" s="518"/>
      <c r="N72" s="517"/>
      <c r="O72" s="1163"/>
      <c r="P72" s="503"/>
      <c r="Q72" s="503"/>
    </row>
    <row r="73" spans="1:17" s="116" customFormat="1" ht="15">
      <c r="A73" s="520" t="s">
        <v>2555</v>
      </c>
      <c r="B73" s="509"/>
      <c r="C73" s="521" t="s">
        <v>2657</v>
      </c>
      <c r="D73" s="522"/>
      <c r="E73" s="522"/>
      <c r="F73" s="522"/>
      <c r="G73" s="522"/>
      <c r="H73" s="522"/>
      <c r="I73" s="522"/>
      <c r="J73" s="522"/>
      <c r="K73" s="522"/>
      <c r="L73" s="523"/>
      <c r="M73" s="524"/>
      <c r="N73" s="1152"/>
      <c r="O73" s="1152"/>
      <c r="P73" s="525"/>
      <c r="Q73" s="503"/>
    </row>
    <row r="74" spans="1:17" s="116"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2593</v>
      </c>
      <c r="B75" s="527" t="s">
        <v>2559</v>
      </c>
      <c r="C75" s="529"/>
      <c r="D75" s="529"/>
      <c r="E75" s="529"/>
      <c r="F75" s="529"/>
      <c r="G75" s="529"/>
      <c r="H75" s="529"/>
      <c r="I75" s="529"/>
      <c r="J75" s="529"/>
      <c r="K75" s="530"/>
      <c r="L75" s="531"/>
      <c r="M75" s="532"/>
      <c r="N75" s="1153"/>
      <c r="O75" s="1153"/>
      <c r="P75" s="44"/>
      <c r="Q75" s="503"/>
    </row>
    <row r="76" spans="1:17" ht="15.75" thickBot="1">
      <c r="A76" s="533"/>
      <c r="B76" s="534"/>
      <c r="C76" s="535"/>
      <c r="D76" s="535"/>
      <c r="E76" s="535"/>
      <c r="F76" s="535"/>
      <c r="G76" s="535"/>
      <c r="H76" s="535"/>
      <c r="I76" s="535"/>
      <c r="J76" s="535"/>
      <c r="K76" s="535"/>
      <c r="L76" s="535"/>
      <c r="M76" s="536"/>
      <c r="N76" s="1154"/>
      <c r="O76" s="1154"/>
      <c r="P76" s="44"/>
      <c r="Q76" s="503"/>
    </row>
    <row r="77" spans="1:17" ht="27.75" thickTop="1">
      <c r="A77" s="533"/>
      <c r="B77" s="537" t="s">
        <v>2562</v>
      </c>
      <c r="C77" s="538"/>
      <c r="D77" s="538"/>
      <c r="E77" s="538"/>
      <c r="F77" s="538"/>
      <c r="G77" s="538"/>
      <c r="H77" s="538"/>
      <c r="I77" s="538"/>
      <c r="J77" s="538"/>
      <c r="K77" s="539"/>
      <c r="L77" s="540"/>
      <c r="M77" s="541"/>
      <c r="N77" s="1153"/>
      <c r="O77" s="1153"/>
      <c r="P77" s="44"/>
      <c r="Q77" s="503"/>
    </row>
    <row r="78" spans="1:17" ht="15.75" thickBot="1">
      <c r="A78" s="533"/>
      <c r="B78" s="542"/>
      <c r="C78" s="543"/>
      <c r="D78" s="543"/>
      <c r="E78" s="543"/>
      <c r="F78" s="543"/>
      <c r="G78" s="543"/>
      <c r="H78" s="543"/>
      <c r="I78" s="543"/>
      <c r="J78" s="543"/>
      <c r="K78" s="543"/>
      <c r="L78" s="543"/>
      <c r="M78" s="544"/>
      <c r="N78" s="1154"/>
      <c r="O78" s="1154"/>
      <c r="P78" s="44"/>
      <c r="Q78" s="503"/>
    </row>
    <row r="79" spans="1:17" ht="15.75" thickTop="1">
      <c r="A79" s="533"/>
      <c r="B79" s="545" t="s">
        <v>2563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4"/>
      <c r="Q79" s="503"/>
    </row>
    <row r="80" spans="1:17" ht="15">
      <c r="A80" s="533"/>
      <c r="B80" s="547"/>
      <c r="C80" s="548"/>
      <c r="D80" s="548"/>
      <c r="E80" s="548"/>
      <c r="F80" s="548"/>
      <c r="G80" s="548"/>
      <c r="H80" s="548"/>
      <c r="I80" s="548"/>
      <c r="J80" s="548"/>
      <c r="K80" s="549"/>
      <c r="L80" s="550"/>
      <c r="M80" s="551"/>
      <c r="N80" s="1153"/>
      <c r="O80" s="1153"/>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4"/>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2564</v>
      </c>
      <c r="B88" s="527" t="s">
        <v>2601</v>
      </c>
      <c r="C88" s="572" t="s">
        <v>2602</v>
      </c>
      <c r="D88" s="572" t="s">
        <v>2603</v>
      </c>
      <c r="E88" s="572" t="s">
        <v>2604</v>
      </c>
      <c r="F88" s="572" t="s">
        <v>2605</v>
      </c>
      <c r="G88" s="572" t="s">
        <v>2606</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4"/>
      <c r="Q89" s="503"/>
    </row>
    <row r="90" spans="1:17" ht="15.75" thickTop="1">
      <c r="A90" s="533"/>
      <c r="B90" s="537" t="s">
        <v>2789</v>
      </c>
      <c r="C90" s="577" t="s">
        <v>2602</v>
      </c>
      <c r="D90" s="577" t="s">
        <v>2603</v>
      </c>
      <c r="E90" s="577" t="s">
        <v>2604</v>
      </c>
      <c r="F90" s="577" t="s">
        <v>2605</v>
      </c>
      <c r="G90" s="577" t="s">
        <v>2606</v>
      </c>
      <c r="H90" s="538"/>
      <c r="I90" s="538"/>
      <c r="J90" s="538"/>
      <c r="K90" s="539"/>
      <c r="L90" s="540"/>
      <c r="M90" s="541"/>
      <c r="N90" s="1153"/>
      <c r="O90" s="1153"/>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4"/>
      <c r="Q91" s="503"/>
    </row>
    <row r="92" spans="1:17" ht="15.75" thickTop="1">
      <c r="A92" s="533"/>
      <c r="B92" s="537" t="s">
        <v>2702</v>
      </c>
      <c r="C92" s="577" t="s">
        <v>2602</v>
      </c>
      <c r="D92" s="577" t="s">
        <v>2603</v>
      </c>
      <c r="E92" s="577" t="s">
        <v>2604</v>
      </c>
      <c r="F92" s="577" t="s">
        <v>2605</v>
      </c>
      <c r="G92" s="577" t="s">
        <v>2606</v>
      </c>
      <c r="H92" s="538"/>
      <c r="I92" s="538"/>
      <c r="J92" s="538"/>
      <c r="K92" s="539"/>
      <c r="L92" s="540"/>
      <c r="M92" s="541"/>
      <c r="N92" s="1153"/>
      <c r="O92" s="1153"/>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4"/>
      <c r="Q93" s="503"/>
    </row>
    <row r="94" spans="1:17" ht="15.75" thickTop="1">
      <c r="A94" s="533"/>
      <c r="B94" s="537" t="s">
        <v>2607</v>
      </c>
      <c r="C94" s="577" t="s">
        <v>2602</v>
      </c>
      <c r="D94" s="577" t="s">
        <v>2603</v>
      </c>
      <c r="E94" s="577" t="s">
        <v>2604</v>
      </c>
      <c r="F94" s="577" t="s">
        <v>2605</v>
      </c>
      <c r="G94" s="577" t="s">
        <v>2606</v>
      </c>
      <c r="H94" s="538"/>
      <c r="I94" s="538"/>
      <c r="J94" s="538"/>
      <c r="K94" s="539"/>
      <c r="L94" s="540"/>
      <c r="M94" s="541"/>
      <c r="N94" s="1153"/>
      <c r="O94" s="1153"/>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4"/>
      <c r="Q95" s="503"/>
    </row>
    <row r="96" spans="1:17" s="116" customFormat="1" ht="15.75" thickTop="1">
      <c r="A96" s="578"/>
      <c r="B96" s="537" t="s">
        <v>2790</v>
      </c>
      <c r="C96" s="577" t="s">
        <v>2602</v>
      </c>
      <c r="D96" s="577" t="s">
        <v>2603</v>
      </c>
      <c r="E96" s="577" t="s">
        <v>2604</v>
      </c>
      <c r="F96" s="577" t="s">
        <v>2605</v>
      </c>
      <c r="G96" s="577" t="s">
        <v>2606</v>
      </c>
      <c r="H96" s="577"/>
      <c r="I96" s="577"/>
      <c r="J96" s="577"/>
      <c r="K96" s="577"/>
      <c r="L96" s="697"/>
      <c r="M96" s="621"/>
      <c r="N96" s="1152"/>
      <c r="O96" s="1152"/>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4"/>
      <c r="Q97" s="503"/>
    </row>
    <row r="98" spans="1:17" s="116" customFormat="1" ht="27.75" thickTop="1">
      <c r="A98" s="578"/>
      <c r="B98" s="537" t="s">
        <v>2791</v>
      </c>
      <c r="C98" s="572" t="s">
        <v>2602</v>
      </c>
      <c r="D98" s="572" t="s">
        <v>2603</v>
      </c>
      <c r="E98" s="572" t="s">
        <v>2604</v>
      </c>
      <c r="F98" s="572" t="s">
        <v>2605</v>
      </c>
      <c r="G98" s="572" t="s">
        <v>2606</v>
      </c>
      <c r="H98" s="577"/>
      <c r="I98" s="577"/>
      <c r="J98" s="577"/>
      <c r="K98" s="577"/>
      <c r="L98" s="577"/>
      <c r="M98" s="621"/>
      <c r="N98" s="1152"/>
      <c r="O98" s="1152"/>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4"/>
      <c r="Q99" s="503"/>
    </row>
    <row r="100" spans="1:17" s="470" customFormat="1" ht="15.75" thickTop="1">
      <c r="A100" s="552"/>
      <c r="B100" s="537" t="s">
        <v>2659</v>
      </c>
      <c r="C100" s="572" t="s">
        <v>2602</v>
      </c>
      <c r="D100" s="572" t="s">
        <v>2603</v>
      </c>
      <c r="E100" s="572" t="s">
        <v>2604</v>
      </c>
      <c r="F100" s="572" t="s">
        <v>2605</v>
      </c>
      <c r="G100" s="572" t="s">
        <v>2606</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2660</v>
      </c>
      <c r="C102" s="659" t="s">
        <v>2680</v>
      </c>
      <c r="D102" s="659" t="s">
        <v>2681</v>
      </c>
      <c r="E102" s="659" t="s">
        <v>2682</v>
      </c>
      <c r="F102" s="659" t="s">
        <v>2683</v>
      </c>
      <c r="G102" s="659" t="s">
        <v>2684</v>
      </c>
      <c r="H102" s="599"/>
      <c r="I102" s="599"/>
      <c r="J102" s="599"/>
      <c r="K102" s="599"/>
      <c r="L102" s="599"/>
      <c r="M102" s="1385"/>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5"/>
      <c r="N103" s="1155"/>
      <c r="O103" s="1155"/>
      <c r="P103" s="557"/>
      <c r="Q103" s="558"/>
    </row>
    <row r="104" spans="1:17" ht="15.75" thickTop="1">
      <c r="A104" s="533"/>
      <c r="B104" s="537" t="str">
        <f>B31</f>
        <v>临街状况</v>
      </c>
      <c r="C104" s="538" t="s">
        <v>2792</v>
      </c>
      <c r="D104" s="538" t="s">
        <v>2793</v>
      </c>
      <c r="E104" s="538" t="s">
        <v>2794</v>
      </c>
      <c r="F104" s="538" t="s">
        <v>2795</v>
      </c>
      <c r="G104" s="538"/>
      <c r="H104" s="538"/>
      <c r="I104" s="538"/>
      <c r="J104" s="538"/>
      <c r="K104" s="539"/>
      <c r="L104" s="540"/>
      <c r="M104" s="541"/>
      <c r="N104" s="1153"/>
      <c r="O104" s="1153"/>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4"/>
      <c r="Q105" s="503"/>
    </row>
    <row r="106" spans="1:17" ht="27.75" thickTop="1">
      <c r="A106" s="533"/>
      <c r="B106" s="537" t="s">
        <v>2696</v>
      </c>
      <c r="C106" s="553"/>
      <c r="D106" s="553"/>
      <c r="E106" s="553"/>
      <c r="F106" s="553"/>
      <c r="G106" s="553"/>
      <c r="H106" s="582"/>
      <c r="I106" s="582"/>
      <c r="J106" s="582"/>
      <c r="K106" s="583"/>
      <c r="L106" s="584"/>
      <c r="M106" s="585"/>
      <c r="N106" s="1153"/>
      <c r="O106" s="1153"/>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4"/>
      <c r="Q107" s="503"/>
    </row>
    <row r="108" spans="1:17" ht="15.75" thickTop="1">
      <c r="A108" s="533"/>
      <c r="B108" s="537" t="s">
        <v>2755</v>
      </c>
      <c r="C108" s="582"/>
      <c r="D108" s="582"/>
      <c r="E108" s="582"/>
      <c r="F108" s="582"/>
      <c r="G108" s="582"/>
      <c r="H108" s="582"/>
      <c r="I108" s="582"/>
      <c r="J108" s="582"/>
      <c r="K108" s="583"/>
      <c r="L108" s="584"/>
      <c r="M108" s="585"/>
      <c r="N108" s="1153"/>
      <c r="O108" s="1153"/>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4"/>
      <c r="Q109" s="503"/>
    </row>
    <row r="110" spans="1:17" ht="15.75" thickTop="1">
      <c r="A110" s="533"/>
      <c r="B110" s="545">
        <f>B35</f>
        <v>111</v>
      </c>
      <c r="C110" s="553"/>
      <c r="D110" s="553"/>
      <c r="E110" s="553"/>
      <c r="F110" s="553"/>
      <c r="G110" s="586"/>
      <c r="H110" s="586"/>
      <c r="I110" s="586"/>
      <c r="J110" s="586"/>
      <c r="K110" s="587"/>
      <c r="L110" s="588"/>
      <c r="M110" s="589"/>
      <c r="N110" s="1153"/>
      <c r="O110" s="1153"/>
      <c r="P110" s="44"/>
      <c r="Q110" s="503"/>
    </row>
    <row r="111" spans="1:17" ht="15.75" thickBot="1">
      <c r="A111" s="533"/>
      <c r="B111" s="568"/>
      <c r="C111" s="559"/>
      <c r="D111" s="559"/>
      <c r="E111" s="559"/>
      <c r="F111" s="559"/>
      <c r="G111" s="590"/>
      <c r="H111" s="590"/>
      <c r="I111" s="590"/>
      <c r="J111" s="590"/>
      <c r="K111" s="590"/>
      <c r="L111" s="590"/>
      <c r="M111" s="591"/>
      <c r="N111" s="1154"/>
      <c r="O111" s="1154"/>
      <c r="P111" s="44"/>
      <c r="Q111" s="503"/>
    </row>
    <row r="112" spans="1:17" ht="15" thickTop="1">
      <c r="A112" s="674"/>
      <c r="B112" s="537">
        <f>B36</f>
        <v>111</v>
      </c>
      <c r="C112" s="522"/>
      <c r="D112" s="522"/>
      <c r="E112" s="522"/>
      <c r="F112" s="522"/>
      <c r="G112" s="582"/>
      <c r="H112" s="582"/>
      <c r="I112" s="582"/>
      <c r="J112" s="582"/>
      <c r="K112" s="583"/>
      <c r="L112" s="584"/>
      <c r="M112" s="585"/>
      <c r="N112" s="1153"/>
      <c r="O112" s="1153"/>
      <c r="P112" s="44"/>
      <c r="Q112" s="503"/>
    </row>
    <row r="113" spans="1:17" ht="15.75" thickBot="1">
      <c r="A113" s="533"/>
      <c r="B113" s="542"/>
      <c r="C113" s="569"/>
      <c r="D113" s="569"/>
      <c r="E113" s="569"/>
      <c r="F113" s="569"/>
      <c r="G113" s="535"/>
      <c r="H113" s="535"/>
      <c r="I113" s="535"/>
      <c r="J113" s="535"/>
      <c r="K113" s="535"/>
      <c r="L113" s="535"/>
      <c r="M113" s="536"/>
      <c r="N113" s="1154"/>
      <c r="O113" s="1154"/>
      <c r="P113" s="44"/>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2568</v>
      </c>
      <c r="B116" s="527" t="s">
        <v>2796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4"/>
      <c r="Q116" s="503"/>
    </row>
    <row r="117" spans="1:17" ht="15">
      <c r="A117" s="533"/>
      <c r="B117" s="545"/>
      <c r="C117" s="594"/>
      <c r="D117" s="594"/>
      <c r="E117" s="594"/>
      <c r="F117" s="594"/>
      <c r="G117" s="594"/>
      <c r="H117" s="594"/>
      <c r="I117" s="594"/>
      <c r="J117" s="595"/>
      <c r="K117" s="595"/>
      <c r="L117" s="596"/>
      <c r="M117" s="597"/>
      <c r="N117" s="1153"/>
      <c r="O117" s="1153"/>
      <c r="P117" s="44"/>
      <c r="Q117" s="503"/>
    </row>
    <row r="118" spans="1:17" ht="15.75" thickBot="1">
      <c r="A118" s="533"/>
      <c r="B118" s="542"/>
      <c r="C118" s="569"/>
      <c r="D118" s="590"/>
      <c r="E118" s="590"/>
      <c r="F118" s="590"/>
      <c r="G118" s="590"/>
      <c r="H118" s="590"/>
      <c r="I118" s="590"/>
      <c r="J118" s="590"/>
      <c r="K118" s="590"/>
      <c r="L118" s="590"/>
      <c r="M118" s="591"/>
      <c r="N118" s="1154"/>
      <c r="O118" s="1154"/>
      <c r="P118" s="44"/>
      <c r="Q118" s="503"/>
    </row>
    <row r="119" spans="1:17" ht="15" thickTop="1">
      <c r="A119" s="598"/>
      <c r="B119" s="537" t="s">
        <v>2797</v>
      </c>
      <c r="C119" s="582"/>
      <c r="D119" s="582"/>
      <c r="E119" s="582"/>
      <c r="F119" s="582"/>
      <c r="G119" s="582"/>
      <c r="H119" s="582"/>
      <c r="I119" s="582"/>
      <c r="J119" s="582"/>
      <c r="K119" s="583"/>
      <c r="L119" s="584"/>
      <c r="M119" s="585"/>
      <c r="N119" s="1153"/>
      <c r="O119" s="1153"/>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4"/>
      <c r="Q120" s="503"/>
    </row>
    <row r="121" spans="1:17" ht="15" thickTop="1">
      <c r="A121" s="598"/>
      <c r="B121" s="537" t="s">
        <v>2798</v>
      </c>
      <c r="C121" s="553"/>
      <c r="D121" s="553"/>
      <c r="E121" s="553"/>
      <c r="F121" s="582"/>
      <c r="G121" s="582"/>
      <c r="H121" s="582"/>
      <c r="I121" s="582"/>
      <c r="J121" s="582"/>
      <c r="K121" s="583"/>
      <c r="L121" s="584"/>
      <c r="M121" s="585"/>
      <c r="N121" s="1153"/>
      <c r="O121" s="1153"/>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4"/>
      <c r="Q122" s="503"/>
    </row>
    <row r="123" spans="1:17" s="470" customFormat="1" ht="15" thickTop="1">
      <c r="A123" s="592"/>
      <c r="B123" s="537" t="s">
        <v>2799</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2800</v>
      </c>
      <c r="C125" s="553"/>
      <c r="D125" s="553"/>
      <c r="E125" s="582"/>
      <c r="F125" s="582"/>
      <c r="G125" s="582"/>
      <c r="H125" s="582"/>
      <c r="I125" s="582"/>
      <c r="J125" s="582"/>
      <c r="K125" s="583"/>
      <c r="L125" s="584"/>
      <c r="M125" s="585"/>
      <c r="N125" s="1153"/>
      <c r="O125" s="1153"/>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4"/>
      <c r="Q126" s="503"/>
    </row>
    <row r="127" spans="1:17" ht="15" thickTop="1">
      <c r="A127" s="598"/>
      <c r="B127" s="537">
        <f>B43</f>
        <v>111</v>
      </c>
      <c r="C127" s="553"/>
      <c r="D127" s="553"/>
      <c r="E127" s="553"/>
      <c r="F127" s="553"/>
      <c r="G127" s="553"/>
      <c r="H127" s="582"/>
      <c r="I127" s="582"/>
      <c r="J127" s="582"/>
      <c r="K127" s="583"/>
      <c r="L127" s="584"/>
      <c r="M127" s="585"/>
      <c r="N127" s="1153"/>
      <c r="O127" s="1153"/>
      <c r="P127" s="44"/>
      <c r="Q127" s="503"/>
    </row>
    <row r="128" spans="1:17" ht="15.75" thickBot="1">
      <c r="A128" s="533"/>
      <c r="B128" s="542"/>
      <c r="C128" s="559"/>
      <c r="D128" s="559"/>
      <c r="E128" s="559"/>
      <c r="F128" s="559"/>
      <c r="G128" s="535"/>
      <c r="H128" s="535"/>
      <c r="I128" s="535"/>
      <c r="J128" s="535"/>
      <c r="K128" s="535"/>
      <c r="L128" s="535"/>
      <c r="M128" s="536"/>
      <c r="N128" s="1154"/>
      <c r="O128" s="1154"/>
      <c r="P128" s="44"/>
      <c r="Q128" s="503"/>
    </row>
    <row r="129" spans="1:17" ht="15" thickTop="1">
      <c r="A129" s="598"/>
      <c r="B129" s="537">
        <f>B44</f>
        <v>111</v>
      </c>
      <c r="C129" s="522"/>
      <c r="D129" s="522"/>
      <c r="E129" s="522"/>
      <c r="F129" s="522"/>
      <c r="G129" s="582"/>
      <c r="H129" s="582"/>
      <c r="I129" s="582"/>
      <c r="J129" s="582"/>
      <c r="K129" s="583"/>
      <c r="L129" s="584"/>
      <c r="M129" s="585"/>
      <c r="N129" s="1153"/>
      <c r="O129" s="1153"/>
      <c r="P129" s="44"/>
      <c r="Q129" s="503"/>
    </row>
    <row r="130" spans="1:17" ht="15.75" thickBot="1">
      <c r="A130" s="533"/>
      <c r="B130" s="542"/>
      <c r="C130" s="569"/>
      <c r="D130" s="569"/>
      <c r="E130" s="569"/>
      <c r="F130" s="569"/>
      <c r="G130" s="535"/>
      <c r="H130" s="535"/>
      <c r="I130" s="535"/>
      <c r="J130" s="535"/>
      <c r="K130" s="535"/>
      <c r="L130" s="535"/>
      <c r="M130" s="536"/>
      <c r="N130" s="1154"/>
      <c r="O130" s="1154"/>
      <c r="P130" s="44"/>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2749</v>
      </c>
      <c r="B1" s="394"/>
      <c r="C1" s="395" t="s">
        <v>2801</v>
      </c>
      <c r="D1" s="753"/>
      <c r="E1" s="753"/>
      <c r="F1" s="752" t="s">
        <v>2648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2332</v>
      </c>
      <c r="B2" s="670"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2334</v>
      </c>
      <c r="B3" s="608" t="e">
        <f>ROUND(IF(D3="",B2*10000/'数据-汇总表'!E3,B2*10000/D3),0)</f>
        <v>#DIV/0!</v>
      </c>
      <c r="C3" s="246" t="s">
        <v>2751</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2650</v>
      </c>
      <c r="B4" s="401"/>
      <c r="C4" s="3205" t="s">
        <v>2651</v>
      </c>
      <c r="D4" s="3206"/>
      <c r="E4" s="3207" t="s">
        <v>2652</v>
      </c>
      <c r="F4" s="3208"/>
      <c r="G4" s="3205" t="s">
        <v>2653</v>
      </c>
      <c r="H4" s="3206"/>
      <c r="I4" s="3205" t="s">
        <v>2654</v>
      </c>
      <c r="J4" s="3206"/>
      <c r="K4" s="609" t="s">
        <v>2655</v>
      </c>
      <c r="L4" s="1131"/>
      <c r="M4" s="1132"/>
      <c r="N4" s="1132"/>
      <c r="O4" s="1132"/>
      <c r="P4" s="3209" t="s">
        <v>2656</v>
      </c>
      <c r="Q4" s="3210"/>
      <c r="R4" s="3192" t="s">
        <v>2652</v>
      </c>
      <c r="S4" s="3193"/>
      <c r="T4" s="3192" t="s">
        <v>2653</v>
      </c>
      <c r="U4" s="3193"/>
      <c r="V4" s="3217" t="s">
        <v>2654</v>
      </c>
      <c r="W4" s="3217"/>
      <c r="X4" s="1813"/>
      <c r="Y4" s="3192" t="s">
        <v>2656</v>
      </c>
      <c r="Z4" s="3193"/>
      <c r="AA4" s="3187" t="s">
        <v>2652</v>
      </c>
      <c r="AB4" s="3188" t="s">
        <v>2653</v>
      </c>
      <c r="AC4" s="3187" t="s">
        <v>2654</v>
      </c>
    </row>
    <row r="5" spans="1:29" ht="15">
      <c r="A5" s="403"/>
      <c r="B5" s="404"/>
      <c r="C5" s="3198" t="s">
        <v>2547</v>
      </c>
      <c r="D5" s="3199"/>
      <c r="E5" s="3196" t="s">
        <v>2548</v>
      </c>
      <c r="F5" s="3197"/>
      <c r="G5" s="3198" t="s">
        <v>2549</v>
      </c>
      <c r="H5" s="3199"/>
      <c r="I5" s="3198" t="s">
        <v>2550</v>
      </c>
      <c r="J5" s="3199"/>
      <c r="K5" s="609"/>
      <c r="L5" s="1131"/>
      <c r="M5" s="1132"/>
      <c r="N5" s="1132"/>
      <c r="O5" s="1132"/>
      <c r="P5" s="3211"/>
      <c r="Q5" s="3212"/>
      <c r="R5" s="3194"/>
      <c r="S5" s="3195"/>
      <c r="T5" s="3194"/>
      <c r="U5" s="3195"/>
      <c r="V5" s="3217"/>
      <c r="W5" s="3217"/>
      <c r="X5" s="1813"/>
      <c r="Y5" s="3194"/>
      <c r="Z5" s="3195"/>
      <c r="AA5" s="3188"/>
      <c r="AB5" s="3188"/>
      <c r="AC5" s="3188"/>
    </row>
    <row r="6" spans="1:29" ht="15.75" thickBot="1">
      <c r="A6" s="405"/>
      <c r="B6" s="406"/>
      <c r="C6" s="3255" t="s">
        <v>2802</v>
      </c>
      <c r="D6" s="3256"/>
      <c r="E6" s="3257" t="s">
        <v>2802</v>
      </c>
      <c r="F6" s="3258"/>
      <c r="G6" s="3255" t="s">
        <v>2802</v>
      </c>
      <c r="H6" s="3256"/>
      <c r="I6" s="3255" t="s">
        <v>2802</v>
      </c>
      <c r="J6" s="3256"/>
      <c r="K6" s="609" t="s">
        <v>2552</v>
      </c>
      <c r="L6" s="1131"/>
      <c r="M6" s="1132"/>
      <c r="N6" s="1132"/>
      <c r="O6" s="1132"/>
      <c r="P6" s="3213"/>
      <c r="Q6" s="3214"/>
      <c r="R6" s="3194"/>
      <c r="S6" s="3195"/>
      <c r="T6" s="3215"/>
      <c r="U6" s="3216"/>
      <c r="V6" s="3217"/>
      <c r="W6" s="3217"/>
      <c r="X6" s="1813"/>
      <c r="Y6" s="3215"/>
      <c r="Z6" s="3216"/>
      <c r="AA6" s="3189"/>
      <c r="AB6" s="3189"/>
      <c r="AC6" s="3189"/>
    </row>
    <row r="7" spans="1:29" s="116" customFormat="1" ht="15.75" thickBot="1">
      <c r="A7" s="407" t="s">
        <v>2553</v>
      </c>
      <c r="B7" s="408"/>
      <c r="C7" s="409">
        <f>'数据-取费表'!B2</f>
        <v>43432</v>
      </c>
      <c r="D7" s="410">
        <v>100</v>
      </c>
      <c r="E7" s="411"/>
      <c r="F7" s="412">
        <f>SUMIF(65:65,YEAR(E7)&amp;"-"&amp;INT((MONTH(E7)+2)/3),66:66)</f>
        <v>0</v>
      </c>
      <c r="G7" s="2694"/>
      <c r="H7" s="410">
        <f>SUMIF(65:65,YEAR(G7)&amp;"-"&amp;INT((MONTH(G7)+2)/3),66:66)</f>
        <v>0</v>
      </c>
      <c r="I7" s="2694"/>
      <c r="J7" s="410">
        <f>SUMIF(65:65,YEAR(I7)&amp;"-"&amp;INT((MONTH(I7)+2)/3),66:66)</f>
        <v>0</v>
      </c>
      <c r="K7" s="610"/>
      <c r="L7" s="1133"/>
      <c r="M7" s="1134"/>
      <c r="N7" s="1134"/>
      <c r="O7" s="1134"/>
      <c r="P7" s="3190" t="s">
        <v>2554</v>
      </c>
      <c r="Q7" s="3218"/>
      <c r="R7" s="768" t="s">
        <v>17</v>
      </c>
      <c r="S7" s="769">
        <f t="shared" ref="S7:S15" si="0">F7</f>
        <v>0</v>
      </c>
      <c r="T7" s="768" t="s">
        <v>17</v>
      </c>
      <c r="U7" s="769">
        <f t="shared" ref="U7:U15" si="1">H7</f>
        <v>0</v>
      </c>
      <c r="V7" s="768" t="s">
        <v>17</v>
      </c>
      <c r="W7" s="769">
        <f t="shared" ref="W7:W15" si="2">J7</f>
        <v>0</v>
      </c>
      <c r="X7" s="770"/>
      <c r="Y7" s="3190" t="s">
        <v>2554</v>
      </c>
      <c r="Z7" s="3191"/>
      <c r="AA7" s="771" t="e">
        <f>D7/F7</f>
        <v>#DIV/0!</v>
      </c>
      <c r="AB7" s="771" t="e">
        <f>D7/H7</f>
        <v>#DIV/0!</v>
      </c>
      <c r="AC7" s="771" t="e">
        <f>D7/J7</f>
        <v>#DIV/0!</v>
      </c>
    </row>
    <row r="8" spans="1:29" s="116" customFormat="1" ht="15.75" thickBot="1">
      <c r="A8" s="407" t="s">
        <v>2555</v>
      </c>
      <c r="B8" s="408"/>
      <c r="C8" s="413" t="s">
        <v>2556</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190" t="s">
        <v>2557</v>
      </c>
      <c r="Q8" s="3191"/>
      <c r="R8" s="768" t="s">
        <v>17</v>
      </c>
      <c r="S8" s="769">
        <f t="shared" si="0"/>
        <v>0</v>
      </c>
      <c r="T8" s="768" t="s">
        <v>17</v>
      </c>
      <c r="U8" s="769">
        <f t="shared" si="1"/>
        <v>0</v>
      </c>
      <c r="V8" s="768" t="s">
        <v>17</v>
      </c>
      <c r="W8" s="769">
        <f t="shared" si="2"/>
        <v>0</v>
      </c>
      <c r="X8" s="770"/>
      <c r="Y8" s="3190" t="s">
        <v>2557</v>
      </c>
      <c r="Z8" s="3191"/>
      <c r="AA8" s="771" t="e">
        <f t="shared" ref="AA8:AA40" si="3">D8/F8</f>
        <v>#DIV/0!</v>
      </c>
      <c r="AB8" s="771" t="e">
        <f t="shared" ref="AB8:AB40" si="4">D8/H8</f>
        <v>#DIV/0!</v>
      </c>
      <c r="AC8" s="771" t="e">
        <f t="shared" ref="AC8:AC40" si="5">D8/J8</f>
        <v>#DIV/0!</v>
      </c>
    </row>
    <row r="9" spans="1:29" s="116" customFormat="1">
      <c r="A9" s="414" t="s">
        <v>2558</v>
      </c>
      <c r="B9" s="70" t="s">
        <v>2559</v>
      </c>
      <c r="C9" s="2697"/>
      <c r="D9" s="134">
        <v>100</v>
      </c>
      <c r="E9" s="2697"/>
      <c r="F9" s="134">
        <f>SUMIF(70:70,E9,71:71)-SUMIF(70:70,C9,71:71)+100</f>
        <v>100</v>
      </c>
      <c r="G9" s="2697"/>
      <c r="H9" s="134">
        <f>SUMIF(70:70,G9,71:71)-SUMIF(70:70,C9,71:71)+100</f>
        <v>100</v>
      </c>
      <c r="I9" s="2697"/>
      <c r="J9" s="134">
        <f>SUMIF(70:70,I9,71:71)-SUMIF(70:70,C9,71:71)+100</f>
        <v>100</v>
      </c>
      <c r="K9" s="610"/>
      <c r="L9" s="1133"/>
      <c r="M9" s="1134"/>
      <c r="N9" s="1134"/>
      <c r="O9" s="1135"/>
      <c r="P9" s="3222" t="s">
        <v>2560</v>
      </c>
      <c r="Q9" s="1795" t="str">
        <f t="shared" ref="Q9:Q15" si="6">B9</f>
        <v>用途</v>
      </c>
      <c r="R9" s="768" t="s">
        <v>17</v>
      </c>
      <c r="S9" s="769">
        <f t="shared" si="0"/>
        <v>100</v>
      </c>
      <c r="T9" s="768" t="s">
        <v>17</v>
      </c>
      <c r="U9" s="769">
        <f t="shared" si="1"/>
        <v>100</v>
      </c>
      <c r="V9" s="768" t="s">
        <v>17</v>
      </c>
      <c r="W9" s="769">
        <f t="shared" si="2"/>
        <v>100</v>
      </c>
      <c r="X9" s="770"/>
      <c r="Y9" s="3037" t="s">
        <v>2561</v>
      </c>
      <c r="Z9" s="54" t="str">
        <f t="shared" ref="Z9:Z15" si="7">Q9</f>
        <v>用途</v>
      </c>
      <c r="AA9" s="771">
        <f t="shared" si="3"/>
        <v>1</v>
      </c>
      <c r="AB9" s="771">
        <f t="shared" si="4"/>
        <v>1</v>
      </c>
      <c r="AC9" s="771">
        <f t="shared" si="5"/>
        <v>1</v>
      </c>
    </row>
    <row r="10" spans="1:29" s="426" customFormat="1" ht="27">
      <c r="A10" s="420"/>
      <c r="B10" s="421" t="s">
        <v>2562</v>
      </c>
      <c r="C10" s="431"/>
      <c r="D10" s="135">
        <v>100</v>
      </c>
      <c r="E10" s="431"/>
      <c r="F10" s="135">
        <f>ROUND(100/'数据-取费表'!G16,0)</f>
        <v>104</v>
      </c>
      <c r="G10" s="431"/>
      <c r="H10" s="135">
        <f>ROUND(100/'数据-取费表'!G16,0)</f>
        <v>104</v>
      </c>
      <c r="I10" s="431"/>
      <c r="J10" s="135">
        <f>ROUND(100/'数据-取费表'!G16,0)</f>
        <v>104</v>
      </c>
      <c r="K10" s="671"/>
      <c r="L10" s="1136"/>
      <c r="M10" s="1137"/>
      <c r="N10" s="1137"/>
      <c r="O10" s="1138"/>
      <c r="P10" s="3222"/>
      <c r="Q10" s="1795" t="str">
        <f t="shared" si="6"/>
        <v>土地使用年限（年）</v>
      </c>
      <c r="R10" s="768" t="s">
        <v>17</v>
      </c>
      <c r="S10" s="769">
        <f t="shared" si="0"/>
        <v>104</v>
      </c>
      <c r="T10" s="768" t="s">
        <v>17</v>
      </c>
      <c r="U10" s="769">
        <f t="shared" si="1"/>
        <v>104</v>
      </c>
      <c r="V10" s="768" t="s">
        <v>17</v>
      </c>
      <c r="W10" s="769">
        <f t="shared" si="2"/>
        <v>104</v>
      </c>
      <c r="X10" s="770"/>
      <c r="Y10" s="3037"/>
      <c r="Z10" s="54" t="str">
        <f t="shared" si="7"/>
        <v>土地使用年限（年）</v>
      </c>
      <c r="AA10" s="771">
        <f t="shared" si="3"/>
        <v>0.96153846153846156</v>
      </c>
      <c r="AB10" s="771">
        <f t="shared" si="4"/>
        <v>0.96153846153846156</v>
      </c>
      <c r="AC10" s="771">
        <f t="shared" si="5"/>
        <v>0.96153846153846156</v>
      </c>
    </row>
    <row r="11" spans="1:29" ht="15">
      <c r="A11" s="427"/>
      <c r="B11" s="421" t="s">
        <v>2563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222"/>
      <c r="Q11" s="1795" t="str">
        <f t="shared" si="6"/>
        <v>容积率</v>
      </c>
      <c r="R11" s="768" t="s">
        <v>17</v>
      </c>
      <c r="S11" s="769" t="e">
        <f t="shared" si="0"/>
        <v>#N/A</v>
      </c>
      <c r="T11" s="768" t="s">
        <v>17</v>
      </c>
      <c r="U11" s="769" t="e">
        <f t="shared" si="1"/>
        <v>#N/A</v>
      </c>
      <c r="V11" s="768" t="s">
        <v>17</v>
      </c>
      <c r="W11" s="769" t="e">
        <f t="shared" si="2"/>
        <v>#N/A</v>
      </c>
      <c r="X11" s="770"/>
      <c r="Y11" s="3037"/>
      <c r="Z11" s="54" t="str">
        <f t="shared" si="7"/>
        <v>容积率</v>
      </c>
      <c r="AA11" s="771" t="e">
        <f t="shared" si="3"/>
        <v>#N/A</v>
      </c>
      <c r="AB11" s="771" t="e">
        <f t="shared" si="4"/>
        <v>#N/A</v>
      </c>
      <c r="AC11" s="771" t="e">
        <f t="shared" si="5"/>
        <v>#N/A</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222"/>
      <c r="Q12" s="1795">
        <f t="shared" si="6"/>
        <v>111</v>
      </c>
      <c r="R12" s="768" t="s">
        <v>17</v>
      </c>
      <c r="S12" s="769">
        <f t="shared" si="0"/>
        <v>100</v>
      </c>
      <c r="T12" s="768" t="s">
        <v>17</v>
      </c>
      <c r="U12" s="769">
        <f t="shared" si="1"/>
        <v>100</v>
      </c>
      <c r="V12" s="768" t="s">
        <v>17</v>
      </c>
      <c r="W12" s="769">
        <f t="shared" si="2"/>
        <v>100</v>
      </c>
      <c r="X12" s="770"/>
      <c r="Y12" s="3037"/>
      <c r="Z12" s="54">
        <f t="shared" si="7"/>
        <v>111</v>
      </c>
      <c r="AA12" s="771">
        <f>D12/F12</f>
        <v>1</v>
      </c>
      <c r="AB12" s="771">
        <f>D12/H12</f>
        <v>1</v>
      </c>
      <c r="AC12" s="771">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222"/>
      <c r="Q13" s="1795">
        <f t="shared" si="6"/>
        <v>111</v>
      </c>
      <c r="R13" s="768" t="s">
        <v>17</v>
      </c>
      <c r="S13" s="769">
        <f t="shared" si="0"/>
        <v>100</v>
      </c>
      <c r="T13" s="768" t="s">
        <v>17</v>
      </c>
      <c r="U13" s="769">
        <f t="shared" si="1"/>
        <v>100</v>
      </c>
      <c r="V13" s="768" t="s">
        <v>17</v>
      </c>
      <c r="W13" s="769">
        <f t="shared" si="2"/>
        <v>100</v>
      </c>
      <c r="X13" s="770"/>
      <c r="Y13" s="3037"/>
      <c r="Z13" s="54">
        <f t="shared" si="7"/>
        <v>111</v>
      </c>
      <c r="AA13" s="771">
        <f t="shared" si="3"/>
        <v>1</v>
      </c>
      <c r="AB13" s="771">
        <f t="shared" si="4"/>
        <v>1</v>
      </c>
      <c r="AC13" s="771">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222"/>
      <c r="Q14" s="1795">
        <f t="shared" si="6"/>
        <v>111</v>
      </c>
      <c r="R14" s="768" t="s">
        <v>17</v>
      </c>
      <c r="S14" s="769">
        <f t="shared" si="0"/>
        <v>100</v>
      </c>
      <c r="T14" s="768" t="s">
        <v>17</v>
      </c>
      <c r="U14" s="769">
        <f t="shared" si="1"/>
        <v>100</v>
      </c>
      <c r="V14" s="768" t="s">
        <v>17</v>
      </c>
      <c r="W14" s="769">
        <f t="shared" si="2"/>
        <v>100</v>
      </c>
      <c r="X14" s="770"/>
      <c r="Y14" s="3037"/>
      <c r="Z14" s="54">
        <f t="shared" si="7"/>
        <v>111</v>
      </c>
      <c r="AA14" s="771">
        <f t="shared" si="3"/>
        <v>1</v>
      </c>
      <c r="AB14" s="771">
        <f t="shared" si="4"/>
        <v>1</v>
      </c>
      <c r="AC14" s="771">
        <f t="shared" si="5"/>
        <v>1</v>
      </c>
    </row>
    <row r="15" spans="1:29" ht="57">
      <c r="A15" s="439" t="s">
        <v>2564</v>
      </c>
      <c r="B15" s="628" t="s">
        <v>2803</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224" t="s">
        <v>2565</v>
      </c>
      <c r="Q15" s="1810" t="str">
        <f t="shared" si="6"/>
        <v>产业集聚程度</v>
      </c>
      <c r="R15" s="772" t="s">
        <v>17</v>
      </c>
      <c r="S15" s="773">
        <f t="shared" si="0"/>
        <v>100</v>
      </c>
      <c r="T15" s="772" t="s">
        <v>17</v>
      </c>
      <c r="U15" s="773">
        <f t="shared" si="1"/>
        <v>100</v>
      </c>
      <c r="V15" s="772" t="s">
        <v>17</v>
      </c>
      <c r="W15" s="773">
        <f t="shared" si="2"/>
        <v>100</v>
      </c>
      <c r="X15" s="1813"/>
      <c r="Y15" s="3224" t="s">
        <v>2565</v>
      </c>
      <c r="Z15" s="1814" t="str">
        <f t="shared" si="7"/>
        <v>产业集聚程度</v>
      </c>
      <c r="AA15" s="1811">
        <f t="shared" si="3"/>
        <v>1</v>
      </c>
      <c r="AB15" s="1811">
        <f t="shared" si="4"/>
        <v>1</v>
      </c>
      <c r="AC15" s="1811">
        <f t="shared" si="5"/>
        <v>1</v>
      </c>
    </row>
    <row r="16" spans="1:29" ht="15">
      <c r="A16" s="427"/>
      <c r="B16" s="629"/>
      <c r="C16" s="446"/>
      <c r="D16" s="447"/>
      <c r="E16" s="2610"/>
      <c r="F16" s="447"/>
      <c r="G16" s="2610"/>
      <c r="H16" s="449"/>
      <c r="I16" s="2610"/>
      <c r="J16" s="447"/>
      <c r="K16" s="671"/>
      <c r="L16" s="1141"/>
      <c r="M16" s="1132"/>
      <c r="N16" s="1132"/>
      <c r="O16" s="1140"/>
      <c r="P16" s="3225"/>
      <c r="Q16" s="1810"/>
      <c r="R16" s="772"/>
      <c r="S16" s="773"/>
      <c r="T16" s="772"/>
      <c r="U16" s="773"/>
      <c r="V16" s="772"/>
      <c r="W16" s="773"/>
      <c r="X16" s="1813"/>
      <c r="Y16" s="3225"/>
      <c r="Z16" s="1814"/>
      <c r="AA16" s="1811">
        <v>1</v>
      </c>
      <c r="AB16" s="1811">
        <v>1</v>
      </c>
      <c r="AC16" s="1811">
        <v>1</v>
      </c>
    </row>
    <row r="17" spans="1:29" ht="85.5">
      <c r="A17" s="427"/>
      <c r="B17" s="630" t="s">
        <v>2714</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225"/>
      <c r="Q17" s="1810" t="str">
        <f>B17</f>
        <v>交通便捷度</v>
      </c>
      <c r="R17" s="772" t="s">
        <v>17</v>
      </c>
      <c r="S17" s="773">
        <f>F17</f>
        <v>100</v>
      </c>
      <c r="T17" s="772" t="s">
        <v>17</v>
      </c>
      <c r="U17" s="773">
        <f>H17</f>
        <v>100</v>
      </c>
      <c r="V17" s="772" t="s">
        <v>17</v>
      </c>
      <c r="W17" s="773">
        <f>J17</f>
        <v>100</v>
      </c>
      <c r="X17" s="1813"/>
      <c r="Y17" s="3225"/>
      <c r="Z17" s="1814" t="str">
        <f>Q17</f>
        <v>交通便捷度</v>
      </c>
      <c r="AA17" s="1811">
        <f t="shared" si="3"/>
        <v>1</v>
      </c>
      <c r="AB17" s="1811">
        <f t="shared" si="4"/>
        <v>1</v>
      </c>
      <c r="AC17" s="1811">
        <f t="shared" si="5"/>
        <v>1</v>
      </c>
    </row>
    <row r="18" spans="1:29" ht="15">
      <c r="A18" s="427"/>
      <c r="B18" s="631"/>
      <c r="C18" s="446"/>
      <c r="D18" s="447"/>
      <c r="E18" s="2604"/>
      <c r="F18" s="447"/>
      <c r="G18" s="2604"/>
      <c r="H18" s="447"/>
      <c r="I18" s="2603"/>
      <c r="J18" s="447"/>
      <c r="K18" s="671"/>
      <c r="L18" s="1141"/>
      <c r="M18" s="1132"/>
      <c r="N18" s="1132"/>
      <c r="O18" s="1140"/>
      <c r="P18" s="3225"/>
      <c r="Q18" s="1810"/>
      <c r="R18" s="772"/>
      <c r="S18" s="773"/>
      <c r="T18" s="772"/>
      <c r="U18" s="773"/>
      <c r="V18" s="772"/>
      <c r="W18" s="773"/>
      <c r="X18" s="1813"/>
      <c r="Y18" s="3225"/>
      <c r="Z18" s="1814"/>
      <c r="AA18" s="1811">
        <v>1</v>
      </c>
      <c r="AB18" s="1811">
        <v>1</v>
      </c>
      <c r="AC18" s="1811">
        <v>1</v>
      </c>
    </row>
    <row r="19" spans="1:29" ht="15">
      <c r="A19" s="427"/>
      <c r="B19" s="630" t="s">
        <v>2753</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225"/>
      <c r="Q19" s="1810" t="str">
        <f t="shared" ref="Q19:Q33" si="8">B19</f>
        <v>区域土地利用方向</v>
      </c>
      <c r="R19" s="772" t="s">
        <v>17</v>
      </c>
      <c r="S19" s="773">
        <f>F19</f>
        <v>100</v>
      </c>
      <c r="T19" s="772" t="s">
        <v>17</v>
      </c>
      <c r="U19" s="773">
        <f>H19</f>
        <v>100</v>
      </c>
      <c r="V19" s="772" t="s">
        <v>17</v>
      </c>
      <c r="W19" s="773">
        <f>J19</f>
        <v>100</v>
      </c>
      <c r="X19" s="1813"/>
      <c r="Y19" s="3225"/>
      <c r="Z19" s="1814" t="str">
        <f>Q19</f>
        <v>区域土地利用方向</v>
      </c>
      <c r="AA19" s="1811">
        <f t="shared" si="3"/>
        <v>1</v>
      </c>
      <c r="AB19" s="1811">
        <f t="shared" si="4"/>
        <v>1</v>
      </c>
      <c r="AC19" s="1811">
        <f t="shared" si="5"/>
        <v>1</v>
      </c>
    </row>
    <row r="20" spans="1:29" ht="15">
      <c r="A20" s="403"/>
      <c r="B20" s="631"/>
      <c r="C20" s="446"/>
      <c r="D20" s="447"/>
      <c r="E20" s="2604"/>
      <c r="F20" s="447"/>
      <c r="G20" s="2604"/>
      <c r="H20" s="447"/>
      <c r="I20" s="2604"/>
      <c r="J20" s="447"/>
      <c r="K20" s="810"/>
      <c r="L20" s="1141"/>
      <c r="M20" s="1132"/>
      <c r="N20" s="1132"/>
      <c r="O20" s="1140"/>
      <c r="P20" s="3225"/>
      <c r="Q20" s="1810"/>
      <c r="R20" s="772"/>
      <c r="S20" s="773"/>
      <c r="T20" s="772"/>
      <c r="U20" s="773"/>
      <c r="V20" s="772"/>
      <c r="W20" s="773"/>
      <c r="X20" s="1813"/>
      <c r="Y20" s="3225"/>
      <c r="Z20" s="1814"/>
      <c r="AA20" s="1811"/>
      <c r="AB20" s="1811"/>
      <c r="AC20" s="1811"/>
    </row>
    <row r="21" spans="1:29" ht="71.25">
      <c r="A21" s="403"/>
      <c r="B21" s="630" t="s">
        <v>2804</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225"/>
      <c r="Q21" s="1810" t="str">
        <f t="shared" si="8"/>
        <v>环境状况</v>
      </c>
      <c r="R21" s="772" t="s">
        <v>17</v>
      </c>
      <c r="S21" s="773">
        <f>F21</f>
        <v>100</v>
      </c>
      <c r="T21" s="772" t="s">
        <v>17</v>
      </c>
      <c r="U21" s="773">
        <f>H21</f>
        <v>100</v>
      </c>
      <c r="V21" s="772" t="s">
        <v>17</v>
      </c>
      <c r="W21" s="773">
        <f>J21</f>
        <v>100</v>
      </c>
      <c r="X21" s="1813"/>
      <c r="Y21" s="3225"/>
      <c r="Z21" s="1814" t="str">
        <f>Q21</f>
        <v>环境状况</v>
      </c>
      <c r="AA21" s="1811">
        <f t="shared" si="3"/>
        <v>1</v>
      </c>
      <c r="AB21" s="1811">
        <f t="shared" si="4"/>
        <v>1</v>
      </c>
      <c r="AC21" s="1811">
        <f t="shared" si="5"/>
        <v>1</v>
      </c>
    </row>
    <row r="22" spans="1:29" ht="15">
      <c r="A22" s="403"/>
      <c r="B22" s="631"/>
      <c r="C22" s="446"/>
      <c r="D22" s="447"/>
      <c r="E22" s="2610"/>
      <c r="F22" s="447"/>
      <c r="G22" s="2610"/>
      <c r="H22" s="447"/>
      <c r="I22" s="446"/>
      <c r="J22" s="447"/>
      <c r="K22" s="671"/>
      <c r="L22" s="1141"/>
      <c r="M22" s="1132"/>
      <c r="N22" s="1132"/>
      <c r="O22" s="1140"/>
      <c r="P22" s="3225"/>
      <c r="Q22" s="1810"/>
      <c r="R22" s="772"/>
      <c r="S22" s="773"/>
      <c r="T22" s="772"/>
      <c r="U22" s="773"/>
      <c r="V22" s="772"/>
      <c r="W22" s="773"/>
      <c r="X22" s="1813"/>
      <c r="Y22" s="3225"/>
      <c r="Z22" s="1814"/>
      <c r="AA22" s="1811">
        <v>1</v>
      </c>
      <c r="AB22" s="1811">
        <v>1</v>
      </c>
      <c r="AC22" s="1811">
        <v>1</v>
      </c>
    </row>
    <row r="23" spans="1:29" s="116" customFormat="1" ht="42.75">
      <c r="A23" s="648"/>
      <c r="B23" s="632" t="s">
        <v>2659</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225"/>
      <c r="Q23" s="1795" t="str">
        <f t="shared" si="8"/>
        <v>公共配套设施</v>
      </c>
      <c r="R23" s="768" t="s">
        <v>17</v>
      </c>
      <c r="S23" s="769">
        <f>F23</f>
        <v>100</v>
      </c>
      <c r="T23" s="768" t="s">
        <v>17</v>
      </c>
      <c r="U23" s="769">
        <f>H23</f>
        <v>100</v>
      </c>
      <c r="V23" s="768" t="s">
        <v>17</v>
      </c>
      <c r="W23" s="769">
        <f>J23</f>
        <v>100</v>
      </c>
      <c r="X23" s="770"/>
      <c r="Y23" s="3225"/>
      <c r="Z23" s="54" t="str">
        <f>Q23</f>
        <v>公共配套设施</v>
      </c>
      <c r="AA23" s="1811">
        <f>D23/F23</f>
        <v>1</v>
      </c>
      <c r="AB23" s="1811">
        <f>D23/H23</f>
        <v>1</v>
      </c>
      <c r="AC23" s="1811">
        <f>D23/J23</f>
        <v>1</v>
      </c>
    </row>
    <row r="24" spans="1:29" s="116" customFormat="1" ht="15">
      <c r="A24" s="648"/>
      <c r="B24" s="631"/>
      <c r="C24" s="2698"/>
      <c r="D24" s="447"/>
      <c r="E24" s="2610"/>
      <c r="F24" s="447"/>
      <c r="G24" s="2610"/>
      <c r="H24" s="447"/>
      <c r="I24" s="446"/>
      <c r="J24" s="447"/>
      <c r="K24" s="671"/>
      <c r="L24" s="1133"/>
      <c r="M24" s="1134"/>
      <c r="N24" s="1134"/>
      <c r="O24" s="1135"/>
      <c r="P24" s="3225"/>
      <c r="Q24" s="1795"/>
      <c r="R24" s="768"/>
      <c r="S24" s="769"/>
      <c r="T24" s="768"/>
      <c r="U24" s="769"/>
      <c r="V24" s="768"/>
      <c r="W24" s="769"/>
      <c r="X24" s="770"/>
      <c r="Y24" s="3225"/>
      <c r="Z24" s="54"/>
      <c r="AA24" s="771">
        <v>1</v>
      </c>
      <c r="AB24" s="771">
        <v>1</v>
      </c>
      <c r="AC24" s="771">
        <v>1</v>
      </c>
    </row>
    <row r="25" spans="1:29" s="116" customFormat="1" ht="28.5">
      <c r="A25" s="648"/>
      <c r="B25" s="632" t="s">
        <v>2660</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225"/>
      <c r="Q25" s="1795" t="str">
        <f t="shared" ref="Q25" si="9">B25</f>
        <v>基础设施水平</v>
      </c>
      <c r="R25" s="768" t="s">
        <v>17</v>
      </c>
      <c r="S25" s="769">
        <f>F25</f>
        <v>100</v>
      </c>
      <c r="T25" s="768" t="s">
        <v>17</v>
      </c>
      <c r="U25" s="769">
        <f>H25</f>
        <v>100</v>
      </c>
      <c r="V25" s="768" t="s">
        <v>17</v>
      </c>
      <c r="W25" s="769">
        <f>J25</f>
        <v>100</v>
      </c>
      <c r="X25" s="770"/>
      <c r="Y25" s="3225"/>
      <c r="Z25" s="54" t="str">
        <f>Q25</f>
        <v>基础设施水平</v>
      </c>
      <c r="AA25" s="1811">
        <f>D25/F25</f>
        <v>1</v>
      </c>
      <c r="AB25" s="1811">
        <f>D25/H25</f>
        <v>1</v>
      </c>
      <c r="AC25" s="1811">
        <f>D25/J25</f>
        <v>1</v>
      </c>
    </row>
    <row r="26" spans="1:29" s="116" customFormat="1" ht="15">
      <c r="A26" s="648"/>
      <c r="B26" s="631"/>
      <c r="C26" s="2698"/>
      <c r="D26" s="447"/>
      <c r="E26" s="2699"/>
      <c r="F26" s="447"/>
      <c r="G26" s="2699"/>
      <c r="H26" s="447"/>
      <c r="I26" s="2699"/>
      <c r="J26" s="447"/>
      <c r="K26" s="671"/>
      <c r="L26" s="1133"/>
      <c r="M26" s="1134"/>
      <c r="N26" s="1134"/>
      <c r="O26" s="1135"/>
      <c r="P26" s="3225"/>
      <c r="Q26" s="1795"/>
      <c r="R26" s="768"/>
      <c r="S26" s="769"/>
      <c r="T26" s="768"/>
      <c r="U26" s="769"/>
      <c r="V26" s="768"/>
      <c r="W26" s="769"/>
      <c r="X26" s="770"/>
      <c r="Y26" s="3225"/>
      <c r="Z26" s="54"/>
      <c r="AA26" s="771">
        <v>1</v>
      </c>
      <c r="AB26" s="771">
        <v>1</v>
      </c>
      <c r="AC26" s="771">
        <v>1</v>
      </c>
    </row>
    <row r="27" spans="1:29" ht="15">
      <c r="A27" s="427"/>
      <c r="B27" s="631" t="s">
        <v>2661</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225"/>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225"/>
      <c r="Z27" s="1814" t="str">
        <f t="shared" ref="Z27:Z40" si="13">Q27</f>
        <v>临街状况</v>
      </c>
      <c r="AA27" s="1811">
        <f t="shared" si="3"/>
        <v>1</v>
      </c>
      <c r="AB27" s="1811">
        <f t="shared" si="4"/>
        <v>1</v>
      </c>
      <c r="AC27" s="1811">
        <f t="shared" si="5"/>
        <v>1</v>
      </c>
    </row>
    <row r="28" spans="1:29" ht="27">
      <c r="A28" s="427"/>
      <c r="B28" s="632" t="s">
        <v>2696</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225"/>
      <c r="Q28" s="1810" t="str">
        <f t="shared" si="8"/>
        <v>毗邻道路的类型与等级</v>
      </c>
      <c r="R28" s="772" t="s">
        <v>17</v>
      </c>
      <c r="S28" s="773">
        <f t="shared" si="10"/>
        <v>100</v>
      </c>
      <c r="T28" s="772" t="s">
        <v>17</v>
      </c>
      <c r="U28" s="773">
        <f t="shared" si="11"/>
        <v>100</v>
      </c>
      <c r="V28" s="772" t="s">
        <v>17</v>
      </c>
      <c r="W28" s="773">
        <f t="shared" si="12"/>
        <v>100</v>
      </c>
      <c r="X28" s="1813"/>
      <c r="Y28" s="3225"/>
      <c r="Z28" s="1814" t="str">
        <f t="shared" si="13"/>
        <v>毗邻道路的类型与等级</v>
      </c>
      <c r="AA28" s="1811">
        <f t="shared" si="3"/>
        <v>1</v>
      </c>
      <c r="AB28" s="1811">
        <f t="shared" si="4"/>
        <v>1</v>
      </c>
      <c r="AC28" s="1811">
        <f t="shared" si="5"/>
        <v>1</v>
      </c>
    </row>
    <row r="29" spans="1:29" ht="15">
      <c r="A29" s="427"/>
      <c r="B29" s="631"/>
      <c r="C29" s="446"/>
      <c r="D29" s="447"/>
      <c r="E29" s="2610"/>
      <c r="F29" s="447"/>
      <c r="G29" s="2610"/>
      <c r="H29" s="447"/>
      <c r="I29" s="2610"/>
      <c r="J29" s="447"/>
      <c r="K29" s="612"/>
      <c r="L29" s="1141"/>
      <c r="M29" s="1132"/>
      <c r="N29" s="1132"/>
      <c r="O29" s="1140"/>
      <c r="P29" s="3225"/>
      <c r="Q29" s="1810"/>
      <c r="R29" s="772"/>
      <c r="S29" s="773"/>
      <c r="T29" s="772"/>
      <c r="U29" s="773"/>
      <c r="V29" s="772"/>
      <c r="W29" s="773"/>
      <c r="X29" s="1813"/>
      <c r="Y29" s="3225"/>
      <c r="Z29" s="1814"/>
      <c r="AA29" s="1811">
        <v>1</v>
      </c>
      <c r="AB29" s="1811">
        <v>1</v>
      </c>
      <c r="AC29" s="1811">
        <v>1</v>
      </c>
    </row>
    <row r="30" spans="1:29" ht="15">
      <c r="A30" s="427"/>
      <c r="B30" s="653" t="s">
        <v>2755</v>
      </c>
      <c r="C30" s="1389">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225"/>
      <c r="Q30" s="1810" t="str">
        <f t="shared" si="8"/>
        <v>土地级别</v>
      </c>
      <c r="R30" s="772" t="s">
        <v>17</v>
      </c>
      <c r="S30" s="773">
        <f t="shared" si="10"/>
        <v>100</v>
      </c>
      <c r="T30" s="772" t="s">
        <v>17</v>
      </c>
      <c r="U30" s="773">
        <f t="shared" si="11"/>
        <v>100</v>
      </c>
      <c r="V30" s="772" t="s">
        <v>17</v>
      </c>
      <c r="W30" s="773">
        <f t="shared" si="12"/>
        <v>100</v>
      </c>
      <c r="X30" s="1813"/>
      <c r="Y30" s="3225"/>
      <c r="Z30" s="1814" t="str">
        <f t="shared" si="13"/>
        <v>土地级别</v>
      </c>
      <c r="AA30" s="1811">
        <f t="shared" si="3"/>
        <v>1</v>
      </c>
      <c r="AB30" s="1811">
        <f t="shared" si="4"/>
        <v>1</v>
      </c>
      <c r="AC30" s="1811">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25"/>
      <c r="Q31" s="1810">
        <f t="shared" si="8"/>
        <v>111</v>
      </c>
      <c r="R31" s="772" t="s">
        <v>17</v>
      </c>
      <c r="S31" s="773">
        <f t="shared" si="10"/>
        <v>100</v>
      </c>
      <c r="T31" s="772" t="s">
        <v>17</v>
      </c>
      <c r="U31" s="773">
        <f t="shared" si="11"/>
        <v>100</v>
      </c>
      <c r="V31" s="772" t="s">
        <v>17</v>
      </c>
      <c r="W31" s="773">
        <f t="shared" si="12"/>
        <v>100</v>
      </c>
      <c r="X31" s="1813"/>
      <c r="Y31" s="3225"/>
      <c r="Z31" s="1814">
        <f t="shared" si="13"/>
        <v>111</v>
      </c>
      <c r="AA31" s="1811">
        <f t="shared" si="3"/>
        <v>1</v>
      </c>
      <c r="AB31" s="1811">
        <f t="shared" si="4"/>
        <v>1</v>
      </c>
      <c r="AC31" s="1811">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50" t="s">
        <v>2570</v>
      </c>
      <c r="Q32" s="1810">
        <f t="shared" si="8"/>
        <v>111</v>
      </c>
      <c r="R32" s="772" t="s">
        <v>17</v>
      </c>
      <c r="S32" s="773">
        <f t="shared" si="10"/>
        <v>100</v>
      </c>
      <c r="T32" s="772" t="s">
        <v>17</v>
      </c>
      <c r="U32" s="773">
        <f t="shared" si="11"/>
        <v>100</v>
      </c>
      <c r="V32" s="772" t="s">
        <v>17</v>
      </c>
      <c r="W32" s="773">
        <f t="shared" si="12"/>
        <v>100</v>
      </c>
      <c r="X32" s="1813"/>
      <c r="Y32" s="3229" t="s">
        <v>2570</v>
      </c>
      <c r="Z32" s="1814">
        <f t="shared" si="13"/>
        <v>111</v>
      </c>
      <c r="AA32" s="1811">
        <f t="shared" si="3"/>
        <v>1</v>
      </c>
      <c r="AB32" s="1811">
        <f t="shared" si="4"/>
        <v>1</v>
      </c>
      <c r="AC32" s="1811">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229"/>
      <c r="Q33" s="1810">
        <f t="shared" si="8"/>
        <v>111</v>
      </c>
      <c r="R33" s="775" t="s">
        <v>17</v>
      </c>
      <c r="S33" s="776">
        <f t="shared" si="10"/>
        <v>100</v>
      </c>
      <c r="T33" s="775" t="s">
        <v>17</v>
      </c>
      <c r="U33" s="776">
        <f t="shared" si="11"/>
        <v>100</v>
      </c>
      <c r="V33" s="775" t="s">
        <v>17</v>
      </c>
      <c r="W33" s="776">
        <f t="shared" si="12"/>
        <v>100</v>
      </c>
      <c r="X33" s="777"/>
      <c r="Y33" s="3229"/>
      <c r="Z33" s="778">
        <f t="shared" si="13"/>
        <v>111</v>
      </c>
      <c r="AA33" s="1811">
        <f t="shared" si="3"/>
        <v>1</v>
      </c>
      <c r="AB33" s="1811">
        <f t="shared" si="4"/>
        <v>1</v>
      </c>
      <c r="AC33" s="1811">
        <f t="shared" si="5"/>
        <v>1</v>
      </c>
    </row>
    <row r="34" spans="1:29" ht="15">
      <c r="A34" s="439" t="s">
        <v>2568</v>
      </c>
      <c r="B34" s="455" t="s">
        <v>2756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229"/>
      <c r="Q34" s="1810" t="str">
        <f>B34</f>
        <v>宗地面积</v>
      </c>
      <c r="R34" s="772" t="s">
        <v>17</v>
      </c>
      <c r="S34" s="773" t="e">
        <f t="shared" si="10"/>
        <v>#N/A</v>
      </c>
      <c r="T34" s="772" t="s">
        <v>17</v>
      </c>
      <c r="U34" s="773" t="e">
        <f t="shared" si="11"/>
        <v>#N/A</v>
      </c>
      <c r="V34" s="772" t="s">
        <v>17</v>
      </c>
      <c r="W34" s="773" t="e">
        <f t="shared" si="12"/>
        <v>#N/A</v>
      </c>
      <c r="X34" s="1813"/>
      <c r="Y34" s="3229"/>
      <c r="Z34" s="1814" t="str">
        <f t="shared" si="13"/>
        <v>宗地面积</v>
      </c>
      <c r="AA34" s="1811" t="e">
        <f t="shared" si="3"/>
        <v>#N/A</v>
      </c>
      <c r="AB34" s="1811" t="e">
        <f t="shared" si="4"/>
        <v>#N/A</v>
      </c>
      <c r="AC34" s="1811" t="e">
        <f t="shared" si="5"/>
        <v>#N/A</v>
      </c>
    </row>
    <row r="35" spans="1:29" ht="15">
      <c r="A35" s="471"/>
      <c r="B35" s="421" t="s">
        <v>2757</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41"/>
      <c r="M35" s="1132"/>
      <c r="N35" s="1132"/>
      <c r="O35" s="1140"/>
      <c r="P35" s="3229"/>
      <c r="Q35" s="1810" t="str">
        <f t="shared" ref="Q35:Q40" si="14">B35</f>
        <v>宗地形状</v>
      </c>
      <c r="R35" s="772" t="s">
        <v>17</v>
      </c>
      <c r="S35" s="773">
        <f t="shared" si="10"/>
        <v>100</v>
      </c>
      <c r="T35" s="772" t="s">
        <v>17</v>
      </c>
      <c r="U35" s="773">
        <f t="shared" si="11"/>
        <v>100</v>
      </c>
      <c r="V35" s="772" t="s">
        <v>17</v>
      </c>
      <c r="W35" s="773">
        <f t="shared" si="12"/>
        <v>100</v>
      </c>
      <c r="X35" s="1813"/>
      <c r="Y35" s="3229"/>
      <c r="Z35" s="1814" t="str">
        <f t="shared" si="13"/>
        <v>宗地形状</v>
      </c>
      <c r="AA35" s="1811">
        <f t="shared" si="3"/>
        <v>1</v>
      </c>
      <c r="AB35" s="1811">
        <f t="shared" si="4"/>
        <v>1</v>
      </c>
      <c r="AC35" s="1811">
        <f t="shared" si="5"/>
        <v>1</v>
      </c>
    </row>
    <row r="36" spans="1:29" s="116" customFormat="1" ht="15">
      <c r="A36" s="472"/>
      <c r="B36" s="421" t="s">
        <v>2759</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3"/>
      <c r="M36" s="1134"/>
      <c r="N36" s="1134"/>
      <c r="O36" s="1135"/>
      <c r="P36" s="3229"/>
      <c r="Q36" s="1810" t="str">
        <f t="shared" si="14"/>
        <v>宗地开发程度</v>
      </c>
      <c r="R36" s="768" t="s">
        <v>17</v>
      </c>
      <c r="S36" s="769">
        <f t="shared" si="10"/>
        <v>100</v>
      </c>
      <c r="T36" s="768" t="s">
        <v>17</v>
      </c>
      <c r="U36" s="769">
        <f t="shared" si="11"/>
        <v>100</v>
      </c>
      <c r="V36" s="768" t="s">
        <v>17</v>
      </c>
      <c r="W36" s="769">
        <f t="shared" si="12"/>
        <v>100</v>
      </c>
      <c r="X36" s="770"/>
      <c r="Y36" s="3229"/>
      <c r="Z36" s="54" t="str">
        <f t="shared" si="13"/>
        <v>宗地开发程度</v>
      </c>
      <c r="AA36" s="771">
        <f t="shared" si="3"/>
        <v>1</v>
      </c>
      <c r="AB36" s="771">
        <f t="shared" si="4"/>
        <v>1</v>
      </c>
      <c r="AC36" s="771">
        <f t="shared" si="5"/>
        <v>1</v>
      </c>
    </row>
    <row r="37" spans="1:29" ht="15">
      <c r="A37" s="471"/>
      <c r="B37" s="421" t="s">
        <v>2760</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1"/>
      <c r="M37" s="1132"/>
      <c r="N37" s="1132"/>
      <c r="O37" s="1140"/>
      <c r="P37" s="3229" t="s">
        <v>2570</v>
      </c>
      <c r="Q37" s="1810" t="str">
        <f t="shared" si="14"/>
        <v>工程地质条件</v>
      </c>
      <c r="R37" s="772" t="s">
        <v>17</v>
      </c>
      <c r="S37" s="773">
        <f t="shared" si="10"/>
        <v>100</v>
      </c>
      <c r="T37" s="772" t="s">
        <v>17</v>
      </c>
      <c r="U37" s="773">
        <f t="shared" si="11"/>
        <v>100</v>
      </c>
      <c r="V37" s="772" t="s">
        <v>17</v>
      </c>
      <c r="W37" s="773">
        <f t="shared" si="12"/>
        <v>100</v>
      </c>
      <c r="X37" s="1813"/>
      <c r="Y37" s="3229" t="s">
        <v>2570</v>
      </c>
      <c r="Z37" s="1814" t="str">
        <f t="shared" si="13"/>
        <v>工程地质条件</v>
      </c>
      <c r="AA37" s="1811">
        <f t="shared" si="3"/>
        <v>1</v>
      </c>
      <c r="AB37" s="1811">
        <f t="shared" si="4"/>
        <v>1</v>
      </c>
      <c r="AC37" s="1811">
        <f t="shared" si="5"/>
        <v>1</v>
      </c>
    </row>
    <row r="38" spans="1:29" ht="15">
      <c r="A38" s="471"/>
      <c r="B38" s="1387">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229"/>
      <c r="Q38" s="1810">
        <f t="shared" si="14"/>
        <v>111</v>
      </c>
      <c r="R38" s="772" t="s">
        <v>17</v>
      </c>
      <c r="S38" s="773">
        <f t="shared" si="10"/>
        <v>100</v>
      </c>
      <c r="T38" s="772" t="s">
        <v>17</v>
      </c>
      <c r="U38" s="773">
        <f t="shared" si="11"/>
        <v>100</v>
      </c>
      <c r="V38" s="772" t="s">
        <v>17</v>
      </c>
      <c r="W38" s="773">
        <f t="shared" si="12"/>
        <v>100</v>
      </c>
      <c r="X38" s="1813"/>
      <c r="Y38" s="3229"/>
      <c r="Z38" s="1814">
        <f t="shared" si="13"/>
        <v>111</v>
      </c>
      <c r="AA38" s="1811">
        <f t="shared" si="3"/>
        <v>1</v>
      </c>
      <c r="AB38" s="1811">
        <f t="shared" si="4"/>
        <v>1</v>
      </c>
      <c r="AC38" s="1811">
        <f t="shared" si="5"/>
        <v>1</v>
      </c>
    </row>
    <row r="39" spans="1:29" ht="15">
      <c r="A39" s="471"/>
      <c r="B39" s="1387">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229"/>
      <c r="Q39" s="1810">
        <f t="shared" si="14"/>
        <v>111</v>
      </c>
      <c r="R39" s="772" t="s">
        <v>17</v>
      </c>
      <c r="S39" s="773">
        <f t="shared" si="10"/>
        <v>100</v>
      </c>
      <c r="T39" s="772" t="s">
        <v>17</v>
      </c>
      <c r="U39" s="773">
        <f t="shared" si="11"/>
        <v>100</v>
      </c>
      <c r="V39" s="772" t="s">
        <v>17</v>
      </c>
      <c r="W39" s="773">
        <f t="shared" si="12"/>
        <v>100</v>
      </c>
      <c r="X39" s="1813"/>
      <c r="Y39" s="3229"/>
      <c r="Z39" s="1814">
        <f t="shared" si="13"/>
        <v>111</v>
      </c>
      <c r="AA39" s="1811">
        <f t="shared" si="3"/>
        <v>1</v>
      </c>
      <c r="AB39" s="1811">
        <f t="shared" si="4"/>
        <v>1</v>
      </c>
      <c r="AC39" s="1811">
        <f t="shared" si="5"/>
        <v>1</v>
      </c>
    </row>
    <row r="40" spans="1:29" s="470" customFormat="1" ht="15.75" thickBot="1">
      <c r="A40" s="467"/>
      <c r="B40" s="1387">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229"/>
      <c r="Q40" s="1810">
        <f t="shared" si="14"/>
        <v>111</v>
      </c>
      <c r="R40" s="775" t="s">
        <v>17</v>
      </c>
      <c r="S40" s="776">
        <f t="shared" si="10"/>
        <v>100</v>
      </c>
      <c r="T40" s="775" t="s">
        <v>17</v>
      </c>
      <c r="U40" s="776">
        <f t="shared" si="11"/>
        <v>100</v>
      </c>
      <c r="V40" s="775" t="s">
        <v>17</v>
      </c>
      <c r="W40" s="776">
        <f t="shared" si="12"/>
        <v>100</v>
      </c>
      <c r="X40" s="777"/>
      <c r="Y40" s="3229"/>
      <c r="Z40" s="778">
        <f t="shared" si="13"/>
        <v>111</v>
      </c>
      <c r="AA40" s="1811">
        <f t="shared" si="3"/>
        <v>1</v>
      </c>
      <c r="AB40" s="1811">
        <f t="shared" si="4"/>
        <v>1</v>
      </c>
      <c r="AC40" s="1811">
        <f t="shared" si="5"/>
        <v>1</v>
      </c>
    </row>
    <row r="41" spans="1:29" ht="15">
      <c r="A41" s="478" t="s">
        <v>2725</v>
      </c>
      <c r="B41" s="2702" t="s">
        <v>2805</v>
      </c>
      <c r="C41" s="681" t="s">
        <v>1</v>
      </c>
      <c r="D41" s="480"/>
      <c r="E41" s="481"/>
      <c r="F41" s="482"/>
      <c r="G41" s="483"/>
      <c r="H41" s="484"/>
      <c r="I41" s="481"/>
      <c r="J41" s="484"/>
      <c r="K41" s="781"/>
      <c r="L41" s="1144"/>
      <c r="M41" s="1132"/>
      <c r="N41" s="1132"/>
      <c r="O41" s="1145"/>
      <c r="P41" s="3222" t="str">
        <f>A41</f>
        <v>成交单价</v>
      </c>
      <c r="Q41" s="3222"/>
      <c r="R41" s="3217">
        <f>E41</f>
        <v>0</v>
      </c>
      <c r="S41" s="3217"/>
      <c r="T41" s="3217">
        <f>G41</f>
        <v>0</v>
      </c>
      <c r="U41" s="3217"/>
      <c r="V41" s="3217">
        <f>I41</f>
        <v>0</v>
      </c>
      <c r="W41" s="3217"/>
      <c r="X41" s="757"/>
      <c r="Y41" s="779"/>
      <c r="Z41" s="757"/>
      <c r="AA41" s="757"/>
      <c r="AB41" s="757"/>
      <c r="AC41" s="757"/>
    </row>
    <row r="42" spans="1:29" ht="15.75" thickBot="1">
      <c r="A42" s="485" t="s">
        <v>2674</v>
      </c>
      <c r="B42" s="682"/>
      <c r="C42" s="489" t="e">
        <f>R43</f>
        <v>#DIV/0!</v>
      </c>
      <c r="D42" s="488"/>
      <c r="E42" s="489" t="e">
        <f>R42</f>
        <v>#DIV/0!</v>
      </c>
      <c r="F42" s="490"/>
      <c r="G42" s="487" t="e">
        <f>T42</f>
        <v>#DIV/0!</v>
      </c>
      <c r="H42" s="488"/>
      <c r="I42" s="489" t="e">
        <f>V42</f>
        <v>#DIV/0!</v>
      </c>
      <c r="J42" s="488"/>
      <c r="K42" s="782"/>
      <c r="L42" s="1144"/>
      <c r="M42" s="1132"/>
      <c r="N42" s="1132"/>
      <c r="O42" s="1145"/>
      <c r="P42" s="3222" t="str">
        <f>A42</f>
        <v>比较价值（元/平方米）</v>
      </c>
      <c r="Q42" s="3222"/>
      <c r="R42" s="3251" t="e">
        <f>ROUND(PRODUCT(R41,AA7:AA40),0)</f>
        <v>#DIV/0!</v>
      </c>
      <c r="S42" s="3251"/>
      <c r="T42" s="3251" t="e">
        <f>ROUND(PRODUCT(T41,AB7:AB40),0)</f>
        <v>#DIV/0!</v>
      </c>
      <c r="U42" s="3251"/>
      <c r="V42" s="3251" t="e">
        <f>ROUND(PRODUCT(V41,AC7:AC40),0)</f>
        <v>#DIV/0!</v>
      </c>
      <c r="W42" s="3251"/>
      <c r="X42" s="757"/>
      <c r="Y42" s="757"/>
      <c r="Z42" s="757"/>
      <c r="AA42" s="757"/>
      <c r="AB42" s="757"/>
      <c r="AC42" s="757"/>
    </row>
    <row r="43" spans="1:29" ht="15.75" thickBot="1">
      <c r="A43" s="491" t="s">
        <v>2675</v>
      </c>
      <c r="B43" s="492"/>
      <c r="C43" s="493" t="e">
        <f>R43</f>
        <v>#DIV/0!</v>
      </c>
      <c r="D43" s="493"/>
      <c r="E43" s="493"/>
      <c r="F43" s="493"/>
      <c r="G43" s="493"/>
      <c r="H43" s="493"/>
      <c r="I43" s="493"/>
      <c r="J43" s="493"/>
      <c r="K43" s="783"/>
      <c r="L43" s="1144"/>
      <c r="M43" s="1132"/>
      <c r="N43" s="1132"/>
      <c r="O43" s="1145"/>
      <c r="P43" s="3219" t="str">
        <f>A43</f>
        <v>估价对象XX用房的比较价值（楼面单价，元/平方米）</v>
      </c>
      <c r="Q43" s="3220"/>
      <c r="R43" s="3252" t="e">
        <f>ROUND(AVERAGE(R42:V42),0)</f>
        <v>#DIV/0!</v>
      </c>
      <c r="S43" s="3252"/>
      <c r="T43" s="3252"/>
      <c r="U43" s="3252"/>
      <c r="V43" s="3252"/>
      <c r="W43" s="3252"/>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0"/>
      <c r="D49" s="758"/>
      <c r="E49" s="758"/>
      <c r="F49" s="758"/>
      <c r="G49" s="758"/>
      <c r="H49" s="758"/>
      <c r="I49" s="758"/>
      <c r="J49" s="758"/>
      <c r="K49" s="1149"/>
      <c r="L49" s="1150"/>
      <c r="M49" s="1146"/>
      <c r="N49" s="1146"/>
      <c r="O49" s="1146"/>
    </row>
    <row r="50" spans="1:17" ht="27">
      <c r="A50" s="683" t="s">
        <v>2763</v>
      </c>
      <c r="B50" s="684" t="s">
        <v>2764</v>
      </c>
      <c r="C50" s="2703" t="s">
        <v>2765</v>
      </c>
      <c r="D50" s="2704" t="s">
        <v>2766</v>
      </c>
      <c r="E50" s="685" t="s">
        <v>2767</v>
      </c>
      <c r="F50" s="686" t="s">
        <v>2768</v>
      </c>
      <c r="G50" s="3205" t="s">
        <v>2769</v>
      </c>
      <c r="H50" s="3253"/>
      <c r="I50" s="1814" t="s">
        <v>2806</v>
      </c>
      <c r="J50" s="1814" t="str">
        <f>项目基本情况!F35</f>
        <v>湖北省武汉市</v>
      </c>
      <c r="K50" s="2706" t="s">
        <v>2771</v>
      </c>
      <c r="L50" s="1107"/>
      <c r="M50" s="1145"/>
      <c r="N50" s="1145"/>
      <c r="O50" s="1145"/>
    </row>
    <row r="51" spans="1:17" s="691" customFormat="1">
      <c r="A51" s="687" t="s">
        <v>2772</v>
      </c>
      <c r="B51" s="688" t="e">
        <f>C43</f>
        <v>#DIV/0!</v>
      </c>
      <c r="C51" s="689">
        <v>1</v>
      </c>
      <c r="D51" s="1164">
        <v>1</v>
      </c>
      <c r="E51" s="689">
        <f>'数据-汇总表'!E8+'数据-汇总表'!E9</f>
        <v>1368.3300000000163</v>
      </c>
      <c r="F51" s="690" t="e">
        <f t="shared" ref="F51:F60" si="15">ROUND(B51*E51/10000,0)</f>
        <v>#DIV/0!</v>
      </c>
      <c r="G51" s="3204"/>
      <c r="H51" s="3222"/>
      <c r="I51" s="943">
        <v>1</v>
      </c>
      <c r="J51" s="943">
        <v>1</v>
      </c>
      <c r="K51" s="1146"/>
      <c r="L51" s="942"/>
      <c r="M51" s="942"/>
      <c r="N51" s="942"/>
      <c r="O51" s="942"/>
    </row>
    <row r="52" spans="1:17" s="691" customFormat="1">
      <c r="A52" s="692" t="s">
        <v>2773</v>
      </c>
      <c r="B52" s="261" t="e">
        <f>ROUND($C$43*C52*D52,0)</f>
        <v>#DIV/0!</v>
      </c>
      <c r="C52" s="199">
        <f t="shared" ref="C52:C60" si="16">IF($C$50="北京市系数",I52,J52)</f>
        <v>0</v>
      </c>
      <c r="D52" s="1165">
        <v>0.25</v>
      </c>
      <c r="E52" s="693"/>
      <c r="F52" s="690" t="e">
        <f t="shared" si="15"/>
        <v>#DIV/0!</v>
      </c>
      <c r="G52" s="3254" t="s">
        <v>2774</v>
      </c>
      <c r="H52" s="1105">
        <f>项目基本情况!B37</f>
        <v>0</v>
      </c>
      <c r="I52" s="943">
        <f>SUMIF(修正!A45:A56,H52,修正!B45:B56)</f>
        <v>0</v>
      </c>
      <c r="J52" s="944"/>
      <c r="K52" s="1145"/>
      <c r="L52" s="942"/>
      <c r="M52" s="942"/>
      <c r="N52" s="942"/>
      <c r="O52" s="942"/>
    </row>
    <row r="53" spans="1:17" s="691" customFormat="1">
      <c r="A53" s="692" t="s">
        <v>2775</v>
      </c>
      <c r="B53" s="261" t="e">
        <f t="shared" ref="B53:B60" si="17">ROUND($C$43*C53*D53,0)</f>
        <v>#DIV/0!</v>
      </c>
      <c r="C53" s="199">
        <f t="shared" si="16"/>
        <v>0</v>
      </c>
      <c r="D53" s="1165">
        <v>0.25</v>
      </c>
      <c r="E53" s="693"/>
      <c r="F53" s="690" t="e">
        <f t="shared" si="15"/>
        <v>#DIV/0!</v>
      </c>
      <c r="G53" s="3254"/>
      <c r="H53" s="1105">
        <f>项目基本情况!B37</f>
        <v>0</v>
      </c>
      <c r="I53" s="943">
        <f>SUMIF(修正!A45:A56,H53,修正!C45:C56)</f>
        <v>0</v>
      </c>
      <c r="J53" s="944"/>
      <c r="K53" s="1146"/>
      <c r="L53" s="942"/>
      <c r="M53" s="942"/>
      <c r="N53" s="942"/>
      <c r="O53" s="942"/>
    </row>
    <row r="54" spans="1:17" s="691" customFormat="1">
      <c r="A54" s="692" t="s">
        <v>2776</v>
      </c>
      <c r="B54" s="261" t="e">
        <f t="shared" si="17"/>
        <v>#DIV/0!</v>
      </c>
      <c r="C54" s="199">
        <f t="shared" si="16"/>
        <v>0</v>
      </c>
      <c r="D54" s="1165">
        <v>0.25</v>
      </c>
      <c r="E54" s="693"/>
      <c r="F54" s="690" t="e">
        <f t="shared" si="15"/>
        <v>#DIV/0!</v>
      </c>
      <c r="G54" s="3254"/>
      <c r="H54" s="1105">
        <f>项目基本情况!B37</f>
        <v>0</v>
      </c>
      <c r="I54" s="943">
        <f>SUMIF(修正!A45:A56,H54,修正!D45:D56)</f>
        <v>0</v>
      </c>
      <c r="J54" s="944"/>
      <c r="K54" s="1145"/>
      <c r="L54" s="942"/>
      <c r="M54" s="942"/>
      <c r="N54" s="942"/>
      <c r="O54" s="942"/>
    </row>
    <row r="55" spans="1:17" s="691" customFormat="1">
      <c r="A55" s="692" t="s">
        <v>2777</v>
      </c>
      <c r="B55" s="261" t="e">
        <f t="shared" si="17"/>
        <v>#DIV/0!</v>
      </c>
      <c r="C55" s="199">
        <f t="shared" si="16"/>
        <v>0</v>
      </c>
      <c r="D55" s="1165">
        <v>0.25</v>
      </c>
      <c r="E55" s="693"/>
      <c r="F55" s="690" t="e">
        <f t="shared" si="15"/>
        <v>#DIV/0!</v>
      </c>
      <c r="G55" s="3254"/>
      <c r="H55" s="1105">
        <f>项目基本情况!B37</f>
        <v>0</v>
      </c>
      <c r="I55" s="943">
        <f>SUMIF(修正!A45:A56,H55,修正!E45:E56)</f>
        <v>0</v>
      </c>
      <c r="J55" s="944"/>
      <c r="K55" s="1146"/>
      <c r="L55" s="942"/>
      <c r="M55" s="942"/>
      <c r="N55" s="942"/>
      <c r="O55" s="942"/>
    </row>
    <row r="56" spans="1:17" s="691" customFormat="1">
      <c r="A56" s="692" t="s">
        <v>2778</v>
      </c>
      <c r="B56" s="261" t="e">
        <f t="shared" si="17"/>
        <v>#DIV/0!</v>
      </c>
      <c r="C56" s="199">
        <f t="shared" si="16"/>
        <v>0</v>
      </c>
      <c r="D56" s="1165">
        <v>0.25</v>
      </c>
      <c r="E56" s="260">
        <f>'数据-汇总表'!E11</f>
        <v>0</v>
      </c>
      <c r="F56" s="690" t="e">
        <f t="shared" si="15"/>
        <v>#DIV/0!</v>
      </c>
      <c r="G56" s="2707" t="s">
        <v>2779</v>
      </c>
      <c r="H56" s="1105">
        <f>项目基本情况!C37</f>
        <v>0</v>
      </c>
      <c r="I56" s="943">
        <f>SUMIF(修正!A45:A56,H56,修正!F45:F56)</f>
        <v>0</v>
      </c>
      <c r="J56" s="944"/>
      <c r="K56" s="1145"/>
      <c r="L56" s="942"/>
      <c r="M56" s="942"/>
      <c r="N56" s="942"/>
      <c r="O56" s="942"/>
    </row>
    <row r="57" spans="1:17" s="691" customFormat="1">
      <c r="A57" s="692" t="s">
        <v>2780</v>
      </c>
      <c r="B57" s="261" t="e">
        <f t="shared" si="17"/>
        <v>#DIV/0!</v>
      </c>
      <c r="C57" s="199">
        <f t="shared" si="16"/>
        <v>0</v>
      </c>
      <c r="D57" s="1165">
        <v>0.25</v>
      </c>
      <c r="E57" s="260">
        <f>'数据-汇总表'!E12</f>
        <v>0</v>
      </c>
      <c r="F57" s="690" t="e">
        <f t="shared" si="15"/>
        <v>#DIV/0!</v>
      </c>
      <c r="G57" s="1110" t="s">
        <v>2781</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1" customFormat="1">
      <c r="A58" s="692" t="s">
        <v>2782</v>
      </c>
      <c r="B58" s="261" t="e">
        <f t="shared" si="17"/>
        <v>#DIV/0!</v>
      </c>
      <c r="C58" s="199">
        <f t="shared" si="16"/>
        <v>0</v>
      </c>
      <c r="D58" s="1165">
        <v>0.25</v>
      </c>
      <c r="E58" s="260">
        <f>'数据-汇总表'!E13</f>
        <v>0</v>
      </c>
      <c r="F58" s="690" t="e">
        <f t="shared" si="15"/>
        <v>#DIV/0!</v>
      </c>
      <c r="G58" s="1110" t="s">
        <v>2783</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2784</v>
      </c>
      <c r="B59" s="261" t="e">
        <f t="shared" si="17"/>
        <v>#DIV/0!</v>
      </c>
      <c r="C59" s="199">
        <f t="shared" si="16"/>
        <v>0</v>
      </c>
      <c r="D59" s="1165">
        <v>0.25</v>
      </c>
      <c r="E59" s="260">
        <f>'数据-汇总表'!E14</f>
        <v>0</v>
      </c>
      <c r="F59" s="690" t="e">
        <f t="shared" si="15"/>
        <v>#DIV/0!</v>
      </c>
      <c r="G59" s="2707" t="s">
        <v>2774</v>
      </c>
      <c r="H59" s="1105">
        <f>项目基本情况!B37</f>
        <v>0</v>
      </c>
      <c r="I59" s="943">
        <f>SUMIF(修正!A45:A56,H59,修正!H45:H56)</f>
        <v>0</v>
      </c>
      <c r="J59" s="944"/>
      <c r="K59" s="1146"/>
      <c r="L59" s="942"/>
      <c r="M59" s="942"/>
      <c r="N59" s="942"/>
      <c r="O59" s="942"/>
    </row>
    <row r="60" spans="1:17" s="691" customFormat="1" ht="15" thickBot="1">
      <c r="A60" s="692" t="s">
        <v>2785</v>
      </c>
      <c r="B60" s="261" t="e">
        <f t="shared" si="17"/>
        <v>#DIV/0!</v>
      </c>
      <c r="C60" s="199">
        <f t="shared" si="16"/>
        <v>0</v>
      </c>
      <c r="D60" s="1165">
        <v>0.25</v>
      </c>
      <c r="E60" s="260">
        <f>'数据-汇总表'!E15</f>
        <v>0</v>
      </c>
      <c r="F60" s="690" t="e">
        <f t="shared" si="15"/>
        <v>#DIV/0!</v>
      </c>
      <c r="G60" s="2708" t="s">
        <v>2779</v>
      </c>
      <c r="H60" s="1115">
        <f>项目基本情况!C37</f>
        <v>0</v>
      </c>
      <c r="I60" s="943">
        <f>SUMIF(修正!A45:A56,H60,修正!H45:H56)</f>
        <v>0</v>
      </c>
      <c r="J60" s="944"/>
      <c r="K60" s="1145"/>
      <c r="L60" s="942"/>
      <c r="M60" s="942"/>
      <c r="N60" s="942"/>
      <c r="O60" s="942"/>
    </row>
    <row r="61" spans="1:17" s="691" customFormat="1" ht="15" thickBot="1">
      <c r="A61" s="694" t="s">
        <v>2786</v>
      </c>
      <c r="B61" s="695" t="s">
        <v>28</v>
      </c>
      <c r="C61" s="695" t="s">
        <v>29</v>
      </c>
      <c r="D61" s="695" t="s">
        <v>1029</v>
      </c>
      <c r="E61" s="695">
        <f>IF(B41="楼面地价",SUM(E51:E60),'数据-汇总表'!D3)</f>
        <v>73.69</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2018-11-1</v>
      </c>
      <c r="D63" s="759">
        <f>EDATE(C63,-3)</f>
        <v>43313</v>
      </c>
      <c r="E63" s="759">
        <f>EDATE(D63,-3)</f>
        <v>43221</v>
      </c>
      <c r="F63" s="759">
        <f t="shared" ref="F63:O63" si="18">EDATE(E63,-3)</f>
        <v>43132</v>
      </c>
      <c r="G63" s="759">
        <f t="shared" si="18"/>
        <v>43040</v>
      </c>
      <c r="H63" s="759">
        <f t="shared" si="18"/>
        <v>42948</v>
      </c>
      <c r="I63" s="759">
        <f t="shared" si="18"/>
        <v>42856</v>
      </c>
      <c r="J63" s="759">
        <f t="shared" si="18"/>
        <v>42767</v>
      </c>
      <c r="K63" s="759">
        <f t="shared" si="18"/>
        <v>42675</v>
      </c>
      <c r="L63" s="759">
        <f t="shared" si="18"/>
        <v>42583</v>
      </c>
      <c r="M63" s="759">
        <f t="shared" si="18"/>
        <v>42491</v>
      </c>
      <c r="N63" s="759">
        <f t="shared" si="18"/>
        <v>42401</v>
      </c>
      <c r="O63" s="759">
        <f t="shared" si="18"/>
        <v>42309</v>
      </c>
    </row>
    <row r="64" spans="1:17" ht="21.75" thickBot="1">
      <c r="A64" s="761" t="s">
        <v>2679</v>
      </c>
      <c r="B64" s="757"/>
      <c r="C64" s="762"/>
      <c r="D64" s="762"/>
      <c r="E64" s="762"/>
      <c r="F64" s="763"/>
      <c r="G64" s="763"/>
      <c r="H64" s="762"/>
      <c r="I64" s="762"/>
      <c r="J64" s="762"/>
      <c r="K64" s="764"/>
      <c r="L64" s="765"/>
      <c r="M64" s="762"/>
      <c r="N64" s="762"/>
      <c r="O64" s="1160"/>
      <c r="P64" s="502"/>
      <c r="Q64" s="503"/>
    </row>
    <row r="65" spans="1:17" s="507" customFormat="1" ht="15">
      <c r="A65" s="2709" t="s">
        <v>2787</v>
      </c>
      <c r="B65" s="1359"/>
      <c r="C65" s="1572" t="str">
        <f>YEAR(C63)&amp;"-"&amp;ROUNDUP(MONTH(C63)/3,0)</f>
        <v>2018-4</v>
      </c>
      <c r="D65" s="1572" t="str">
        <f t="shared" ref="D65:O65" si="19">YEAR(D63)&amp;"-"&amp;ROUNDUP(MONTH(D63)/3,0)</f>
        <v>2018-3</v>
      </c>
      <c r="E65" s="1572" t="str">
        <f t="shared" si="19"/>
        <v>2018-2</v>
      </c>
      <c r="F65" s="1572" t="str">
        <f t="shared" si="19"/>
        <v>2018-1</v>
      </c>
      <c r="G65" s="1572" t="str">
        <f t="shared" si="19"/>
        <v>2017-4</v>
      </c>
      <c r="H65" s="1572" t="str">
        <f t="shared" si="19"/>
        <v>2017-3</v>
      </c>
      <c r="I65" s="1572" t="str">
        <f t="shared" si="19"/>
        <v>2017-2</v>
      </c>
      <c r="J65" s="1572" t="str">
        <f t="shared" si="19"/>
        <v>2017-1</v>
      </c>
      <c r="K65" s="1572" t="str">
        <f t="shared" si="19"/>
        <v>2016-4</v>
      </c>
      <c r="L65" s="1572" t="str">
        <f t="shared" si="19"/>
        <v>2016-3</v>
      </c>
      <c r="M65" s="1572" t="str">
        <f t="shared" si="19"/>
        <v>2016-2</v>
      </c>
      <c r="N65" s="1572" t="str">
        <f t="shared" si="19"/>
        <v>2016-1</v>
      </c>
      <c r="O65" s="1572" t="str">
        <f t="shared" si="19"/>
        <v>2015-4</v>
      </c>
      <c r="P65" s="506"/>
    </row>
    <row r="66" spans="1:17" s="116" customFormat="1" ht="30.75" customHeight="1">
      <c r="A66" s="2714" t="s">
        <v>2807</v>
      </c>
      <c r="B66" s="331" t="str">
        <f>"北京市平均增长率"&amp;TEXT(基准地价修正!P24,"0.00%")</f>
        <v>北京市平均增长率1.42%</v>
      </c>
      <c r="C66" s="602">
        <v>100</v>
      </c>
      <c r="D66" s="594"/>
      <c r="E66" s="594"/>
      <c r="F66" s="594"/>
      <c r="G66" s="594"/>
      <c r="H66" s="594"/>
      <c r="I66" s="594"/>
      <c r="J66" s="594"/>
      <c r="K66" s="594"/>
      <c r="L66" s="594"/>
      <c r="M66" s="1567"/>
      <c r="N66" s="1567"/>
      <c r="O66" s="1569"/>
      <c r="P66" s="503"/>
    </row>
    <row r="67" spans="1:17" s="116" customFormat="1" ht="15.75" thickBot="1">
      <c r="A67" s="514" t="s">
        <v>2590</v>
      </c>
      <c r="B67" s="515"/>
      <c r="C67" s="516"/>
      <c r="D67" s="517"/>
      <c r="E67" s="517"/>
      <c r="F67" s="517"/>
      <c r="G67" s="517"/>
      <c r="H67" s="517"/>
      <c r="I67" s="517"/>
      <c r="J67" s="517"/>
      <c r="K67" s="517"/>
      <c r="L67" s="517"/>
      <c r="M67" s="518"/>
      <c r="N67" s="518"/>
      <c r="O67" s="519"/>
      <c r="P67" s="503"/>
      <c r="Q67" s="503"/>
    </row>
    <row r="68" spans="1:17" s="116" customFormat="1" ht="15">
      <c r="A68" s="520" t="s">
        <v>2555</v>
      </c>
      <c r="B68" s="509"/>
      <c r="C68" s="521" t="s">
        <v>2657</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2593</v>
      </c>
      <c r="B70" s="527" t="s">
        <v>2559</v>
      </c>
      <c r="C70" s="529"/>
      <c r="D70" s="529"/>
      <c r="E70" s="529"/>
      <c r="F70" s="529"/>
      <c r="G70" s="529"/>
      <c r="H70" s="529"/>
      <c r="I70" s="529"/>
      <c r="J70" s="529"/>
      <c r="K70" s="530"/>
      <c r="L70" s="531"/>
      <c r="M70" s="532"/>
      <c r="N70" s="1153"/>
      <c r="O70" s="1153"/>
      <c r="P70" s="44"/>
      <c r="Q70" s="503"/>
    </row>
    <row r="71" spans="1:17" ht="15.75" thickBot="1">
      <c r="A71" s="533"/>
      <c r="B71" s="534"/>
      <c r="C71" s="535"/>
      <c r="D71" s="535"/>
      <c r="E71" s="535"/>
      <c r="F71" s="535"/>
      <c r="G71" s="535"/>
      <c r="H71" s="535"/>
      <c r="I71" s="535"/>
      <c r="J71" s="535"/>
      <c r="K71" s="535"/>
      <c r="L71" s="535"/>
      <c r="M71" s="536"/>
      <c r="N71" s="1154"/>
      <c r="O71" s="1154"/>
      <c r="P71" s="44"/>
      <c r="Q71" s="503"/>
    </row>
    <row r="72" spans="1:17" ht="27.75" thickTop="1">
      <c r="A72" s="533"/>
      <c r="B72" s="537" t="s">
        <v>2562</v>
      </c>
      <c r="C72" s="538"/>
      <c r="D72" s="538"/>
      <c r="E72" s="538"/>
      <c r="F72" s="538"/>
      <c r="G72" s="538"/>
      <c r="H72" s="538"/>
      <c r="I72" s="538"/>
      <c r="J72" s="538"/>
      <c r="K72" s="539"/>
      <c r="L72" s="540"/>
      <c r="M72" s="541"/>
      <c r="N72" s="1153"/>
      <c r="O72" s="1153"/>
      <c r="P72" s="44"/>
      <c r="Q72" s="503"/>
    </row>
    <row r="73" spans="1:17" ht="15.75" thickBot="1">
      <c r="A73" s="533"/>
      <c r="B73" s="542"/>
      <c r="C73" s="543"/>
      <c r="D73" s="543"/>
      <c r="E73" s="543"/>
      <c r="F73" s="543"/>
      <c r="G73" s="543"/>
      <c r="H73" s="543"/>
      <c r="I73" s="543"/>
      <c r="J73" s="543"/>
      <c r="K73" s="543"/>
      <c r="L73" s="543"/>
      <c r="M73" s="544"/>
      <c r="N73" s="1154"/>
      <c r="O73" s="1154"/>
      <c r="P73" s="44"/>
      <c r="Q73" s="503"/>
    </row>
    <row r="74" spans="1:17" ht="15.75" thickTop="1">
      <c r="A74" s="533"/>
      <c r="B74" s="545" t="s">
        <v>2563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4"/>
      <c r="Q74" s="503"/>
    </row>
    <row r="75" spans="1:17" ht="15">
      <c r="A75" s="533"/>
      <c r="B75" s="547"/>
      <c r="C75" s="548"/>
      <c r="D75" s="548"/>
      <c r="E75" s="548"/>
      <c r="F75" s="548"/>
      <c r="G75" s="548"/>
      <c r="H75" s="548"/>
      <c r="I75" s="548"/>
      <c r="J75" s="548"/>
      <c r="K75" s="549"/>
      <c r="L75" s="550"/>
      <c r="M75" s="551"/>
      <c r="N75" s="1153"/>
      <c r="O75" s="1153"/>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4"/>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2564</v>
      </c>
      <c r="B83" s="527" t="s">
        <v>2710</v>
      </c>
      <c r="C83" s="572" t="s">
        <v>2602</v>
      </c>
      <c r="D83" s="572" t="s">
        <v>2603</v>
      </c>
      <c r="E83" s="572" t="s">
        <v>2604</v>
      </c>
      <c r="F83" s="572" t="s">
        <v>2605</v>
      </c>
      <c r="G83" s="572" t="s">
        <v>2606</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4"/>
      <c r="Q84" s="503"/>
    </row>
    <row r="85" spans="1:17" ht="15.75" thickTop="1">
      <c r="A85" s="533"/>
      <c r="B85" s="537" t="s">
        <v>2607</v>
      </c>
      <c r="C85" s="577" t="s">
        <v>2602</v>
      </c>
      <c r="D85" s="577" t="s">
        <v>2603</v>
      </c>
      <c r="E85" s="577" t="s">
        <v>2604</v>
      </c>
      <c r="F85" s="577" t="s">
        <v>2605</v>
      </c>
      <c r="G85" s="577" t="s">
        <v>2606</v>
      </c>
      <c r="H85" s="538"/>
      <c r="I85" s="538"/>
      <c r="J85" s="538"/>
      <c r="K85" s="539"/>
      <c r="L85" s="540"/>
      <c r="M85" s="541"/>
      <c r="N85" s="1153"/>
      <c r="O85" s="1153"/>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4"/>
      <c r="Q86" s="503"/>
    </row>
    <row r="87" spans="1:17" s="116" customFormat="1" ht="15.75" thickTop="1">
      <c r="A87" s="578"/>
      <c r="B87" s="537" t="s">
        <v>2790</v>
      </c>
      <c r="C87" s="572" t="s">
        <v>2602</v>
      </c>
      <c r="D87" s="572" t="s">
        <v>2603</v>
      </c>
      <c r="E87" s="572" t="s">
        <v>2604</v>
      </c>
      <c r="F87" s="572" t="s">
        <v>2605</v>
      </c>
      <c r="G87" s="572" t="s">
        <v>2606</v>
      </c>
      <c r="H87" s="577"/>
      <c r="I87" s="577"/>
      <c r="J87" s="577"/>
      <c r="K87" s="577"/>
      <c r="L87" s="697"/>
      <c r="M87" s="621"/>
      <c r="N87" s="1152"/>
      <c r="O87" s="1152"/>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4"/>
      <c r="Q88" s="503"/>
    </row>
    <row r="89" spans="1:17" s="116" customFormat="1" ht="27.75" thickTop="1">
      <c r="A89" s="578"/>
      <c r="B89" s="537" t="s">
        <v>2791</v>
      </c>
      <c r="C89" s="572" t="s">
        <v>2602</v>
      </c>
      <c r="D89" s="572" t="s">
        <v>2603</v>
      </c>
      <c r="E89" s="572" t="s">
        <v>2604</v>
      </c>
      <c r="F89" s="572" t="s">
        <v>2605</v>
      </c>
      <c r="G89" s="572" t="s">
        <v>2606</v>
      </c>
      <c r="H89" s="577"/>
      <c r="I89" s="577"/>
      <c r="J89" s="577"/>
      <c r="K89" s="577"/>
      <c r="L89" s="577"/>
      <c r="M89" s="621"/>
      <c r="N89" s="1152"/>
      <c r="O89" s="1152"/>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4"/>
      <c r="Q90" s="503"/>
    </row>
    <row r="91" spans="1:17" s="470" customFormat="1" ht="15.75" thickTop="1">
      <c r="A91" s="552"/>
      <c r="B91" s="537" t="s">
        <v>2659</v>
      </c>
      <c r="C91" s="572" t="s">
        <v>2602</v>
      </c>
      <c r="D91" s="572" t="s">
        <v>2603</v>
      </c>
      <c r="E91" s="572" t="s">
        <v>2604</v>
      </c>
      <c r="F91" s="572" t="s">
        <v>2605</v>
      </c>
      <c r="G91" s="572" t="s">
        <v>2606</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2808</v>
      </c>
      <c r="C93" s="659" t="s">
        <v>2680</v>
      </c>
      <c r="D93" s="659" t="s">
        <v>2681</v>
      </c>
      <c r="E93" s="659" t="s">
        <v>2682</v>
      </c>
      <c r="F93" s="659" t="s">
        <v>2683</v>
      </c>
      <c r="G93" s="659" t="s">
        <v>2684</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5"/>
      <c r="O94" s="1155"/>
      <c r="P94" s="557"/>
      <c r="Q94" s="558"/>
    </row>
    <row r="95" spans="1:17" ht="15.75" thickTop="1">
      <c r="A95" s="533"/>
      <c r="B95" s="537" t="str">
        <f>B27</f>
        <v>临街状况</v>
      </c>
      <c r="C95" s="538" t="s">
        <v>2792</v>
      </c>
      <c r="D95" s="538" t="s">
        <v>2793</v>
      </c>
      <c r="E95" s="538" t="s">
        <v>2794</v>
      </c>
      <c r="F95" s="538" t="s">
        <v>2795</v>
      </c>
      <c r="G95" s="538"/>
      <c r="H95" s="538"/>
      <c r="I95" s="538"/>
      <c r="J95" s="538"/>
      <c r="K95" s="539"/>
      <c r="L95" s="540"/>
      <c r="M95" s="541"/>
      <c r="N95" s="1153"/>
      <c r="O95" s="1153"/>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4"/>
      <c r="Q96" s="503"/>
    </row>
    <row r="97" spans="1:17" ht="27.75" thickTop="1">
      <c r="A97" s="533"/>
      <c r="B97" s="537" t="s">
        <v>2696</v>
      </c>
      <c r="C97" s="553"/>
      <c r="D97" s="553"/>
      <c r="E97" s="553"/>
      <c r="F97" s="553"/>
      <c r="G97" s="553"/>
      <c r="H97" s="582"/>
      <c r="I97" s="582"/>
      <c r="J97" s="582"/>
      <c r="K97" s="583"/>
      <c r="L97" s="584"/>
      <c r="M97" s="585"/>
      <c r="N97" s="1153"/>
      <c r="O97" s="1153"/>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4"/>
      <c r="Q98" s="503"/>
    </row>
    <row r="99" spans="1:17" ht="15.75" thickTop="1">
      <c r="A99" s="533"/>
      <c r="B99" s="537" t="s">
        <v>2755</v>
      </c>
      <c r="C99" s="582"/>
      <c r="D99" s="582"/>
      <c r="E99" s="582"/>
      <c r="F99" s="582"/>
      <c r="G99" s="582"/>
      <c r="H99" s="582"/>
      <c r="I99" s="582"/>
      <c r="J99" s="582"/>
      <c r="K99" s="583"/>
      <c r="L99" s="584"/>
      <c r="M99" s="585"/>
      <c r="N99" s="1153"/>
      <c r="O99" s="1153"/>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4"/>
      <c r="Q100" s="503"/>
    </row>
    <row r="101" spans="1:17" ht="15.75" thickTop="1">
      <c r="A101" s="533"/>
      <c r="B101" s="545">
        <f>B31</f>
        <v>111</v>
      </c>
      <c r="C101" s="553"/>
      <c r="D101" s="553"/>
      <c r="E101" s="553"/>
      <c r="F101" s="553"/>
      <c r="G101" s="586"/>
      <c r="H101" s="586"/>
      <c r="I101" s="586"/>
      <c r="J101" s="586"/>
      <c r="K101" s="587"/>
      <c r="L101" s="588"/>
      <c r="M101" s="589"/>
      <c r="N101" s="1153"/>
      <c r="O101" s="1153"/>
      <c r="P101" s="44"/>
      <c r="Q101" s="503"/>
    </row>
    <row r="102" spans="1:17" ht="15.75" thickBot="1">
      <c r="A102" s="533"/>
      <c r="B102" s="568"/>
      <c r="C102" s="559"/>
      <c r="D102" s="535"/>
      <c r="E102" s="535"/>
      <c r="F102" s="535"/>
      <c r="G102" s="590"/>
      <c r="H102" s="590"/>
      <c r="I102" s="590"/>
      <c r="J102" s="590"/>
      <c r="K102" s="590"/>
      <c r="L102" s="590"/>
      <c r="M102" s="591"/>
      <c r="N102" s="1154"/>
      <c r="O102" s="1154"/>
      <c r="P102" s="44"/>
      <c r="Q102" s="503"/>
    </row>
    <row r="103" spans="1:17" ht="15" thickTop="1">
      <c r="A103" s="674"/>
      <c r="B103" s="537">
        <f>B32</f>
        <v>111</v>
      </c>
      <c r="C103" s="553"/>
      <c r="D103" s="553"/>
      <c r="E103" s="553"/>
      <c r="F103" s="553"/>
      <c r="G103" s="582"/>
      <c r="H103" s="582"/>
      <c r="I103" s="582"/>
      <c r="J103" s="582"/>
      <c r="K103" s="583"/>
      <c r="L103" s="584"/>
      <c r="M103" s="585"/>
      <c r="N103" s="1153"/>
      <c r="O103" s="1153"/>
      <c r="P103" s="44"/>
      <c r="Q103" s="503"/>
    </row>
    <row r="104" spans="1:17" ht="15.75" thickBot="1">
      <c r="A104" s="533"/>
      <c r="B104" s="542"/>
      <c r="C104" s="559"/>
      <c r="D104" s="559"/>
      <c r="E104" s="559"/>
      <c r="F104" s="559"/>
      <c r="G104" s="535"/>
      <c r="H104" s="535"/>
      <c r="I104" s="535"/>
      <c r="J104" s="535"/>
      <c r="K104" s="535"/>
      <c r="L104" s="535"/>
      <c r="M104" s="536"/>
      <c r="N104" s="1154"/>
      <c r="O104" s="1154"/>
      <c r="P104" s="44"/>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2568</v>
      </c>
      <c r="B107" s="527" t="s">
        <v>2796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6" t="str">
        <f t="shared" si="25"/>
        <v>(含)-</v>
      </c>
      <c r="L107" s="1766" t="str">
        <f t="shared" si="25"/>
        <v>(含)-</v>
      </c>
      <c r="M107" s="1767" t="str">
        <f>M108&amp;"(含)"&amp;"-"&amp;P108</f>
        <v>(含)-</v>
      </c>
      <c r="N107" s="1153"/>
      <c r="O107" s="1153"/>
      <c r="P107" s="44"/>
      <c r="Q107" s="503"/>
    </row>
    <row r="108" spans="1:17" ht="15">
      <c r="A108" s="533"/>
      <c r="B108" s="545"/>
      <c r="C108" s="594"/>
      <c r="D108" s="594"/>
      <c r="E108" s="594"/>
      <c r="F108" s="594"/>
      <c r="G108" s="594"/>
      <c r="H108" s="594"/>
      <c r="I108" s="594"/>
      <c r="J108" s="595"/>
      <c r="K108" s="595"/>
      <c r="L108" s="596"/>
      <c r="M108" s="597"/>
      <c r="N108" s="1153"/>
      <c r="O108" s="1153"/>
      <c r="P108" s="44"/>
      <c r="Q108" s="503"/>
    </row>
    <row r="109" spans="1:17" ht="15.75" thickBot="1">
      <c r="A109" s="533"/>
      <c r="B109" s="542"/>
      <c r="C109" s="569"/>
      <c r="D109" s="590"/>
      <c r="E109" s="590"/>
      <c r="F109" s="590"/>
      <c r="G109" s="590"/>
      <c r="H109" s="590"/>
      <c r="I109" s="590"/>
      <c r="J109" s="590"/>
      <c r="K109" s="590"/>
      <c r="L109" s="590"/>
      <c r="M109" s="591"/>
      <c r="N109" s="1154"/>
      <c r="O109" s="1154"/>
      <c r="P109" s="44"/>
      <c r="Q109" s="503"/>
    </row>
    <row r="110" spans="1:17" ht="15" thickTop="1">
      <c r="A110" s="598"/>
      <c r="B110" s="537" t="s">
        <v>2797</v>
      </c>
      <c r="C110" s="582"/>
      <c r="D110" s="582"/>
      <c r="E110" s="582"/>
      <c r="F110" s="582"/>
      <c r="G110" s="582"/>
      <c r="H110" s="582"/>
      <c r="I110" s="582"/>
      <c r="J110" s="582"/>
      <c r="K110" s="583"/>
      <c r="L110" s="584"/>
      <c r="M110" s="585"/>
      <c r="N110" s="1153"/>
      <c r="O110" s="1153"/>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4"/>
      <c r="Q111" s="503"/>
    </row>
    <row r="112" spans="1:17" s="470" customFormat="1" ht="15" thickTop="1">
      <c r="A112" s="592"/>
      <c r="B112" s="537" t="s">
        <v>2799</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2800</v>
      </c>
      <c r="C114" s="553"/>
      <c r="D114" s="553"/>
      <c r="E114" s="582"/>
      <c r="F114" s="582"/>
      <c r="G114" s="582"/>
      <c r="H114" s="582"/>
      <c r="I114" s="582"/>
      <c r="J114" s="582"/>
      <c r="K114" s="583"/>
      <c r="L114" s="584"/>
      <c r="M114" s="585"/>
      <c r="N114" s="1153"/>
      <c r="O114" s="1153"/>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4"/>
      <c r="Q115" s="503"/>
    </row>
    <row r="116" spans="1:17" ht="15" thickTop="1">
      <c r="A116" s="598"/>
      <c r="B116" s="537">
        <f>B38</f>
        <v>111</v>
      </c>
      <c r="C116" s="553"/>
      <c r="D116" s="553"/>
      <c r="E116" s="553"/>
      <c r="F116" s="553"/>
      <c r="G116" s="553"/>
      <c r="H116" s="582"/>
      <c r="I116" s="582"/>
      <c r="J116" s="582"/>
      <c r="K116" s="583"/>
      <c r="L116" s="584"/>
      <c r="M116" s="585"/>
      <c r="N116" s="1153"/>
      <c r="O116" s="1153"/>
      <c r="P116" s="44"/>
      <c r="Q116" s="503"/>
    </row>
    <row r="117" spans="1:17" ht="15.75" thickBot="1">
      <c r="A117" s="533"/>
      <c r="B117" s="542"/>
      <c r="C117" s="559"/>
      <c r="D117" s="535"/>
      <c r="E117" s="535"/>
      <c r="F117" s="535"/>
      <c r="G117" s="535"/>
      <c r="H117" s="535"/>
      <c r="I117" s="535"/>
      <c r="J117" s="535"/>
      <c r="K117" s="535"/>
      <c r="L117" s="535"/>
      <c r="M117" s="536"/>
      <c r="N117" s="1154"/>
      <c r="O117" s="1154"/>
      <c r="P117" s="44"/>
      <c r="Q117" s="503"/>
    </row>
    <row r="118" spans="1:17" ht="15" thickTop="1">
      <c r="A118" s="598"/>
      <c r="B118" s="537">
        <f>B39</f>
        <v>111</v>
      </c>
      <c r="C118" s="553"/>
      <c r="D118" s="553"/>
      <c r="E118" s="553"/>
      <c r="F118" s="553"/>
      <c r="G118" s="582"/>
      <c r="H118" s="582"/>
      <c r="I118" s="582"/>
      <c r="J118" s="582"/>
      <c r="K118" s="583"/>
      <c r="L118" s="584"/>
      <c r="M118" s="585"/>
      <c r="N118" s="1153"/>
      <c r="O118" s="1153"/>
      <c r="P118" s="44"/>
      <c r="Q118" s="503"/>
    </row>
    <row r="119" spans="1:17" ht="15.75" thickBot="1">
      <c r="A119" s="533"/>
      <c r="B119" s="542"/>
      <c r="C119" s="559"/>
      <c r="D119" s="559"/>
      <c r="E119" s="559"/>
      <c r="F119" s="559"/>
      <c r="G119" s="535"/>
      <c r="H119" s="535"/>
      <c r="I119" s="535"/>
      <c r="J119" s="535"/>
      <c r="K119" s="535"/>
      <c r="L119" s="535"/>
      <c r="M119" s="536"/>
      <c r="N119" s="1154"/>
      <c r="O119" s="1154"/>
      <c r="P119" s="44"/>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39" t="s">
        <v>2809</v>
      </c>
      <c r="B1" s="240"/>
      <c r="C1" s="244" t="s">
        <v>2810</v>
      </c>
      <c r="D1" s="387">
        <f>SUM(D29:D30,D33:D39)</f>
        <v>0</v>
      </c>
      <c r="E1" s="2715"/>
      <c r="F1" s="2715"/>
      <c r="G1" s="2715"/>
      <c r="H1" s="2715"/>
      <c r="I1" s="2715"/>
      <c r="J1" s="2715"/>
      <c r="K1" s="1370"/>
      <c r="L1" s="2716" t="s">
        <v>2811</v>
      </c>
      <c r="M1" s="1081">
        <f>SUMPRODUCT((区片价!B5:B9=I2)*(区片价!C3:F3=E2)*(区片价!C5:F9))</f>
        <v>0</v>
      </c>
      <c r="N1" s="1084">
        <f>SUMPRODUCT((因素修正幅度!B5:B9=I2)*(因素修正幅度!C3:F3=E2)*(因素修正幅度!C5:F9))</f>
        <v>0</v>
      </c>
      <c r="O1" s="2717"/>
      <c r="P1" s="2717"/>
      <c r="Q1" s="1370"/>
      <c r="R1" s="1602" t="s">
        <v>2812</v>
      </c>
      <c r="S1" s="1602" t="s">
        <v>2813</v>
      </c>
      <c r="T1" s="1602" t="s">
        <v>2814</v>
      </c>
      <c r="U1" s="1602" t="s">
        <v>2815</v>
      </c>
      <c r="V1" s="1602" t="s">
        <v>2816</v>
      </c>
      <c r="W1" s="1606"/>
      <c r="X1" s="1606"/>
      <c r="Y1" s="1606"/>
      <c r="Z1" s="1606"/>
      <c r="AA1" s="1606"/>
      <c r="AB1" s="1606"/>
      <c r="AC1" s="1607"/>
      <c r="AD1" s="1608"/>
      <c r="AE1" s="1608"/>
      <c r="AF1" s="1608"/>
      <c r="AG1" s="1608"/>
      <c r="AH1" s="1608"/>
      <c r="AI1" s="1608"/>
      <c r="AJ1" s="1609"/>
    </row>
    <row r="2" spans="1:36" ht="15.75">
      <c r="A2" s="244" t="s">
        <v>2817</v>
      </c>
      <c r="B2" s="247" t="e">
        <f>C26</f>
        <v>#DIV/0!</v>
      </c>
      <c r="C2" s="2719" t="s">
        <v>2818</v>
      </c>
      <c r="D2" s="2720" t="s">
        <v>2819</v>
      </c>
      <c r="E2" s="2721"/>
      <c r="F2" s="2720" t="s">
        <v>2820</v>
      </c>
      <c r="G2" s="2722">
        <f>IF(E2="商业",项目基本情况!B37,IF(E2="办公",项目基本情况!C37,IF(E2="住宅",项目基本情况!D37,项目基本情况!E37)))</f>
        <v>0</v>
      </c>
      <c r="H2" s="2720" t="s">
        <v>2821</v>
      </c>
      <c r="I2" s="2722">
        <f>IF(E2="商业",项目基本情况!B38,IF(E2="办公",项目基本情况!C38,IF(E2="住宅",项目基本情况!D38,项目基本情况!E38)))</f>
        <v>0</v>
      </c>
      <c r="J2" s="2723"/>
      <c r="K2" s="1370"/>
      <c r="L2" s="2724" t="s">
        <v>2822</v>
      </c>
      <c r="M2" s="1082">
        <f>SUMPRODUCT((区片价!B10:B28=I2)*(区片价!C3:F3=E2)*(区片价!C10:F28))</f>
        <v>0</v>
      </c>
      <c r="N2" s="1084">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6" t="s">
        <v>2823</v>
      </c>
      <c r="B3" s="247" t="e">
        <f>ROUND(B2*10000/D1,0)</f>
        <v>#DIV/0!</v>
      </c>
      <c r="C3" s="2719" t="s">
        <v>2824</v>
      </c>
      <c r="D3" s="2720" t="s">
        <v>2825</v>
      </c>
      <c r="E3" s="2725"/>
      <c r="F3" s="2726" t="s">
        <v>2826</v>
      </c>
      <c r="G3" s="914">
        <f>IF(F3="宗地容积率",'数据-汇总表'!I4,IF(F3="估价对象容积率",'数据-汇总表'!I6,'数据-汇总表'!I7))</f>
        <v>18.57</v>
      </c>
      <c r="H3" s="197" t="s">
        <v>2827</v>
      </c>
      <c r="I3" s="945"/>
      <c r="J3" s="2723" t="s">
        <v>2828</v>
      </c>
      <c r="K3" s="1370"/>
      <c r="L3" s="2724" t="s">
        <v>2829</v>
      </c>
      <c r="M3" s="1082">
        <f>SUMPRODUCT((区片价!B29:B48=I2)*(区片价!C3:F3=E2)*(区片价!C29:F48))</f>
        <v>0</v>
      </c>
      <c r="N3" s="1084">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3"/>
      <c r="B4" s="3274"/>
      <c r="C4" s="3274"/>
      <c r="D4" s="3275"/>
      <c r="E4" s="3275"/>
      <c r="F4" s="3275"/>
      <c r="G4" s="3275"/>
      <c r="H4" s="3275"/>
      <c r="I4" s="3275"/>
      <c r="J4" s="3276"/>
      <c r="K4" s="1370"/>
      <c r="L4" s="2724" t="s">
        <v>2830</v>
      </c>
      <c r="M4" s="1082">
        <f>SUMPRODUCT((区片价!B49:B75=I2)*(区片价!C3:F3=E2)*(区片价!C49:F75))</f>
        <v>0</v>
      </c>
      <c r="N4" s="1084">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2831</v>
      </c>
      <c r="C5" s="915" t="e">
        <f>ROUND(IF(E2="商业",IF(F16="增加",C6*C7+C16,C6*C7-C16),IF(E2="住宅",IF(F16="增加",C6*C12+C16,C6*C12-C16),IF(F16="增加",C6+C16,C6-C16))),0)</f>
        <v>#DIV/0!</v>
      </c>
      <c r="D5" s="1787">
        <f>ROUND(IF(E2="商业",IF(F16="增加",C6+C16,C6-C16)),0)</f>
        <v>0</v>
      </c>
      <c r="E5" s="2729"/>
      <c r="F5" s="2729"/>
      <c r="G5" s="2730"/>
      <c r="H5" s="2730"/>
      <c r="I5" s="2730"/>
      <c r="J5" s="2731"/>
      <c r="K5" s="2732"/>
      <c r="L5" s="2724" t="s">
        <v>2832</v>
      </c>
      <c r="M5" s="1082">
        <f>SUMPRODUCT((区片价!B76:B109=I2)*(区片价!C3:F3=E2)*(区片价!C76:F109))</f>
        <v>0</v>
      </c>
      <c r="N5" s="1084">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5.75" thickBot="1">
      <c r="A6" s="2737" t="s">
        <v>2833</v>
      </c>
      <c r="B6" s="2738" t="s">
        <v>2834</v>
      </c>
      <c r="C6" s="916">
        <f>SUMIF(L1:L12,G2,M1:M12)</f>
        <v>0</v>
      </c>
      <c r="D6" s="2739" t="s">
        <v>2835</v>
      </c>
      <c r="E6" s="2740"/>
      <c r="F6" s="2740"/>
      <c r="G6" s="2741"/>
      <c r="H6" s="2741"/>
      <c r="I6" s="2741"/>
      <c r="J6" s="2742"/>
      <c r="K6" s="1842"/>
      <c r="L6" s="2724" t="s">
        <v>2836</v>
      </c>
      <c r="M6" s="1082">
        <f>SUMPRODUCT((区片价!B110:B157=I2)*(区片价!C3:F3=E2)*(区片价!C110:F157))</f>
        <v>0</v>
      </c>
      <c r="N6" s="1084">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24">
      <c r="A7" s="3259" t="str">
        <f>IF(E2="商业",IF(C8="不临58条商业街","",2),"")</f>
        <v/>
      </c>
      <c r="B7" s="2743" t="s">
        <v>2837</v>
      </c>
      <c r="C7" s="917" t="e">
        <f>IF(C8="不临58条商业街",1,ROUND(1+(1.6*E8+1.2*E9+0.8*E10+0.4*E11)*C9,4))</f>
        <v>#DIV/0!</v>
      </c>
      <c r="D7" s="2744" t="s">
        <v>2838</v>
      </c>
      <c r="E7" s="946"/>
      <c r="F7" s="2745"/>
      <c r="G7" s="2746"/>
      <c r="H7" s="2746"/>
      <c r="I7" s="2746"/>
      <c r="J7" s="2747"/>
      <c r="K7" s="1842"/>
      <c r="L7" s="2724" t="s">
        <v>2839</v>
      </c>
      <c r="M7" s="1082">
        <f>SUMPRODUCT((区片价!B158:B205=I2)*(区片价!C3:F3=E2)*(区片价!C158:F205))</f>
        <v>0</v>
      </c>
      <c r="N7" s="1084">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2840</v>
      </c>
      <c r="X7" s="1604">
        <f>G2</f>
        <v>0</v>
      </c>
      <c r="Y7" s="1604" t="s">
        <v>2841</v>
      </c>
      <c r="Z7" s="1605">
        <f>G3</f>
        <v>18.57</v>
      </c>
      <c r="AA7" s="1606"/>
      <c r="AB7" s="1606"/>
      <c r="AC7" s="1607"/>
      <c r="AD7" s="1608"/>
      <c r="AE7" s="1608"/>
      <c r="AF7" s="1608"/>
      <c r="AG7" s="1608"/>
      <c r="AH7" s="1608"/>
      <c r="AI7" s="1608"/>
      <c r="AJ7" s="1609"/>
    </row>
    <row r="8" spans="1:36" ht="15">
      <c r="A8" s="3260"/>
      <c r="B8" s="197" t="s">
        <v>2842</v>
      </c>
      <c r="C8" s="2748"/>
      <c r="D8" s="918" t="s">
        <v>139</v>
      </c>
      <c r="E8" s="919" t="e">
        <f>ROUND(C11/E7,4)</f>
        <v>#DIV/0!</v>
      </c>
      <c r="F8" s="2749" t="s">
        <v>2843</v>
      </c>
      <c r="G8" s="2750"/>
      <c r="H8" s="2750"/>
      <c r="I8" s="2750"/>
      <c r="J8" s="2751"/>
      <c r="K8" s="1370"/>
      <c r="L8" s="2724" t="s">
        <v>2844</v>
      </c>
      <c r="M8" s="1082">
        <f>SUMPRODUCT((区片价!B206:B244=I2)*(区片价!C3:F3=E2)*(区片价!C206:F244))</f>
        <v>0</v>
      </c>
      <c r="N8" s="1084">
        <f>SUMPRODUCT((因素修正幅度!B206:B244=I2)*(因素修正幅度!C3:F3=E2)*(因素修正幅度!C206:F244))</f>
        <v>0</v>
      </c>
      <c r="O8" s="1370"/>
      <c r="P8" s="1370"/>
      <c r="Q8" s="1370"/>
      <c r="R8" s="1602">
        <v>7</v>
      </c>
      <c r="S8" s="1603"/>
      <c r="T8" s="1602" t="e">
        <f t="shared" si="0"/>
        <v>#DIV/0!</v>
      </c>
      <c r="U8" s="1603"/>
      <c r="V8" s="1602" t="e">
        <f t="shared" si="1"/>
        <v>#DIV/0!</v>
      </c>
      <c r="W8" s="3270" t="s">
        <v>2845</v>
      </c>
      <c r="X8" s="3271"/>
      <c r="Y8" s="1610" t="s">
        <v>2846</v>
      </c>
      <c r="Z8" s="1610" t="s">
        <v>2847</v>
      </c>
      <c r="AA8" s="1610" t="s">
        <v>2848</v>
      </c>
      <c r="AB8" s="1610" t="s">
        <v>2849</v>
      </c>
      <c r="AC8" s="1610" t="s">
        <v>2850</v>
      </c>
      <c r="AD8" s="1610" t="s">
        <v>2851</v>
      </c>
      <c r="AE8" s="1610" t="s">
        <v>2852</v>
      </c>
      <c r="AF8" s="1610" t="s">
        <v>2853</v>
      </c>
      <c r="AG8" s="1610" t="s">
        <v>2854</v>
      </c>
      <c r="AH8" s="1610" t="s">
        <v>2855</v>
      </c>
      <c r="AI8" s="1610" t="s">
        <v>2856</v>
      </c>
      <c r="AJ8" s="1610" t="s">
        <v>2857</v>
      </c>
    </row>
    <row r="9" spans="1:36" ht="15">
      <c r="A9" s="3260"/>
      <c r="B9" s="197" t="s">
        <v>2858</v>
      </c>
      <c r="C9" s="920">
        <f>SUMIF(修正!C59:C119,C8,修正!E59:E119)</f>
        <v>0</v>
      </c>
      <c r="D9" s="199" t="s">
        <v>140</v>
      </c>
      <c r="E9" s="199" t="e">
        <f>ROUND(C11/E7,4)</f>
        <v>#DIV/0!</v>
      </c>
      <c r="F9" s="2749" t="s">
        <v>2859</v>
      </c>
      <c r="G9" s="2750"/>
      <c r="H9" s="2750"/>
      <c r="I9" s="2750"/>
      <c r="J9" s="2751"/>
      <c r="K9" s="1370"/>
      <c r="L9" s="2724" t="s">
        <v>2860</v>
      </c>
      <c r="M9" s="1082">
        <f>SUMPRODUCT((区片价!B245:B289=I2)*(区片价!C3:F3=E2)*(区片价!C245:F289))</f>
        <v>0</v>
      </c>
      <c r="N9" s="1084">
        <f>SUMPRODUCT((因素修正幅度!B245:B289=I2)*(因素修正幅度!C3:F3=E2)*(因素修正幅度!C245:F289))</f>
        <v>0</v>
      </c>
      <c r="O9" s="1370"/>
      <c r="P9" s="1370"/>
      <c r="Q9" s="1370"/>
      <c r="R9" s="1602">
        <v>8</v>
      </c>
      <c r="S9" s="1603"/>
      <c r="T9" s="1602" t="e">
        <f t="shared" si="0"/>
        <v>#DIV/0!</v>
      </c>
      <c r="U9" s="1603"/>
      <c r="V9" s="1602" t="e">
        <f t="shared" si="1"/>
        <v>#DIV/0!</v>
      </c>
      <c r="W9" s="3272" t="s">
        <v>2861</v>
      </c>
      <c r="X9" s="1611" t="s">
        <v>2862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0"/>
      <c r="B10" s="197" t="s">
        <v>2863</v>
      </c>
      <c r="C10" s="199">
        <f>SUMIF(修正!C59:C119,C8,修正!F59:F119)</f>
        <v>0</v>
      </c>
      <c r="D10" s="199" t="s">
        <v>141</v>
      </c>
      <c r="E10" s="199" t="e">
        <f>ROUND(C11/E7,4)</f>
        <v>#DIV/0!</v>
      </c>
      <c r="F10" s="2749" t="s">
        <v>2864</v>
      </c>
      <c r="G10" s="2750"/>
      <c r="H10" s="2750"/>
      <c r="I10" s="2750"/>
      <c r="J10" s="2751"/>
      <c r="K10" s="1370"/>
      <c r="L10" s="2724" t="s">
        <v>2865</v>
      </c>
      <c r="M10" s="1082">
        <f>SUMPRODUCT((区片价!B290:B316=I2)*(区片价!C3:F3=E2)*(区片价!C290:F316))</f>
        <v>0</v>
      </c>
      <c r="N10" s="1084">
        <f>SUMPRODUCT((因素修正幅度!B290:B316=I2)*(因素修正幅度!C3:F3=E2)*(因素修正幅度!C290:F316))</f>
        <v>0</v>
      </c>
      <c r="O10" s="1370"/>
      <c r="P10" s="1370"/>
      <c r="Q10" s="1370"/>
      <c r="R10" s="1602">
        <v>9</v>
      </c>
      <c r="S10" s="1603"/>
      <c r="T10" s="1602" t="e">
        <f t="shared" si="0"/>
        <v>#DIV/0!</v>
      </c>
      <c r="U10" s="1603"/>
      <c r="V10" s="1602" t="e">
        <f t="shared" si="1"/>
        <v>#DIV/0!</v>
      </c>
      <c r="W10" s="327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0"/>
      <c r="B11" s="2752" t="s">
        <v>2866</v>
      </c>
      <c r="C11" s="921">
        <f>C10/4</f>
        <v>0</v>
      </c>
      <c r="D11" s="921" t="s">
        <v>142</v>
      </c>
      <c r="E11" s="921" t="e">
        <f>ROUND(C11/E7,4)</f>
        <v>#DIV/0!</v>
      </c>
      <c r="F11" s="2753" t="s">
        <v>2867</v>
      </c>
      <c r="G11" s="2754"/>
      <c r="H11" s="2754"/>
      <c r="I11" s="2754"/>
      <c r="J11" s="2755"/>
      <c r="K11" s="1370"/>
      <c r="L11" s="2724" t="s">
        <v>2868</v>
      </c>
      <c r="M11" s="1082">
        <f>SUMPRODUCT((区片价!B317:B337=I2)*(区片价!C3:F3=E2)*(区片价!C317:F337))</f>
        <v>0</v>
      </c>
      <c r="N11" s="1084">
        <f>SUMPRODUCT((因素修正幅度!B317:B337=I2)*(因素修正幅度!C3:F3=E2)*(因素修正幅度!C317:F337))</f>
        <v>0</v>
      </c>
      <c r="O11" s="1370"/>
      <c r="P11" s="1370"/>
      <c r="Q11" s="1370"/>
      <c r="R11" s="1602">
        <v>10</v>
      </c>
      <c r="S11" s="1603"/>
      <c r="T11" s="1602" t="e">
        <f t="shared" si="0"/>
        <v>#DIV/0!</v>
      </c>
      <c r="U11" s="1603"/>
      <c r="V11" s="1602" t="e">
        <f t="shared" si="1"/>
        <v>#DIV/0!</v>
      </c>
      <c r="W11" s="3272" t="s">
        <v>2869</v>
      </c>
      <c r="X11" s="1614" t="s">
        <v>2870</v>
      </c>
      <c r="Y11" s="1615">
        <f>$G$3</f>
        <v>18.57</v>
      </c>
      <c r="Z11" s="1615">
        <f t="shared" ref="Z11:AJ11" si="3">$G$3</f>
        <v>18.57</v>
      </c>
      <c r="AA11" s="1615">
        <f t="shared" si="3"/>
        <v>18.57</v>
      </c>
      <c r="AB11" s="1615">
        <f t="shared" si="3"/>
        <v>18.57</v>
      </c>
      <c r="AC11" s="1615">
        <f t="shared" si="3"/>
        <v>18.57</v>
      </c>
      <c r="AD11" s="1615">
        <f t="shared" si="3"/>
        <v>18.57</v>
      </c>
      <c r="AE11" s="1615">
        <f t="shared" si="3"/>
        <v>18.57</v>
      </c>
      <c r="AF11" s="1615">
        <f t="shared" si="3"/>
        <v>18.57</v>
      </c>
      <c r="AG11" s="1615">
        <f t="shared" si="3"/>
        <v>18.57</v>
      </c>
      <c r="AH11" s="1615">
        <f t="shared" si="3"/>
        <v>18.57</v>
      </c>
      <c r="AI11" s="1615">
        <f t="shared" si="3"/>
        <v>18.57</v>
      </c>
      <c r="AJ11" s="1615">
        <f t="shared" si="3"/>
        <v>18.57</v>
      </c>
    </row>
    <row r="12" spans="1:36" ht="25.5" thickBot="1">
      <c r="A12" s="3259" t="s">
        <v>2871</v>
      </c>
      <c r="B12" s="2756" t="s">
        <v>2872</v>
      </c>
      <c r="C12" s="917">
        <f>ROUND(C15*D15*E15*F15*G15*H15*I15*J15,4)</f>
        <v>1</v>
      </c>
      <c r="D12" s="2757" t="s">
        <v>2873</v>
      </c>
      <c r="E12" s="2758"/>
      <c r="F12" s="2758"/>
      <c r="G12" s="2759"/>
      <c r="H12" s="2759"/>
      <c r="I12" s="2759"/>
      <c r="J12" s="2760"/>
      <c r="K12" s="1370"/>
      <c r="L12" s="2761" t="s">
        <v>2874</v>
      </c>
      <c r="M12" s="1083">
        <f>SUMPRODUCT((区片价!B338:B344=I2)*(区片价!C3:F3=E2)*(区片价!C338:F344))</f>
        <v>0</v>
      </c>
      <c r="N12" s="1084">
        <f>SUMPRODUCT((因素修正幅度!B338:B344=I2)*(因素修正幅度!C3:F3=E2)*(因素修正幅度!C338:F344))</f>
        <v>0</v>
      </c>
      <c r="O12" s="1370"/>
      <c r="P12" s="1370"/>
      <c r="Q12" s="1370"/>
      <c r="R12" s="1602">
        <v>11</v>
      </c>
      <c r="S12" s="1603"/>
      <c r="T12" s="1602" t="e">
        <f t="shared" si="0"/>
        <v>#DIV/0!</v>
      </c>
      <c r="U12" s="1603"/>
      <c r="V12" s="1602" t="e">
        <f t="shared" si="1"/>
        <v>#DIV/0!</v>
      </c>
      <c r="W12" s="3272"/>
      <c r="X12" s="1616" t="s">
        <v>2875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7"/>
      <c r="B13" s="2762" t="s">
        <v>2876</v>
      </c>
      <c r="C13" s="2763" t="s">
        <v>2877</v>
      </c>
      <c r="D13" s="1808" t="s">
        <v>2878</v>
      </c>
      <c r="E13" s="1808" t="s">
        <v>2879</v>
      </c>
      <c r="F13" s="29" t="s">
        <v>2880</v>
      </c>
      <c r="G13" s="2764" t="s">
        <v>2881</v>
      </c>
      <c r="H13" s="2764" t="s">
        <v>2881</v>
      </c>
      <c r="I13" s="2764" t="s">
        <v>2881</v>
      </c>
      <c r="J13" s="2765" t="s">
        <v>2881</v>
      </c>
      <c r="K13" s="1370"/>
      <c r="L13" s="1370"/>
      <c r="M13" s="1370"/>
      <c r="N13" s="1370"/>
      <c r="O13" s="1370"/>
      <c r="P13" s="1370"/>
      <c r="Q13" s="1370"/>
      <c r="R13" s="1602">
        <v>12</v>
      </c>
      <c r="S13" s="1603"/>
      <c r="T13" s="1602" t="e">
        <f t="shared" si="0"/>
        <v>#DIV/0!</v>
      </c>
      <c r="U13" s="1603"/>
      <c r="V13" s="1602" t="e">
        <f t="shared" si="1"/>
        <v>#DIV/0!</v>
      </c>
      <c r="W13" s="3272"/>
      <c r="X13" s="1616"/>
      <c r="Y13" s="1613">
        <f>(-0.163*(Y12^2)-0.59*Y12+7617)*(10^(-4))/Y11</f>
        <v>4.1017770597738291E-2</v>
      </c>
      <c r="Z13" s="1613">
        <f t="shared" ref="Z13:AJ13" si="5">(-0.163*(Z12^2)-0.59*Z12+7617)*(10^(-4))/Z11</f>
        <v>4.1017770597738291E-2</v>
      </c>
      <c r="AA13" s="1613">
        <f t="shared" si="5"/>
        <v>4.1017770597738291E-2</v>
      </c>
      <c r="AB13" s="1613">
        <f t="shared" si="5"/>
        <v>4.1017770597738291E-2</v>
      </c>
      <c r="AC13" s="1613">
        <f t="shared" si="5"/>
        <v>4.1017770597738291E-2</v>
      </c>
      <c r="AD13" s="1613">
        <f t="shared" si="5"/>
        <v>4.1017770597738291E-2</v>
      </c>
      <c r="AE13" s="1613">
        <f t="shared" si="5"/>
        <v>4.1017770597738291E-2</v>
      </c>
      <c r="AF13" s="1613">
        <f t="shared" si="5"/>
        <v>4.1017770597738291E-2</v>
      </c>
      <c r="AG13" s="1613">
        <f t="shared" si="5"/>
        <v>4.1017770597738291E-2</v>
      </c>
      <c r="AH13" s="1613">
        <f t="shared" si="5"/>
        <v>4.1017770597738291E-2</v>
      </c>
      <c r="AI13" s="1613">
        <f t="shared" si="5"/>
        <v>4.1017770597738291E-2</v>
      </c>
      <c r="AJ13" s="1613">
        <f t="shared" si="5"/>
        <v>4.1017770597738291E-2</v>
      </c>
    </row>
    <row r="14" spans="1:36" ht="15">
      <c r="A14" s="3277"/>
      <c r="B14" s="2766"/>
      <c r="C14" s="2767"/>
      <c r="D14" s="2768"/>
      <c r="E14" s="2768"/>
      <c r="F14" s="2769"/>
      <c r="G14" s="2770" t="s">
        <v>2882</v>
      </c>
      <c r="H14" s="2771"/>
      <c r="I14" s="2772"/>
      <c r="J14" s="2773"/>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8"/>
      <c r="B15" s="2774" t="s">
        <v>2883</v>
      </c>
      <c r="C15" s="228">
        <f>IF(C14="有",1.1,1)</f>
        <v>1</v>
      </c>
      <c r="D15" s="228">
        <f>IF(D14="有",1.1,1)</f>
        <v>1</v>
      </c>
      <c r="E15" s="228">
        <f>IF(E14="有",1.1,1)</f>
        <v>1</v>
      </c>
      <c r="F15" s="228">
        <f>IF(F14="500米范围内",1.2,IF(F14="500-1000米",1.1,1))</f>
        <v>1</v>
      </c>
      <c r="G15" s="947">
        <v>1</v>
      </c>
      <c r="H15" s="947">
        <v>1</v>
      </c>
      <c r="I15" s="947">
        <v>1</v>
      </c>
      <c r="J15" s="948">
        <v>1</v>
      </c>
      <c r="K15" s="1370"/>
      <c r="L15" s="2775" t="s">
        <v>2819</v>
      </c>
      <c r="M15" s="918" t="s">
        <v>2884</v>
      </c>
      <c r="N15" s="918" t="s">
        <v>2885</v>
      </c>
      <c r="O15" s="918" t="s">
        <v>2886</v>
      </c>
      <c r="P15" s="2776" t="s">
        <v>2887</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59" t="s">
        <v>2888</v>
      </c>
      <c r="B16" s="2743" t="s">
        <v>2889</v>
      </c>
      <c r="C16" s="1801" t="e">
        <f>ROUND(SUM(G17:J17)/C17,0)</f>
        <v>#DIV/0!</v>
      </c>
      <c r="D16" s="2777" t="s">
        <v>2890</v>
      </c>
      <c r="E16" s="2778"/>
      <c r="F16" s="2779"/>
      <c r="G16" s="2780"/>
      <c r="H16" s="2780"/>
      <c r="I16" s="2780"/>
      <c r="J16" s="2781"/>
      <c r="K16" s="1370"/>
      <c r="L16" s="2782" t="s">
        <v>2891</v>
      </c>
      <c r="M16" s="920">
        <v>0.25</v>
      </c>
      <c r="N16" s="920">
        <v>0.2</v>
      </c>
      <c r="O16" s="920">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0"/>
      <c r="B17" s="2783" t="s">
        <v>2892</v>
      </c>
      <c r="C17" s="922">
        <f>SUMPRODUCT((修正!A2:A5=E2)*(修正!B1:M1=G2)*(修正!B2:M5))</f>
        <v>0</v>
      </c>
      <c r="D17" s="2784" t="s">
        <v>2893</v>
      </c>
      <c r="E17" s="921" t="str">
        <f>IF(OR(G2="八级",G2="九级",G2="十级",G2="十一级",G2="十二级"),"五通一平","七通一平")</f>
        <v>七通一平</v>
      </c>
      <c r="F17" s="922" t="s">
        <v>2894</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5" t="s">
        <v>2895</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2896</v>
      </c>
      <c r="C18" s="924">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2897</v>
      </c>
      <c r="C19" s="925" t="e">
        <f>ROUND(IF(H19="按公示增长率计算",SUMPRODUCT((地价!A3:A24=YEAR(G19)&amp;"-"&amp;ROUNDUP(MONTH(G19)/3,0))*(地价!X2:AB2=E2)*(地价!X3:AB24)),IF(H19="地价指数",M20/M19,(1+I19)^O19)),4)</f>
        <v>#DIV/0!</v>
      </c>
      <c r="D19" s="2795" t="s">
        <v>2898</v>
      </c>
      <c r="E19" s="926">
        <v>41640</v>
      </c>
      <c r="F19" s="2795" t="s">
        <v>2899</v>
      </c>
      <c r="G19" s="927">
        <f>'数据-取费表'!B2</f>
        <v>43432</v>
      </c>
      <c r="H19" s="2796" t="s">
        <v>2900</v>
      </c>
      <c r="I19" s="928" t="str">
        <f>IF(H19="季度增幅（自定义）",SUMIF(N21:N24,E2,O21:O24),"")</f>
        <v/>
      </c>
      <c r="J19" s="2793"/>
      <c r="K19" s="1377"/>
      <c r="L19" s="2797" t="s">
        <v>2901</v>
      </c>
      <c r="M19" s="1734">
        <f>ROUND(SUMIF(地价!B2:F2,E2,地价!B24:F24),0)</f>
        <v>0</v>
      </c>
      <c r="N19" s="2798" t="s">
        <v>2902</v>
      </c>
      <c r="O19" s="929">
        <f>ROUNDDOWN(DATEDIF(E19,G19,"M")/3,0)</f>
        <v>19</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2903</v>
      </c>
      <c r="C20" s="930" t="e">
        <f>ROUND(POWER(1+G20,J20-I20)*(POWER(1+G20,I20)-1)/(POWER(1+G20,J20)-1),4)</f>
        <v>#DIV/0!</v>
      </c>
      <c r="D20" s="2804" t="s">
        <v>2904</v>
      </c>
      <c r="E20" s="1768">
        <f ca="1">存贷款利率!D4/100</f>
        <v>4.3499999999999997E-2</v>
      </c>
      <c r="F20" s="2804" t="s">
        <v>2895</v>
      </c>
      <c r="G20" s="935">
        <f>SUMIF(M15:P15,E2,M17:P17)</f>
        <v>0</v>
      </c>
      <c r="H20" s="2804" t="s">
        <v>2905</v>
      </c>
      <c r="I20" s="936" t="e">
        <f>SUMIF('数据-取费表'!C6:C15,E2,'数据-取费表'!F6:F15)/COUNTIF('数据-取费表'!C6:C15,E2)</f>
        <v>#DIV/0!</v>
      </c>
      <c r="J20" s="937">
        <f>IF(E2="住宅",70,IF(E2="商业",40,50))</f>
        <v>50</v>
      </c>
      <c r="K20" s="1377"/>
      <c r="L20" s="2805" t="s">
        <v>2906</v>
      </c>
      <c r="M20" s="1735">
        <f>ROUND(SUMPRODUCT((地价!A4:A24=YEAR(G19)&amp;"-"&amp;ROUNDUP(MONTH(G19)/3,0))*(地价!B2:F2=E2)*(地价!B4:F24)),0)</f>
        <v>0</v>
      </c>
      <c r="N20" s="2806" t="s">
        <v>2907</v>
      </c>
      <c r="O20" s="2807" t="s">
        <v>2908</v>
      </c>
      <c r="P20" s="2808" t="s">
        <v>2909</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2910</v>
      </c>
      <c r="C21" s="938">
        <f>IF(B21="容积率修正",IF(G3&lt;=10,D22,J22),C23)</f>
        <v>0</v>
      </c>
      <c r="D21" s="2811"/>
      <c r="E21" s="2811"/>
      <c r="F21" s="2811"/>
      <c r="G21" s="2811"/>
      <c r="H21" s="2811"/>
      <c r="I21" s="2811"/>
      <c r="J21" s="2812"/>
      <c r="K21" s="1377"/>
      <c r="N21" s="2813" t="s">
        <v>2911</v>
      </c>
      <c r="O21" s="1561"/>
      <c r="P21" s="1562">
        <f>SUMPRODUCT((地价!A3:A24=YEAR(G19)&amp;"-"&amp;ROUNDUP(MONTH(G19)/3,0))*(地价!AD2:AH2=N21)*(地价!AD3:AH24))</f>
        <v>1.5299999999999999E-2</v>
      </c>
      <c r="R21" s="1376"/>
      <c r="S21" s="1376"/>
      <c r="T21" s="1371"/>
      <c r="U21" s="1371"/>
      <c r="V21" s="1371"/>
      <c r="W21" s="1370"/>
      <c r="X21" s="1370"/>
      <c r="Y21" s="1370"/>
      <c r="Z21" s="1377"/>
      <c r="AA21" s="1378"/>
      <c r="AB21" s="1378"/>
      <c r="AC21" s="1378"/>
      <c r="AD21" s="1378"/>
      <c r="AE21" s="1378"/>
      <c r="AF21" s="1378"/>
    </row>
    <row r="22" spans="1:37" s="2736" customFormat="1" ht="14.25">
      <c r="A22" s="2663" t="s">
        <v>2912</v>
      </c>
      <c r="B22" s="2814" t="s">
        <v>2913</v>
      </c>
      <c r="C22" s="1810" t="s">
        <v>2914</v>
      </c>
      <c r="D22" s="1810" t="str">
        <f>IF(E22=G22,F22,IF(G3&lt;=10,ROUND(F22+(H22-F22)*(G3-E22)/(G22-E22),4),"——"))</f>
        <v>——</v>
      </c>
      <c r="E22" s="914">
        <f>ROUNDDOWN(G3,1)</f>
        <v>18.5</v>
      </c>
      <c r="F22" s="1810"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4">
        <f>ROUNDUP(G3,1)</f>
        <v>18.600000000000001</v>
      </c>
      <c r="H22" s="1810"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0" t="s">
        <v>155</v>
      </c>
      <c r="J22" s="939">
        <f>IF(G3&gt;10,D113,"——")</f>
        <v>0</v>
      </c>
      <c r="K22" s="1377"/>
      <c r="N22" s="2813" t="s">
        <v>2915</v>
      </c>
      <c r="O22" s="1561"/>
      <c r="P22" s="1562">
        <f>SUMPRODUCT((地价!A3:A24=YEAR(G19)&amp;"-"&amp;ROUNDUP(MONTH(G19)/3,0))*(地价!AD2:AH2=N22)*(地价!AD3:AH24))</f>
        <v>1.5299999999999999E-2</v>
      </c>
      <c r="R22" s="1376"/>
      <c r="S22" s="1376"/>
      <c r="T22" s="1371"/>
      <c r="U22" s="1371"/>
      <c r="V22" s="1371"/>
      <c r="W22" s="1370"/>
      <c r="X22" s="1370"/>
      <c r="Y22" s="1370"/>
      <c r="Z22" s="1377"/>
      <c r="AA22" s="1378"/>
      <c r="AB22" s="1378"/>
      <c r="AC22" s="1378"/>
      <c r="AD22" s="1378"/>
      <c r="AE22" s="1378"/>
      <c r="AF22" s="1378"/>
    </row>
    <row r="23" spans="1:37" ht="27.75" thickBot="1">
      <c r="A23" s="2663" t="s">
        <v>2916</v>
      </c>
      <c r="B23" s="2815" t="s">
        <v>2917</v>
      </c>
      <c r="C23" s="1014">
        <f>ROUND(IF(G3&gt;1,IF(I3&lt;7,SUMPRODUCT((B93:B98=I3)*(C92:N92=G2)*(C93:N98)),SUMIF(C92:N92,G2,C100:N100)),IF(I3&lt;7,SUMPRODUCT((B102:B107=I3)*(C92:N92=G2)*(C102:N107)),SUMIF(C92:N92,G2,C109:N109))),4)</f>
        <v>0</v>
      </c>
      <c r="D23" s="2771"/>
      <c r="E23" s="2771"/>
      <c r="F23" s="2816"/>
      <c r="G23" s="2817"/>
      <c r="H23" s="2818"/>
      <c r="I23" s="2819"/>
      <c r="J23" s="2820"/>
      <c r="K23" s="1370"/>
      <c r="N23" s="2813" t="s">
        <v>2918</v>
      </c>
      <c r="O23" s="1561"/>
      <c r="P23" s="1562">
        <f>SUMPRODUCT((地价!A3:A24=YEAR(G19)&amp;"-"&amp;ROUNDUP(MONTH(G19)/3,0))*(地价!AD2:AH2=N23)*(地价!AD3:AH24))</f>
        <v>2.41E-2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2919</v>
      </c>
      <c r="C24" s="925">
        <f>SUMIF(A45:A88,E2,B45:B88)</f>
        <v>0</v>
      </c>
      <c r="D24" s="2791"/>
      <c r="E24" s="2821"/>
      <c r="F24" s="2821"/>
      <c r="G24" s="2821"/>
      <c r="H24" s="2821"/>
      <c r="I24" s="2821"/>
      <c r="J24" s="2822"/>
      <c r="K24" s="1377"/>
      <c r="N24" s="2823" t="s">
        <v>2920</v>
      </c>
      <c r="O24" s="1563"/>
      <c r="P24" s="1564">
        <f>SUMPRODUCT((地价!A3:A24=YEAR(G19)&amp;"-"&amp;ROUNDUP(MONTH(G19)/3,0))*(地价!AD2:AH2=N24)*(地价!AD3:AH24))</f>
        <v>1.4200000000000001E-2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2921</v>
      </c>
      <c r="C25" s="931"/>
      <c r="D25" s="2746"/>
      <c r="E25" s="2746"/>
      <c r="F25" s="2825"/>
      <c r="G25" s="2746"/>
      <c r="H25" s="2746"/>
      <c r="I25" s="2746"/>
      <c r="J25" s="2747"/>
      <c r="K25" s="1370"/>
      <c r="N25" s="2826" t="s">
        <v>2922</v>
      </c>
      <c r="O25" s="1565"/>
      <c r="P25" s="1564">
        <f>SUMPRODUCT((地价!A3:A24=YEAR(G19)&amp;"-"&amp;ROUNDUP(MONTH(G19)/3,0))*(地价!AD2:AH2=N25)*(地价!AD3:AH24))</f>
        <v>2.1899999999999999E-2</v>
      </c>
      <c r="R25" s="1376"/>
      <c r="S25" s="1376"/>
      <c r="T25" s="1371"/>
      <c r="U25" s="1371"/>
      <c r="V25" s="1371"/>
      <c r="W25" s="1370"/>
      <c r="X25" s="1370"/>
      <c r="Y25" s="1370"/>
      <c r="Z25" s="1377"/>
      <c r="AA25" s="1378"/>
      <c r="AB25" s="1378"/>
      <c r="AC25" s="1378"/>
      <c r="AD25" s="1378"/>
    </row>
    <row r="26" spans="1:37" ht="15">
      <c r="A26" s="2827"/>
      <c r="B26" s="2814" t="s">
        <v>2923</v>
      </c>
      <c r="C26" s="205"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2924</v>
      </c>
      <c r="C27" s="932"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2925</v>
      </c>
      <c r="C28" s="2838" t="s">
        <v>2926</v>
      </c>
      <c r="D28" s="2838" t="s">
        <v>2927</v>
      </c>
      <c r="E28" s="2839" t="s">
        <v>2928</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2929</v>
      </c>
      <c r="C29" s="205" t="e">
        <f>ROUND(C5*C18*C19*C20*C21*C24,0)</f>
        <v>#DIV/0!</v>
      </c>
      <c r="D29" s="2843"/>
      <c r="E29" s="943" t="e">
        <f>ROUND(C29*D29/10000,0)</f>
        <v>#DIV/0!</v>
      </c>
      <c r="F29" s="2844" t="s">
        <v>2930</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2931</v>
      </c>
      <c r="C30" s="228" t="e">
        <f>ROUND(IF(E2="工业",C29*M39,C29*M38),0)</f>
        <v>#DIV/0!</v>
      </c>
      <c r="D30" s="2849"/>
      <c r="E30" s="943" t="e">
        <f>ROUND(C30*D30/10000,0)</f>
        <v>#DIV/0!</v>
      </c>
      <c r="F30" s="2850" t="s">
        <v>2932</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2933</v>
      </c>
      <c r="C31" s="2855" t="s">
        <v>2934</v>
      </c>
      <c r="D31" s="2759"/>
      <c r="E31" s="2855"/>
      <c r="F31" s="2855"/>
      <c r="G31" s="2757" t="s">
        <v>2935</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0" t="s">
        <v>2926</v>
      </c>
      <c r="D32" s="497" t="s">
        <v>2927</v>
      </c>
      <c r="E32" s="497" t="s">
        <v>2928</v>
      </c>
      <c r="F32" s="387" t="s">
        <v>2936</v>
      </c>
      <c r="G32" s="2858" t="s">
        <v>2926</v>
      </c>
      <c r="H32" s="2858" t="s">
        <v>2927</v>
      </c>
      <c r="I32" s="2858" t="s">
        <v>2928</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267" t="s">
        <v>2937</v>
      </c>
      <c r="B33" s="2859" t="s">
        <v>2938</v>
      </c>
      <c r="C33" s="205" t="e">
        <f>ROUND(D5*C19*C20*C24*F33,0)</f>
        <v>#DIV/0!</v>
      </c>
      <c r="D33" s="2843"/>
      <c r="E33" s="199" t="e">
        <f>ROUND(C33*D33/10000,0)</f>
        <v>#DIV/0!</v>
      </c>
      <c r="F33" s="199">
        <f>SUMIF(修正!A45:A56,G2,修正!B45:B56)</f>
        <v>0</v>
      </c>
      <c r="G33" s="199" t="e">
        <f t="shared" ref="G33" si="6">ROUND(IF(E2="工业",C33*$M$39,C33*$M$38),0)</f>
        <v>#DIV/0!</v>
      </c>
      <c r="H33" s="199">
        <f>D33</f>
        <v>0</v>
      </c>
      <c r="I33" s="199"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8"/>
      <c r="B34" s="2763" t="s">
        <v>2939</v>
      </c>
      <c r="C34" s="205" t="e">
        <f>ROUND(D5*C19*C20*C24*F34,0)</f>
        <v>#DIV/0!</v>
      </c>
      <c r="D34" s="2843"/>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8"/>
      <c r="B35" s="2763" t="s">
        <v>2940</v>
      </c>
      <c r="C35" s="205" t="e">
        <f>ROUND(D5*C19*C20*C24*F35,0)</f>
        <v>#DIV/0!</v>
      </c>
      <c r="D35" s="2843"/>
      <c r="E35" s="199" t="e">
        <f t="shared" si="7"/>
        <v>#DIV/0!</v>
      </c>
      <c r="F35" s="199">
        <f>SUMIF(修正!A45:A56,G2,修正!D45:D56)</f>
        <v>0</v>
      </c>
      <c r="G35" s="199" t="e">
        <f>ROUND(IF(E2="工业",C35*$M$39,C35*$M$38),0)</f>
        <v>#DIV/0!</v>
      </c>
      <c r="H35" s="199">
        <f t="shared" si="8"/>
        <v>0</v>
      </c>
      <c r="I35" s="199"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269"/>
      <c r="B36" s="2763" t="s">
        <v>2941</v>
      </c>
      <c r="C36" s="205" t="e">
        <f>ROUND(D5*C19*C20*C24*F36,0)</f>
        <v>#DIV/0!</v>
      </c>
      <c r="D36" s="2843"/>
      <c r="E36" s="199" t="e">
        <f t="shared" si="7"/>
        <v>#DIV/0!</v>
      </c>
      <c r="F36" s="199">
        <f>SUMIF(修正!A45:A56,G2,修正!E45:E56)</f>
        <v>0</v>
      </c>
      <c r="G36" s="199" t="e">
        <f>ROUND(IF(E2="工业",C36*$M$39,C36*$M$38),0)</f>
        <v>#DIV/0!</v>
      </c>
      <c r="H36" s="199">
        <f t="shared" si="8"/>
        <v>0</v>
      </c>
      <c r="I36" s="199"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2942</v>
      </c>
      <c r="C37" s="199" t="e">
        <f>ROUND(C5*C19*C20*C24*F37,0)</f>
        <v>#DIV/0!</v>
      </c>
      <c r="D37" s="2843"/>
      <c r="E37" s="199" t="e">
        <f t="shared" si="7"/>
        <v>#DIV/0!</v>
      </c>
      <c r="F37" s="205">
        <f>SUMIF(修正!A45:A56,G2,修正!F45:F56)</f>
        <v>0</v>
      </c>
      <c r="G37" s="199" t="e">
        <f>ROUND(IF(E2="工业",C37*$M$39,C37*$M$38),0)</f>
        <v>#DIV/0!</v>
      </c>
      <c r="H37" s="199">
        <f t="shared" si="8"/>
        <v>0</v>
      </c>
      <c r="I37" s="199" t="e">
        <f t="shared" si="9"/>
        <v>#DIV/0!</v>
      </c>
      <c r="J37" s="2860"/>
      <c r="K37" s="1370"/>
      <c r="L37" s="2862" t="s">
        <v>2943</v>
      </c>
      <c r="M37" s="2863"/>
      <c r="N37" s="1370"/>
      <c r="O37" s="1370"/>
      <c r="P37" s="1370"/>
      <c r="Q37" s="1370"/>
      <c r="R37" s="1370"/>
      <c r="S37" s="1370"/>
      <c r="T37" s="1370"/>
      <c r="U37" s="1370"/>
      <c r="V37" s="1370"/>
      <c r="W37" s="1370"/>
      <c r="X37" s="1370"/>
      <c r="Y37" s="1370"/>
      <c r="Z37" s="1371"/>
    </row>
    <row r="38" spans="1:37">
      <c r="A38" s="2861"/>
      <c r="B38" s="2763" t="s">
        <v>2944</v>
      </c>
      <c r="C38" s="199" t="e">
        <f>ROUND(C5*C19*C20*C24*F38,0)</f>
        <v>#DIV/0!</v>
      </c>
      <c r="D38" s="2843"/>
      <c r="E38" s="199" t="e">
        <f t="shared" si="7"/>
        <v>#DIV/0!</v>
      </c>
      <c r="F38" s="205">
        <f>SUMIF(修正!A45:A56,G2,修正!G45:G56)</f>
        <v>0</v>
      </c>
      <c r="G38" s="199" t="e">
        <f>ROUND(IF(E2="工业",C38*$M$39,C38*$M$38),0)</f>
        <v>#DIV/0!</v>
      </c>
      <c r="H38" s="199">
        <f t="shared" si="8"/>
        <v>0</v>
      </c>
      <c r="I38" s="199" t="e">
        <f t="shared" si="9"/>
        <v>#DIV/0!</v>
      </c>
      <c r="J38" s="2860"/>
      <c r="K38" s="1370"/>
      <c r="L38" s="1887" t="s">
        <v>2945</v>
      </c>
      <c r="M38" s="2864">
        <v>0.25</v>
      </c>
      <c r="N38" s="1370"/>
      <c r="O38" s="1370"/>
      <c r="P38" s="1370"/>
      <c r="Q38" s="1370"/>
      <c r="R38" s="1370"/>
      <c r="S38" s="1370"/>
      <c r="T38" s="1370"/>
      <c r="U38" s="1370"/>
      <c r="V38" s="1370"/>
      <c r="W38" s="1370"/>
      <c r="X38" s="1370"/>
      <c r="Y38" s="1370"/>
      <c r="Z38" s="1371"/>
    </row>
    <row r="39" spans="1:37" ht="13.5" thickBot="1">
      <c r="A39" s="2847"/>
      <c r="B39" s="2865" t="s">
        <v>2946</v>
      </c>
      <c r="C39" s="228" t="e">
        <f>ROUND(C5*C19*C20*C24*F39,0)</f>
        <v>#DIV/0!</v>
      </c>
      <c r="D39" s="2849"/>
      <c r="E39" s="228" t="e">
        <f t="shared" si="7"/>
        <v>#DIV/0!</v>
      </c>
      <c r="F39" s="933">
        <f>SUMIF(修正!A45:A56,G2,修正!H45:H56)</f>
        <v>0</v>
      </c>
      <c r="G39" s="228" t="e">
        <f>ROUND(IF(E2="工业",C39*$M$39,C39*$M$38),0)</f>
        <v>#DIV/0!</v>
      </c>
      <c r="H39" s="228">
        <f t="shared" si="8"/>
        <v>0</v>
      </c>
      <c r="I39" s="228" t="e">
        <f t="shared" si="9"/>
        <v>#DIV/0!</v>
      </c>
      <c r="J39" s="2866"/>
      <c r="K39" s="1370"/>
      <c r="L39" s="2867" t="s">
        <v>2887</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2947</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2948</v>
      </c>
      <c r="B46" s="2873">
        <f>1+E48</f>
        <v>1</v>
      </c>
      <c r="C46" s="2874"/>
      <c r="D46" s="812"/>
      <c r="E46" s="813"/>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2949</v>
      </c>
      <c r="B47" s="1809" t="s">
        <v>2950</v>
      </c>
      <c r="C47" s="1809" t="s">
        <v>2951</v>
      </c>
      <c r="D47" s="1809" t="s">
        <v>2952</v>
      </c>
      <c r="E47" s="817" t="s">
        <v>2953</v>
      </c>
      <c r="F47" s="2877" t="s">
        <v>2954</v>
      </c>
      <c r="G47" s="1809" t="s">
        <v>754</v>
      </c>
      <c r="H47" s="2878" t="s">
        <v>2955</v>
      </c>
      <c r="I47" s="1809" t="s">
        <v>2956</v>
      </c>
      <c r="J47" s="602" t="s">
        <v>2602</v>
      </c>
      <c r="K47" s="602" t="s">
        <v>2603</v>
      </c>
      <c r="L47" s="602" t="s">
        <v>2604</v>
      </c>
      <c r="M47" s="602" t="s">
        <v>2605</v>
      </c>
      <c r="N47" s="602" t="s">
        <v>2606</v>
      </c>
      <c r="AA47" s="1371"/>
      <c r="AB47" s="1371"/>
      <c r="AC47" s="1371"/>
      <c r="AD47" s="1371"/>
      <c r="AE47" s="1371"/>
      <c r="AF47" s="1371"/>
      <c r="AG47" s="1371"/>
      <c r="AH47" s="1371"/>
      <c r="AI47" s="1371"/>
      <c r="AJ47" s="1371"/>
      <c r="AK47" s="1371"/>
    </row>
    <row r="48" spans="1:37" s="1370" customFormat="1" ht="38.25">
      <c r="A48" s="2876" t="s">
        <v>2957</v>
      </c>
      <c r="B48" s="2879" t="str">
        <f>估价对象房地状况!C4</f>
        <v>估价对象位于XX商圈，周边商业氛围成熟，人流量大，商业繁华度好</v>
      </c>
      <c r="C48" s="2768"/>
      <c r="D48" s="1286">
        <f t="shared" ref="D48:D56" si="10">SUMIF($J$47:$N$47,C48,J48:N48)</f>
        <v>0</v>
      </c>
      <c r="E48" s="819">
        <f>ROUND(SUM(D48:D56),4)</f>
        <v>0</v>
      </c>
      <c r="F48" s="2500"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6" t="s">
        <v>2958</v>
      </c>
      <c r="B49" s="2880" t="str">
        <f>估价对象房地状况!C18</f>
        <v>估价对象周边道路状况、公共交通通达情况、停车便捷程度，综合评价交通便捷度较好</v>
      </c>
      <c r="C49" s="2768"/>
      <c r="D49" s="1286">
        <f t="shared" si="10"/>
        <v>0</v>
      </c>
      <c r="E49" s="820"/>
      <c r="F49" s="2500"/>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2959</v>
      </c>
      <c r="B50" s="2880">
        <f>估价对象房地状况!C19</f>
        <v>0</v>
      </c>
      <c r="C50" s="2768"/>
      <c r="D50" s="1286">
        <f t="shared" si="10"/>
        <v>0</v>
      </c>
      <c r="E50" s="820"/>
      <c r="F50" s="2500"/>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2960</v>
      </c>
      <c r="B51" s="2881" t="s">
        <v>2961</v>
      </c>
      <c r="C51" s="2768"/>
      <c r="D51" s="1286">
        <f t="shared" si="10"/>
        <v>0</v>
      </c>
      <c r="E51" s="820"/>
      <c r="F51" s="2500"/>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2962</v>
      </c>
      <c r="B52" s="2880">
        <f>估价对象房地状况!C24</f>
        <v>0</v>
      </c>
      <c r="C52" s="2768"/>
      <c r="D52" s="1286">
        <f t="shared" si="10"/>
        <v>0</v>
      </c>
      <c r="E52" s="820"/>
      <c r="F52" s="2500"/>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2963</v>
      </c>
      <c r="B53" s="2882" t="s">
        <v>2964</v>
      </c>
      <c r="C53" s="2768"/>
      <c r="D53" s="1286">
        <f t="shared" si="10"/>
        <v>0</v>
      </c>
      <c r="E53" s="820"/>
      <c r="F53" s="2500"/>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3" t="s">
        <v>2965</v>
      </c>
      <c r="B54" s="1725" t="str">
        <f>估价对象房地状况!C21</f>
        <v>估价对象所在区域公共配套设施齐备情况</v>
      </c>
      <c r="C54" s="2768"/>
      <c r="D54" s="1286">
        <f t="shared" si="10"/>
        <v>0</v>
      </c>
      <c r="E54" s="820"/>
      <c r="F54" s="2500"/>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2966</v>
      </c>
      <c r="B55" s="2880" t="str">
        <f>估价对象房地状况!C22</f>
        <v>估价对象所在区域基础设施水平</v>
      </c>
      <c r="C55" s="2768"/>
      <c r="D55" s="1286">
        <f t="shared" si="10"/>
        <v>0</v>
      </c>
      <c r="E55" s="820"/>
      <c r="F55" s="2500"/>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4" t="s">
        <v>2967</v>
      </c>
      <c r="B56" s="2885" t="str">
        <f>估价对象房地状况!C20</f>
        <v>区域自然环境：；人文环境；综合评价环境状况一般</v>
      </c>
      <c r="C56" s="2768"/>
      <c r="D56" s="1286">
        <f t="shared" si="10"/>
        <v>0</v>
      </c>
      <c r="E56" s="823"/>
      <c r="F56" s="2500"/>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2968</v>
      </c>
      <c r="B57" s="2873">
        <f>1+E59</f>
        <v>1</v>
      </c>
      <c r="C57" s="812"/>
      <c r="D57" s="812"/>
      <c r="E57" s="813"/>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2949</v>
      </c>
      <c r="B58" s="1809"/>
      <c r="C58" s="1809" t="s">
        <v>2951</v>
      </c>
      <c r="D58" s="1809" t="s">
        <v>2952</v>
      </c>
      <c r="E58" s="817" t="s">
        <v>2953</v>
      </c>
      <c r="F58" s="2877" t="s">
        <v>2969</v>
      </c>
      <c r="G58" s="1809" t="s">
        <v>754</v>
      </c>
      <c r="H58" s="2878" t="s">
        <v>2955</v>
      </c>
      <c r="I58" s="1809" t="s">
        <v>2956</v>
      </c>
      <c r="J58" s="602" t="s">
        <v>2602</v>
      </c>
      <c r="K58" s="602" t="s">
        <v>2603</v>
      </c>
      <c r="L58" s="602" t="s">
        <v>2604</v>
      </c>
      <c r="M58" s="602" t="s">
        <v>2605</v>
      </c>
      <c r="N58" s="602" t="s">
        <v>2606</v>
      </c>
      <c r="AA58" s="1371"/>
      <c r="AB58" s="1371"/>
      <c r="AC58" s="1371"/>
      <c r="AD58" s="1371"/>
      <c r="AE58" s="1371"/>
      <c r="AF58" s="1371"/>
      <c r="AG58" s="1371"/>
      <c r="AH58" s="1371"/>
      <c r="AI58" s="1371"/>
      <c r="AJ58" s="1371"/>
      <c r="AK58" s="1371"/>
    </row>
    <row r="59" spans="1:37" s="1370" customFormat="1" ht="38.25">
      <c r="A59" s="2876" t="s">
        <v>2970</v>
      </c>
      <c r="B59" s="2879" t="str">
        <f>估价对象房地状况!C17</f>
        <v>估价对象位于XX商圈，周边办公楼项目较多，入驻率高，办公集聚程度较好</v>
      </c>
      <c r="C59" s="2768"/>
      <c r="D59" s="1286">
        <f t="shared" ref="D59:D67" si="15">SUMIF($J$58:$N$58,C59,J59:N59)</f>
        <v>0</v>
      </c>
      <c r="E59" s="819">
        <f>ROUND(SUM(D59:D67),4)</f>
        <v>0</v>
      </c>
      <c r="F59" s="2500"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6" t="s">
        <v>2958</v>
      </c>
      <c r="B60" s="2880" t="str">
        <f>估价对象房地状况!C18</f>
        <v>估价对象周边道路状况、公共交通通达情况、停车便捷程度，综合评价交通便捷度较好</v>
      </c>
      <c r="C60" s="2768"/>
      <c r="D60" s="1286">
        <f t="shared" si="15"/>
        <v>0</v>
      </c>
      <c r="E60" s="820"/>
      <c r="F60" s="2500"/>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2959</v>
      </c>
      <c r="B61" s="2880">
        <f>估价对象房地状况!C19</f>
        <v>0</v>
      </c>
      <c r="C61" s="2768"/>
      <c r="D61" s="1286">
        <f t="shared" si="15"/>
        <v>0</v>
      </c>
      <c r="E61" s="820"/>
      <c r="F61" s="2500"/>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2960</v>
      </c>
      <c r="B62" s="2881" t="s">
        <v>2961</v>
      </c>
      <c r="C62" s="2768"/>
      <c r="D62" s="1286">
        <f t="shared" si="15"/>
        <v>0</v>
      </c>
      <c r="E62" s="820"/>
      <c r="F62" s="2500"/>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2962</v>
      </c>
      <c r="B63" s="2880">
        <f>估价对象房地状况!C24</f>
        <v>0</v>
      </c>
      <c r="C63" s="2768"/>
      <c r="D63" s="1286">
        <f t="shared" si="15"/>
        <v>0</v>
      </c>
      <c r="E63" s="820"/>
      <c r="F63" s="2500"/>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2963</v>
      </c>
      <c r="B64" s="2882" t="s">
        <v>2964</v>
      </c>
      <c r="C64" s="2768"/>
      <c r="D64" s="1286">
        <f t="shared" si="15"/>
        <v>0</v>
      </c>
      <c r="E64" s="820"/>
      <c r="F64" s="2500"/>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6" t="s">
        <v>2965</v>
      </c>
      <c r="B65" s="1725" t="str">
        <f>估价对象房地状况!C21</f>
        <v>估价对象所在区域公共配套设施齐备情况</v>
      </c>
      <c r="C65" s="2768"/>
      <c r="D65" s="1286">
        <f t="shared" si="15"/>
        <v>0</v>
      </c>
      <c r="E65" s="820"/>
      <c r="F65" s="2500"/>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2966</v>
      </c>
      <c r="B66" s="1725" t="str">
        <f>估价对象房地状况!C22</f>
        <v>估价对象所在区域基础设施水平</v>
      </c>
      <c r="C66" s="2768"/>
      <c r="D66" s="1286">
        <f t="shared" si="15"/>
        <v>0</v>
      </c>
      <c r="E66" s="820"/>
      <c r="F66" s="2500"/>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4" t="s">
        <v>2967</v>
      </c>
      <c r="B67" s="2886" t="str">
        <f>估价对象房地状况!C20</f>
        <v>区域自然环境：；人文环境；综合评价环境状况一般</v>
      </c>
      <c r="C67" s="2768"/>
      <c r="D67" s="1286">
        <f t="shared" si="15"/>
        <v>0</v>
      </c>
      <c r="E67" s="823"/>
      <c r="F67" s="2500"/>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2971</v>
      </c>
      <c r="B68" s="2873">
        <f>1+E70</f>
        <v>1</v>
      </c>
      <c r="C68" s="812"/>
      <c r="D68" s="812"/>
      <c r="E68" s="813"/>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2949</v>
      </c>
      <c r="B69" s="1809"/>
      <c r="C69" s="1809" t="s">
        <v>2951</v>
      </c>
      <c r="D69" s="1809" t="s">
        <v>2952</v>
      </c>
      <c r="E69" s="817" t="s">
        <v>2953</v>
      </c>
      <c r="F69" s="2877" t="s">
        <v>2969</v>
      </c>
      <c r="G69" s="1809" t="s">
        <v>754</v>
      </c>
      <c r="H69" s="2878" t="s">
        <v>2955</v>
      </c>
      <c r="I69" s="1809" t="s">
        <v>2956</v>
      </c>
      <c r="J69" s="602" t="s">
        <v>2602</v>
      </c>
      <c r="K69" s="602" t="s">
        <v>2603</v>
      </c>
      <c r="L69" s="602" t="s">
        <v>2604</v>
      </c>
      <c r="M69" s="602" t="s">
        <v>2605</v>
      </c>
      <c r="N69" s="602" t="s">
        <v>2606</v>
      </c>
      <c r="AA69" s="1371"/>
      <c r="AB69" s="1371"/>
      <c r="AC69" s="1371"/>
      <c r="AD69" s="1371"/>
      <c r="AE69" s="1371"/>
      <c r="AF69" s="1371"/>
      <c r="AG69" s="1371"/>
      <c r="AH69" s="1371"/>
      <c r="AI69" s="1371"/>
      <c r="AJ69" s="1371"/>
      <c r="AK69" s="1371"/>
    </row>
    <row r="70" spans="1:37" s="1370" customFormat="1" ht="51">
      <c r="A70" s="2876" t="s">
        <v>2972</v>
      </c>
      <c r="B70" s="2879" t="str">
        <f>估价对象房地状况!C15</f>
        <v>估价对象周边居住用地比例、居住小区规模和社区发展完善程度，综合评价居住社区成熟度一般</v>
      </c>
      <c r="C70" s="2768"/>
      <c r="D70" s="1286">
        <f t="shared" ref="D70:D78" si="20">SUMIF($J$69:$N$69,C70,J70:N70)</f>
        <v>0</v>
      </c>
      <c r="E70" s="819">
        <f>ROUND(SUM(D70:D78),4)</f>
        <v>0</v>
      </c>
      <c r="F70" s="2500"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6" t="s">
        <v>2958</v>
      </c>
      <c r="B71" s="2880" t="str">
        <f>估价对象房地状况!C18</f>
        <v>估价对象周边道路状况、公共交通通达情况、停车便捷程度，综合评价交通便捷度较好</v>
      </c>
      <c r="C71" s="2768"/>
      <c r="D71" s="1286">
        <f t="shared" si="20"/>
        <v>0</v>
      </c>
      <c r="E71" s="824"/>
      <c r="F71" s="2500"/>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2959</v>
      </c>
      <c r="B72" s="2880">
        <f>估价对象房地状况!C19</f>
        <v>0</v>
      </c>
      <c r="C72" s="2768"/>
      <c r="D72" s="1286">
        <f t="shared" si="20"/>
        <v>0</v>
      </c>
      <c r="E72" s="824"/>
      <c r="F72" s="2500"/>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2973</v>
      </c>
      <c r="B73" s="2880">
        <f>估价对象房地状况!C24</f>
        <v>0</v>
      </c>
      <c r="C73" s="2768"/>
      <c r="D73" s="1286">
        <f t="shared" si="20"/>
        <v>0</v>
      </c>
      <c r="E73" s="824"/>
      <c r="F73" s="2500"/>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6" t="s">
        <v>2965</v>
      </c>
      <c r="B74" s="1725" t="str">
        <f>估价对象房地状况!C21</f>
        <v>估价对象所在区域公共配套设施齐备情况</v>
      </c>
      <c r="C74" s="2768"/>
      <c r="D74" s="1286">
        <f t="shared" si="20"/>
        <v>0</v>
      </c>
      <c r="E74" s="824"/>
      <c r="F74" s="2500"/>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2966</v>
      </c>
      <c r="B75" s="1725" t="str">
        <f>估价对象房地状况!C22</f>
        <v>估价对象所在区域基础设施水平</v>
      </c>
      <c r="C75" s="2768"/>
      <c r="D75" s="1286">
        <f t="shared" si="20"/>
        <v>0</v>
      </c>
      <c r="E75" s="824"/>
      <c r="F75" s="2500"/>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2963</v>
      </c>
      <c r="B76" s="2882" t="s">
        <v>2964</v>
      </c>
      <c r="C76" s="2768"/>
      <c r="D76" s="1286">
        <f t="shared" si="20"/>
        <v>0</v>
      </c>
      <c r="E76" s="824"/>
      <c r="F76" s="2500"/>
      <c r="G76" s="1284"/>
      <c r="H76" s="1288" t="str">
        <f t="shared" si="21"/>
        <v>——</v>
      </c>
      <c r="I76" s="818">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38.25">
      <c r="A77" s="2876" t="s">
        <v>2967</v>
      </c>
      <c r="B77" s="2879" t="str">
        <f>估价对象房地状况!C20</f>
        <v>区域自然环境：；人文环境；综合评价环境状况一般</v>
      </c>
      <c r="C77" s="2768"/>
      <c r="D77" s="1286">
        <f t="shared" si="20"/>
        <v>0</v>
      </c>
      <c r="E77" s="824"/>
      <c r="F77" s="2500"/>
      <c r="G77" s="1284"/>
      <c r="H77" s="1288" t="str">
        <f t="shared" si="21"/>
        <v>——</v>
      </c>
      <c r="I77" s="818">
        <v>0.15</v>
      </c>
      <c r="J77" s="1285">
        <f t="shared" si="22"/>
        <v>0</v>
      </c>
      <c r="K77" s="1285">
        <f t="shared" si="23"/>
        <v>0</v>
      </c>
      <c r="L77" s="1285">
        <v>0</v>
      </c>
      <c r="M77" s="1285">
        <f t="shared" si="24"/>
        <v>0</v>
      </c>
      <c r="N77" s="1285">
        <f t="shared" si="24"/>
        <v>0</v>
      </c>
      <c r="Z77" s="2718"/>
      <c r="AA77" s="2794"/>
      <c r="AG77" s="1372"/>
      <c r="AK77" s="2794"/>
    </row>
    <row r="78" spans="1:37" ht="24.75" thickBot="1">
      <c r="A78" s="2884" t="s">
        <v>2974</v>
      </c>
      <c r="B78" s="2888"/>
      <c r="C78" s="2768"/>
      <c r="D78" s="1286">
        <f t="shared" si="20"/>
        <v>0</v>
      </c>
      <c r="E78" s="825"/>
      <c r="F78" s="2500"/>
      <c r="G78" s="1284"/>
      <c r="H78" s="1288" t="str">
        <f t="shared" si="21"/>
        <v>——</v>
      </c>
      <c r="I78" s="822">
        <v>0.04</v>
      </c>
      <c r="J78" s="1285">
        <f t="shared" si="22"/>
        <v>0</v>
      </c>
      <c r="K78" s="1285">
        <f t="shared" si="23"/>
        <v>0</v>
      </c>
      <c r="L78" s="1285">
        <v>0</v>
      </c>
      <c r="M78" s="1285">
        <f t="shared" si="24"/>
        <v>0</v>
      </c>
      <c r="N78" s="1285">
        <f t="shared" si="24"/>
        <v>0</v>
      </c>
      <c r="Z78" s="2718"/>
      <c r="AA78" s="2794"/>
      <c r="AG78" s="1372"/>
      <c r="AK78" s="2794"/>
    </row>
    <row r="79" spans="1:37" ht="15">
      <c r="A79" s="2872" t="s">
        <v>2975</v>
      </c>
      <c r="B79" s="2873">
        <f>1+E81</f>
        <v>1</v>
      </c>
      <c r="C79" s="812"/>
      <c r="D79" s="812"/>
      <c r="E79" s="813"/>
      <c r="F79" s="2875"/>
      <c r="G79" s="6"/>
      <c r="H79" s="6"/>
      <c r="I79" s="6"/>
      <c r="J79" s="7"/>
      <c r="K79" s="7"/>
      <c r="L79" s="7"/>
      <c r="M79" s="7"/>
      <c r="N79" s="7"/>
      <c r="Z79" s="2718"/>
      <c r="AA79" s="2794"/>
      <c r="AG79" s="1372"/>
      <c r="AK79" s="2794"/>
    </row>
    <row r="80" spans="1:37" ht="24.75">
      <c r="A80" s="2876" t="s">
        <v>2949</v>
      </c>
      <c r="B80" s="1809"/>
      <c r="C80" s="1809" t="s">
        <v>2951</v>
      </c>
      <c r="D80" s="1809" t="s">
        <v>2952</v>
      </c>
      <c r="E80" s="817" t="s">
        <v>2953</v>
      </c>
      <c r="F80" s="2877" t="s">
        <v>2969</v>
      </c>
      <c r="G80" s="1809" t="s">
        <v>754</v>
      </c>
      <c r="H80" s="2878" t="s">
        <v>2955</v>
      </c>
      <c r="I80" s="1809" t="s">
        <v>2956</v>
      </c>
      <c r="J80" s="602" t="s">
        <v>2602</v>
      </c>
      <c r="K80" s="602" t="s">
        <v>2603</v>
      </c>
      <c r="L80" s="602" t="s">
        <v>2604</v>
      </c>
      <c r="M80" s="602" t="s">
        <v>2605</v>
      </c>
      <c r="N80" s="602" t="s">
        <v>2606</v>
      </c>
      <c r="Z80" s="2718"/>
      <c r="AA80" s="2794"/>
      <c r="AG80" s="1372"/>
      <c r="AK80" s="2794"/>
    </row>
    <row r="81" spans="1:37" ht="38.25">
      <c r="A81" s="2876" t="s">
        <v>2976</v>
      </c>
      <c r="B81" s="2880" t="str">
        <f>估价对象房地状况!G15</f>
        <v>估价对象位于XX开发区，园区建设成熟度XX，产业集聚程度XX</v>
      </c>
      <c r="C81" s="2768"/>
      <c r="D81" s="1286">
        <f t="shared" ref="D81:D88" si="25">SUMIF($J$80:$N$80,C81,J81:N81)</f>
        <v>0</v>
      </c>
      <c r="E81" s="819">
        <f>ROUND(SUM(D81:D88),4)</f>
        <v>0</v>
      </c>
      <c r="F81" s="2500"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51">
      <c r="A82" s="2876" t="s">
        <v>2958</v>
      </c>
      <c r="B82" s="2880" t="str">
        <f>估价对象房地状况!G16</f>
        <v>估价对象周边道路状况、公共交通通达情况、停车便捷程度，综合评价交通便捷度较好</v>
      </c>
      <c r="C82" s="2768"/>
      <c r="D82" s="1286">
        <f t="shared" si="25"/>
        <v>0</v>
      </c>
      <c r="E82" s="824"/>
      <c r="F82" s="2500"/>
      <c r="G82" s="1284"/>
      <c r="H82" s="1288" t="str">
        <f t="shared" si="26"/>
        <v>——</v>
      </c>
      <c r="I82" s="818">
        <v>0.33</v>
      </c>
      <c r="J82" s="1285">
        <f t="shared" si="27"/>
        <v>0</v>
      </c>
      <c r="K82" s="1285">
        <f t="shared" si="28"/>
        <v>0</v>
      </c>
      <c r="L82" s="1285">
        <v>0</v>
      </c>
      <c r="M82" s="1285">
        <f t="shared" si="29"/>
        <v>0</v>
      </c>
      <c r="N82" s="1285">
        <f t="shared" si="29"/>
        <v>0</v>
      </c>
      <c r="Z82" s="2718"/>
      <c r="AA82" s="2794"/>
      <c r="AG82" s="1372"/>
      <c r="AK82" s="2794"/>
    </row>
    <row r="83" spans="1:37" ht="24">
      <c r="A83" s="2876" t="s">
        <v>2959</v>
      </c>
      <c r="B83" s="2880">
        <f>估价对象房地状况!G17</f>
        <v>0</v>
      </c>
      <c r="C83" s="2768"/>
      <c r="D83" s="1286">
        <f t="shared" si="25"/>
        <v>0</v>
      </c>
      <c r="E83" s="824"/>
      <c r="F83" s="2500"/>
      <c r="G83" s="1284"/>
      <c r="H83" s="1288" t="str">
        <f t="shared" si="26"/>
        <v>——</v>
      </c>
      <c r="I83" s="818">
        <v>0.05</v>
      </c>
      <c r="J83" s="1285">
        <f t="shared" si="27"/>
        <v>0</v>
      </c>
      <c r="K83" s="1285">
        <f t="shared" si="28"/>
        <v>0</v>
      </c>
      <c r="L83" s="1285">
        <v>0</v>
      </c>
      <c r="M83" s="1285">
        <f t="shared" si="29"/>
        <v>0</v>
      </c>
      <c r="N83" s="1285">
        <f t="shared" si="29"/>
        <v>0</v>
      </c>
      <c r="Z83" s="2718"/>
      <c r="AA83" s="2794"/>
      <c r="AG83" s="1372"/>
      <c r="AK83" s="2794"/>
    </row>
    <row r="84" spans="1:37" ht="14.25">
      <c r="A84" s="2876" t="s">
        <v>2973</v>
      </c>
      <c r="B84" s="2880">
        <f>估价对象房地状况!G22</f>
        <v>0</v>
      </c>
      <c r="C84" s="2768"/>
      <c r="D84" s="1286">
        <f t="shared" si="25"/>
        <v>0</v>
      </c>
      <c r="E84" s="824"/>
      <c r="F84" s="2500"/>
      <c r="G84" s="1284"/>
      <c r="H84" s="1288" t="str">
        <f t="shared" si="26"/>
        <v>——</v>
      </c>
      <c r="I84" s="818">
        <v>0.04</v>
      </c>
      <c r="J84" s="1285">
        <f t="shared" si="27"/>
        <v>0</v>
      </c>
      <c r="K84" s="1285">
        <f t="shared" si="28"/>
        <v>0</v>
      </c>
      <c r="L84" s="1285">
        <v>0</v>
      </c>
      <c r="M84" s="1285">
        <f t="shared" si="29"/>
        <v>0</v>
      </c>
      <c r="N84" s="1285">
        <f t="shared" si="29"/>
        <v>0</v>
      </c>
      <c r="Z84" s="2718"/>
      <c r="AA84" s="2794"/>
      <c r="AG84" s="1372"/>
      <c r="AK84" s="2794"/>
    </row>
    <row r="85" spans="1:37" ht="25.5">
      <c r="A85" s="2876" t="s">
        <v>2965</v>
      </c>
      <c r="B85" s="1725" t="str">
        <f>估价对象房地状况!G19</f>
        <v>估价对象所在区域公共配套设施齐备情况</v>
      </c>
      <c r="C85" s="2768"/>
      <c r="D85" s="1286">
        <f t="shared" si="25"/>
        <v>0</v>
      </c>
      <c r="E85" s="824"/>
      <c r="F85" s="2500"/>
      <c r="G85" s="1284"/>
      <c r="H85" s="1288" t="str">
        <f t="shared" si="26"/>
        <v>——</v>
      </c>
      <c r="I85" s="818">
        <v>0.06</v>
      </c>
      <c r="J85" s="1285">
        <f t="shared" si="27"/>
        <v>0</v>
      </c>
      <c r="K85" s="1285">
        <f t="shared" si="28"/>
        <v>0</v>
      </c>
      <c r="L85" s="1285">
        <v>0</v>
      </c>
      <c r="M85" s="1285">
        <f t="shared" si="29"/>
        <v>0</v>
      </c>
      <c r="N85" s="1285">
        <f t="shared" si="29"/>
        <v>0</v>
      </c>
      <c r="Z85" s="2718"/>
      <c r="AA85" s="2794"/>
      <c r="AG85" s="1372"/>
      <c r="AK85" s="2794"/>
    </row>
    <row r="86" spans="1:37" ht="25.5">
      <c r="A86" s="2876" t="s">
        <v>2966</v>
      </c>
      <c r="B86" s="1725" t="str">
        <f>估价对象房地状况!G20</f>
        <v>估价对象所在区域基础设施水平</v>
      </c>
      <c r="C86" s="2768"/>
      <c r="D86" s="1286">
        <f t="shared" si="25"/>
        <v>0</v>
      </c>
      <c r="E86" s="824"/>
      <c r="F86" s="2500"/>
      <c r="G86" s="1284"/>
      <c r="H86" s="1288" t="str">
        <f t="shared" si="26"/>
        <v>——</v>
      </c>
      <c r="I86" s="818">
        <v>0.15</v>
      </c>
      <c r="J86" s="1285">
        <f t="shared" si="27"/>
        <v>0</v>
      </c>
      <c r="K86" s="1285">
        <f t="shared" si="28"/>
        <v>0</v>
      </c>
      <c r="L86" s="1285">
        <v>0</v>
      </c>
      <c r="M86" s="1285">
        <f t="shared" si="29"/>
        <v>0</v>
      </c>
      <c r="N86" s="1285">
        <f t="shared" si="29"/>
        <v>0</v>
      </c>
      <c r="Z86" s="2718"/>
      <c r="AA86" s="2794"/>
      <c r="AG86" s="1372"/>
      <c r="AK86" s="2794"/>
    </row>
    <row r="87" spans="1:37" ht="24">
      <c r="A87" s="2876" t="s">
        <v>2963</v>
      </c>
      <c r="B87" s="2882" t="s">
        <v>2977</v>
      </c>
      <c r="C87" s="2768"/>
      <c r="D87" s="1286">
        <f t="shared" si="25"/>
        <v>0</v>
      </c>
      <c r="E87" s="824"/>
      <c r="F87" s="2500"/>
      <c r="G87" s="1284"/>
      <c r="H87" s="1288" t="str">
        <f t="shared" si="26"/>
        <v>——</v>
      </c>
      <c r="I87" s="818">
        <v>0.05</v>
      </c>
      <c r="J87" s="1285">
        <f t="shared" si="27"/>
        <v>0</v>
      </c>
      <c r="K87" s="1285">
        <f t="shared" si="28"/>
        <v>0</v>
      </c>
      <c r="L87" s="1285">
        <v>0</v>
      </c>
      <c r="M87" s="1285">
        <f t="shared" si="29"/>
        <v>0</v>
      </c>
      <c r="N87" s="1285">
        <f t="shared" si="29"/>
        <v>0</v>
      </c>
      <c r="Z87" s="2718"/>
      <c r="AA87" s="2794"/>
      <c r="AG87" s="1372"/>
      <c r="AK87" s="2794"/>
    </row>
    <row r="88" spans="1:37" ht="39" thickBot="1">
      <c r="A88" s="2884" t="s">
        <v>2978</v>
      </c>
      <c r="B88" s="2889" t="str">
        <f>估价对象房地状况!G18</f>
        <v>该园区内是否有污染型企业，绿化情况，卫生条件，整体环境状况判断</v>
      </c>
      <c r="C88" s="2768"/>
      <c r="D88" s="1286">
        <f t="shared" si="25"/>
        <v>0</v>
      </c>
      <c r="E88" s="825"/>
      <c r="F88" s="2500"/>
      <c r="G88" s="1284"/>
      <c r="H88" s="1288" t="str">
        <f t="shared" si="26"/>
        <v>——</v>
      </c>
      <c r="I88" s="822">
        <v>0.06</v>
      </c>
      <c r="J88" s="1285">
        <f t="shared" si="27"/>
        <v>0</v>
      </c>
      <c r="K88" s="1285">
        <f t="shared" si="28"/>
        <v>0</v>
      </c>
      <c r="L88" s="1285">
        <v>0</v>
      </c>
      <c r="M88" s="1285">
        <f t="shared" si="29"/>
        <v>0</v>
      </c>
      <c r="N88" s="1285">
        <f t="shared" si="29"/>
        <v>0</v>
      </c>
      <c r="Z88" s="2718"/>
      <c r="AA88" s="2794"/>
      <c r="AG88" s="1372"/>
      <c r="AK88" s="2794"/>
    </row>
    <row r="90" spans="1:37">
      <c r="A90" s="3261" t="s">
        <v>2979</v>
      </c>
      <c r="B90" s="3261"/>
      <c r="C90" s="3261"/>
      <c r="D90" s="3261"/>
      <c r="E90" s="3261"/>
      <c r="F90" s="3261"/>
      <c r="G90" s="3261"/>
      <c r="H90" s="3261"/>
      <c r="I90" s="3261"/>
      <c r="J90" s="3261"/>
      <c r="K90" s="2890"/>
      <c r="L90" s="2890"/>
      <c r="M90" s="2890"/>
      <c r="N90" s="2890"/>
    </row>
    <row r="91" spans="1:37">
      <c r="A91" s="3263" t="s">
        <v>2980</v>
      </c>
      <c r="B91" s="3263" t="s">
        <v>2981</v>
      </c>
      <c r="C91" s="2844" t="s">
        <v>2982</v>
      </c>
      <c r="D91" s="2845"/>
      <c r="E91" s="2845"/>
      <c r="F91" s="2845"/>
      <c r="G91" s="2845"/>
      <c r="H91" s="2845"/>
      <c r="I91" s="2845"/>
      <c r="J91" s="2891"/>
      <c r="K91" s="2892"/>
      <c r="L91" s="2892"/>
      <c r="M91" s="2892"/>
      <c r="N91" s="2892"/>
    </row>
    <row r="92" spans="1:37">
      <c r="A92" s="3263"/>
      <c r="B92" s="3263"/>
      <c r="C92" s="943" t="s">
        <v>2846</v>
      </c>
      <c r="D92" s="943" t="s">
        <v>2847</v>
      </c>
      <c r="E92" s="943" t="s">
        <v>2848</v>
      </c>
      <c r="F92" s="943" t="s">
        <v>2849</v>
      </c>
      <c r="G92" s="943" t="s">
        <v>2850</v>
      </c>
      <c r="H92" s="943" t="s">
        <v>2851</v>
      </c>
      <c r="I92" s="943" t="s">
        <v>2852</v>
      </c>
      <c r="J92" s="943" t="s">
        <v>2853</v>
      </c>
      <c r="K92" s="943" t="s">
        <v>2854</v>
      </c>
      <c r="L92" s="943" t="s">
        <v>2855</v>
      </c>
      <c r="M92" s="943" t="s">
        <v>2856</v>
      </c>
      <c r="N92" s="943" t="s">
        <v>2857</v>
      </c>
    </row>
    <row r="93" spans="1:37">
      <c r="A93" s="3264" t="s">
        <v>2983</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65"/>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65"/>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65"/>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65"/>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65"/>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65"/>
      <c r="B99" s="2893" t="s">
        <v>2862</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66"/>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64" t="s">
        <v>2984</v>
      </c>
      <c r="B101" s="2897" t="s">
        <v>2985</v>
      </c>
      <c r="C101" s="2898">
        <f>$G$3</f>
        <v>18.57</v>
      </c>
      <c r="D101" s="2898">
        <f t="shared" ref="D101:N101" si="31">$G$3</f>
        <v>18.57</v>
      </c>
      <c r="E101" s="2898">
        <f t="shared" si="31"/>
        <v>18.57</v>
      </c>
      <c r="F101" s="2898">
        <f t="shared" si="31"/>
        <v>18.57</v>
      </c>
      <c r="G101" s="2898">
        <f t="shared" si="31"/>
        <v>18.57</v>
      </c>
      <c r="H101" s="2898">
        <f t="shared" si="31"/>
        <v>18.57</v>
      </c>
      <c r="I101" s="2898">
        <f t="shared" si="31"/>
        <v>18.57</v>
      </c>
      <c r="J101" s="2898">
        <f t="shared" si="31"/>
        <v>18.57</v>
      </c>
      <c r="K101" s="2898">
        <f t="shared" si="31"/>
        <v>18.57</v>
      </c>
      <c r="L101" s="2898">
        <f t="shared" si="31"/>
        <v>18.57</v>
      </c>
      <c r="M101" s="2898">
        <f t="shared" si="31"/>
        <v>18.57</v>
      </c>
      <c r="N101" s="2898">
        <f t="shared" si="31"/>
        <v>18.57</v>
      </c>
    </row>
    <row r="102" spans="1:14">
      <c r="A102" s="3265"/>
      <c r="B102" s="2893">
        <v>1</v>
      </c>
      <c r="C102" s="2894">
        <f>1.9362/C101</f>
        <v>0.10426494345718901</v>
      </c>
      <c r="D102" s="2894">
        <f>1.9362/D101</f>
        <v>0.10426494345718901</v>
      </c>
      <c r="E102" s="2894">
        <f>1.8629/E101</f>
        <v>0.10031771674744211</v>
      </c>
      <c r="F102" s="2894">
        <f>1.8629/F101</f>
        <v>0.10031771674744211</v>
      </c>
      <c r="G102" s="2894">
        <f>1.8629/G101</f>
        <v>0.10031771674744211</v>
      </c>
      <c r="H102" s="2894">
        <f>1.8629/H101</f>
        <v>0.10031771674744211</v>
      </c>
      <c r="I102" s="2894">
        <f>1.8629/I101</f>
        <v>0.10031771674744211</v>
      </c>
      <c r="J102" s="2894">
        <f>1.942/J101</f>
        <v>0.10457727517501346</v>
      </c>
      <c r="K102" s="2894">
        <f>1.942/K101</f>
        <v>0.10457727517501346</v>
      </c>
      <c r="L102" s="2894">
        <f>1.942/L101</f>
        <v>0.10457727517501346</v>
      </c>
      <c r="M102" s="2894">
        <f>1.942/M101</f>
        <v>0.10457727517501346</v>
      </c>
      <c r="N102" s="2894">
        <f>1.942/N101</f>
        <v>0.10457727517501346</v>
      </c>
    </row>
    <row r="103" spans="1:14">
      <c r="A103" s="3265"/>
      <c r="B103" s="2893">
        <v>2</v>
      </c>
      <c r="C103" s="2894">
        <f>1.4198/C101</f>
        <v>7.6456650511577809E-2</v>
      </c>
      <c r="D103" s="2894">
        <f>1.4198/D101</f>
        <v>7.6456650511577809E-2</v>
      </c>
      <c r="E103" s="2894">
        <f>1.3372/E101</f>
        <v>7.2008616047388257E-2</v>
      </c>
      <c r="F103" s="2894">
        <f>1.3372/F101</f>
        <v>7.2008616047388257E-2</v>
      </c>
      <c r="G103" s="2894">
        <f>1.3372/G101</f>
        <v>7.2008616047388257E-2</v>
      </c>
      <c r="H103" s="2894">
        <f>1.3372/H101</f>
        <v>7.2008616047388257E-2</v>
      </c>
      <c r="I103" s="2894">
        <f>1.3372/I101</f>
        <v>7.2008616047388257E-2</v>
      </c>
      <c r="J103" s="2894">
        <f>1.2799/J101</f>
        <v>6.8922994076467417E-2</v>
      </c>
      <c r="K103" s="2894">
        <f>1.2799/K101</f>
        <v>6.8922994076467417E-2</v>
      </c>
      <c r="L103" s="2894">
        <f>1.2799/L101</f>
        <v>6.8922994076467417E-2</v>
      </c>
      <c r="M103" s="2894">
        <f>1.2799/M101</f>
        <v>6.8922994076467417E-2</v>
      </c>
      <c r="N103" s="2894">
        <f>1.2799/N101</f>
        <v>6.8922994076467417E-2</v>
      </c>
    </row>
    <row r="104" spans="1:14">
      <c r="A104" s="3265"/>
      <c r="B104" s="2893">
        <v>3</v>
      </c>
      <c r="C104" s="2894">
        <f>1.1594/C101</f>
        <v>6.2434033387183625E-2</v>
      </c>
      <c r="D104" s="2894">
        <f>1.1594/D101</f>
        <v>6.2434033387183625E-2</v>
      </c>
      <c r="E104" s="2894">
        <f>1.0788/E101</f>
        <v>5.8093699515347333E-2</v>
      </c>
      <c r="F104" s="2894">
        <f>1.0788/F101</f>
        <v>5.8093699515347333E-2</v>
      </c>
      <c r="G104" s="2894">
        <f>1.0788/G101</f>
        <v>5.8093699515347333E-2</v>
      </c>
      <c r="H104" s="2894">
        <f>1.0788/H101</f>
        <v>5.8093699515347333E-2</v>
      </c>
      <c r="I104" s="2894">
        <f>1.0788/I101</f>
        <v>5.8093699515347333E-2</v>
      </c>
      <c r="J104" s="2894">
        <f>1.0072/J101</f>
        <v>5.4238018309100702E-2</v>
      </c>
      <c r="K104" s="2894">
        <f>1.0072/K101</f>
        <v>5.4238018309100702E-2</v>
      </c>
      <c r="L104" s="2894">
        <f>1.0072/L101</f>
        <v>5.4238018309100702E-2</v>
      </c>
      <c r="M104" s="2894">
        <f>1.0072/M101</f>
        <v>5.4238018309100702E-2</v>
      </c>
      <c r="N104" s="2894">
        <f>1.0072/N101</f>
        <v>5.4238018309100702E-2</v>
      </c>
    </row>
    <row r="105" spans="1:14">
      <c r="A105" s="3265"/>
      <c r="B105" s="2893">
        <v>4</v>
      </c>
      <c r="C105" s="2894">
        <f>0.9622/C101</f>
        <v>5.18147549811524E-2</v>
      </c>
      <c r="D105" s="2894">
        <f>0.9622/D101</f>
        <v>5.18147549811524E-2</v>
      </c>
      <c r="E105" s="2894">
        <f>0.8656/E101</f>
        <v>4.6612816370490036E-2</v>
      </c>
      <c r="F105" s="2894">
        <f>0.8656/F101</f>
        <v>4.6612816370490036E-2</v>
      </c>
      <c r="G105" s="2894">
        <f>0.8656/G101</f>
        <v>4.6612816370490036E-2</v>
      </c>
      <c r="H105" s="2894">
        <f>0.8656/H101</f>
        <v>4.6612816370490036E-2</v>
      </c>
      <c r="I105" s="2894">
        <f>0.8656/I101</f>
        <v>4.6612816370490036E-2</v>
      </c>
      <c r="J105" s="2894">
        <f>0.7525/J101</f>
        <v>4.0522347872913297E-2</v>
      </c>
      <c r="K105" s="2894">
        <f>0.7525/K101</f>
        <v>4.0522347872913297E-2</v>
      </c>
      <c r="L105" s="2894">
        <f>0.7525/L101</f>
        <v>4.0522347872913297E-2</v>
      </c>
      <c r="M105" s="2894">
        <f>0.7525/M101</f>
        <v>4.0522347872913297E-2</v>
      </c>
      <c r="N105" s="2894">
        <f>0.7525/N101</f>
        <v>4.0522347872913297E-2</v>
      </c>
    </row>
    <row r="106" spans="1:14">
      <c r="A106" s="3265"/>
      <c r="B106" s="2893">
        <v>5</v>
      </c>
      <c r="C106" s="2894">
        <f>0.8417/C101</f>
        <v>4.5325794291868601E-2</v>
      </c>
      <c r="D106" s="2894">
        <f>0.8417/D101</f>
        <v>4.5325794291868601E-2</v>
      </c>
      <c r="E106" s="2894">
        <f>0.7371/E101</f>
        <v>3.9693053311793215E-2</v>
      </c>
      <c r="F106" s="2894">
        <f>0.7371/F101</f>
        <v>3.9693053311793215E-2</v>
      </c>
      <c r="G106" s="2894">
        <f>0.7371/G101</f>
        <v>3.9693053311793215E-2</v>
      </c>
      <c r="H106" s="2894">
        <f>0.7371/H101</f>
        <v>3.9693053311793215E-2</v>
      </c>
      <c r="I106" s="2894">
        <f>0.7371/I101</f>
        <v>3.9693053311793215E-2</v>
      </c>
      <c r="J106" s="2894">
        <f>0.5659/J101</f>
        <v>3.0473882606354332E-2</v>
      </c>
      <c r="K106" s="2894">
        <f>0.5659/K101</f>
        <v>3.0473882606354332E-2</v>
      </c>
      <c r="L106" s="2894">
        <f>0.5659/L101</f>
        <v>3.0473882606354332E-2</v>
      </c>
      <c r="M106" s="2894">
        <f>0.5659/M101</f>
        <v>3.0473882606354332E-2</v>
      </c>
      <c r="N106" s="2894">
        <f>0.5659/N101</f>
        <v>3.0473882606354332E-2</v>
      </c>
    </row>
    <row r="107" spans="1:14">
      <c r="A107" s="3265"/>
      <c r="B107" s="2893">
        <v>6</v>
      </c>
      <c r="C107" s="2894">
        <f>0.7608/C101</f>
        <v>4.0969305331179325E-2</v>
      </c>
      <c r="D107" s="2894">
        <f>0.7608/D101</f>
        <v>4.0969305331179325E-2</v>
      </c>
      <c r="E107" s="2894">
        <f>0.6482/E101</f>
        <v>3.4905761981690896E-2</v>
      </c>
      <c r="F107" s="2894">
        <f>0.6482/F101</f>
        <v>3.4905761981690896E-2</v>
      </c>
      <c r="G107" s="2894">
        <f>0.6482/G101</f>
        <v>3.4905761981690896E-2</v>
      </c>
      <c r="H107" s="2894">
        <f>0.6482/H101</f>
        <v>3.4905761981690896E-2</v>
      </c>
      <c r="I107" s="2894">
        <f>0.6482/I101</f>
        <v>3.4905761981690896E-2</v>
      </c>
      <c r="J107" s="2894">
        <f>0.4525/J101</f>
        <v>2.4367259019924609E-2</v>
      </c>
      <c r="K107" s="2894">
        <f>0.4525/K101</f>
        <v>2.4367259019924609E-2</v>
      </c>
      <c r="L107" s="2894">
        <f>0.4525/L101</f>
        <v>2.4367259019924609E-2</v>
      </c>
      <c r="M107" s="2894">
        <f>0.4525/M101</f>
        <v>2.4367259019924609E-2</v>
      </c>
      <c r="N107" s="2894">
        <f>0.4525/N101</f>
        <v>2.4367259019924609E-2</v>
      </c>
    </row>
    <row r="108" spans="1:14">
      <c r="A108" s="3265"/>
      <c r="B108" s="3091" t="s">
        <v>2986</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66"/>
      <c r="B109" s="3092"/>
      <c r="C109" s="2896">
        <f>(-0.163*(C108^2)-0.59*C108+7617)*(10^(-4))/C101</f>
        <v>4.1017770597738291E-2</v>
      </c>
      <c r="D109" s="2896">
        <f>(-0.163*(D108^2)-0.59*D108+7617)*(10^(-4))/D101</f>
        <v>4.1017770597738291E-2</v>
      </c>
      <c r="E109" s="2896">
        <f>(-0.161*(E108^2)-7.509*E108+6533)*(10^(-4))/E101</f>
        <v>3.5180398492191706E-2</v>
      </c>
      <c r="F109" s="2896">
        <f>(-0.161*(F108^2)-7.509*F108+6533)*(10^(-4))/F101</f>
        <v>3.5180398492191706E-2</v>
      </c>
      <c r="G109" s="2896">
        <f>(-0.161*(G108^2)-7.509*G108+6533)*(10^(-4))/G101</f>
        <v>3.5180398492191706E-2</v>
      </c>
      <c r="H109" s="2896">
        <f>(-0.161*(H108^2)-7.509*H108+6533)*(10^(-4))/H101</f>
        <v>3.5180398492191706E-2</v>
      </c>
      <c r="I109" s="2896">
        <f>(-0.161*(I108^2)-7.509*I108+6533)*(10^(-4))/I101</f>
        <v>3.5180398492191706E-2</v>
      </c>
      <c r="J109" s="2896">
        <f>(-0.214*(J108^2)-21.991*J108+4665)*(10^(-4))/J101</f>
        <v>2.5121163166397415E-2</v>
      </c>
      <c r="K109" s="2896">
        <f>(-0.214*(K108^2)-21.991*K108+4665)*(10^(-4))/K101</f>
        <v>2.5121163166397415E-2</v>
      </c>
      <c r="L109" s="2896">
        <f>(-0.214*(L108^2)-21.991*L108+4665)*(10^(-4))/L101</f>
        <v>2.5121163166397415E-2</v>
      </c>
      <c r="M109" s="2896">
        <f>(-0.214*(M108^2)-21.991*M108+4665)*(10^(-4))/M101</f>
        <v>2.5121163166397415E-2</v>
      </c>
      <c r="N109" s="2896">
        <f>(-0.214*(N108^2)-21.991*N108+4665)*(10^(-4))/N101</f>
        <v>2.5121163166397415E-2</v>
      </c>
    </row>
    <row r="110" spans="1:14">
      <c r="A110" s="3262" t="s">
        <v>2987</v>
      </c>
      <c r="B110" s="3262"/>
      <c r="C110" s="3262"/>
      <c r="D110" s="3262"/>
      <c r="E110" s="3262"/>
      <c r="F110" s="3262"/>
      <c r="G110" s="3262"/>
      <c r="H110" s="3262"/>
      <c r="I110" s="3262"/>
      <c r="J110" s="3262"/>
      <c r="K110" s="2899"/>
      <c r="L110" s="2899"/>
      <c r="M110" s="2899"/>
      <c r="N110" s="2899"/>
    </row>
    <row r="112" spans="1:14" ht="13.5" thickBot="1"/>
    <row r="113" spans="1:13" ht="25.5" thickBot="1">
      <c r="A113" s="901" t="s">
        <v>2988</v>
      </c>
      <c r="B113" s="1287">
        <f>G3</f>
        <v>18.57</v>
      </c>
      <c r="C113" s="902" t="s">
        <v>2989</v>
      </c>
      <c r="D113" s="903">
        <f>SUMPRODUCT((A115:A118=F113)*(B114:M114=H113)*B115:M118)</f>
        <v>0</v>
      </c>
      <c r="E113" s="2722" t="s">
        <v>2819</v>
      </c>
      <c r="F113" s="2901">
        <f>E2</f>
        <v>0</v>
      </c>
      <c r="G113" s="2722" t="s">
        <v>2820</v>
      </c>
      <c r="H113" s="2901">
        <f>G2</f>
        <v>0</v>
      </c>
      <c r="I113" s="2722"/>
      <c r="J113" s="2902"/>
      <c r="K113" s="2902"/>
      <c r="L113" s="2902"/>
      <c r="M113" s="2902"/>
    </row>
    <row r="114" spans="1:13">
      <c r="A114" s="906"/>
      <c r="B114" s="2903" t="s">
        <v>2990</v>
      </c>
      <c r="C114" s="2903" t="s">
        <v>2991</v>
      </c>
      <c r="D114" s="2903" t="s">
        <v>2992</v>
      </c>
      <c r="E114" s="2904" t="s">
        <v>2993</v>
      </c>
      <c r="F114" s="2904" t="s">
        <v>2994</v>
      </c>
      <c r="G114" s="2904" t="s">
        <v>2995</v>
      </c>
      <c r="H114" s="2905" t="s">
        <v>2996</v>
      </c>
      <c r="I114" s="2905" t="s">
        <v>2997</v>
      </c>
      <c r="J114" s="2906" t="s">
        <v>2998</v>
      </c>
      <c r="K114" s="2906" t="s">
        <v>2999</v>
      </c>
      <c r="L114" s="2906" t="s">
        <v>3000</v>
      </c>
      <c r="M114" s="2907" t="s">
        <v>3001</v>
      </c>
    </row>
    <row r="115" spans="1:13">
      <c r="A115" s="907" t="s">
        <v>2884</v>
      </c>
      <c r="B115" s="908">
        <f>ROUND(0.9335-0.0094*B113,4)</f>
        <v>0.75890000000000002</v>
      </c>
      <c r="C115" s="908">
        <f>B115</f>
        <v>0.75890000000000002</v>
      </c>
      <c r="D115" s="908">
        <f>ROUND(0.8331-0.0109*B113,4)</f>
        <v>0.63070000000000004</v>
      </c>
      <c r="E115" s="908">
        <f>D115</f>
        <v>0.63070000000000004</v>
      </c>
      <c r="F115" s="908">
        <f>E115</f>
        <v>0.63070000000000004</v>
      </c>
      <c r="G115" s="908">
        <f>F115</f>
        <v>0.63070000000000004</v>
      </c>
      <c r="H115" s="908">
        <f>G115</f>
        <v>0.63070000000000004</v>
      </c>
      <c r="I115" s="908">
        <f>ROUND(0.689-0.0155*B113,4)</f>
        <v>0.4012</v>
      </c>
      <c r="J115" s="908">
        <f t="shared" ref="J115:M118" si="33">I115</f>
        <v>0.4012</v>
      </c>
      <c r="K115" s="908">
        <f t="shared" si="33"/>
        <v>0.4012</v>
      </c>
      <c r="L115" s="908">
        <f t="shared" si="33"/>
        <v>0.4012</v>
      </c>
      <c r="M115" s="909">
        <f t="shared" si="33"/>
        <v>0.4012</v>
      </c>
    </row>
    <row r="116" spans="1:13">
      <c r="A116" s="907" t="s">
        <v>2885</v>
      </c>
      <c r="B116" s="908">
        <f>ROUND(0.949-0.012*B113,4)</f>
        <v>0.72619999999999996</v>
      </c>
      <c r="C116" s="908">
        <f>B116</f>
        <v>0.72619999999999996</v>
      </c>
      <c r="D116" s="908">
        <f>ROUND(0.8567-0.013*B113,4)</f>
        <v>0.61529999999999996</v>
      </c>
      <c r="E116" s="908">
        <f t="shared" ref="E116:H117" si="34">D116</f>
        <v>0.61529999999999996</v>
      </c>
      <c r="F116" s="908">
        <f t="shared" si="34"/>
        <v>0.61529999999999996</v>
      </c>
      <c r="G116" s="908">
        <f t="shared" si="34"/>
        <v>0.61529999999999996</v>
      </c>
      <c r="H116" s="908">
        <f t="shared" si="34"/>
        <v>0.61529999999999996</v>
      </c>
      <c r="I116" s="908">
        <f>ROUND(0.7694-0.014*B113,4)</f>
        <v>0.50939999999999996</v>
      </c>
      <c r="J116" s="908">
        <f t="shared" si="33"/>
        <v>0.50939999999999996</v>
      </c>
      <c r="K116" s="908">
        <f t="shared" si="33"/>
        <v>0.50939999999999996</v>
      </c>
      <c r="L116" s="908">
        <f t="shared" si="33"/>
        <v>0.50939999999999996</v>
      </c>
      <c r="M116" s="909">
        <f t="shared" si="33"/>
        <v>0.50939999999999996</v>
      </c>
    </row>
    <row r="117" spans="1:13">
      <c r="A117" s="907" t="s">
        <v>2886</v>
      </c>
      <c r="B117" s="908">
        <f>ROUND(0.8808-0.006*B113,4)</f>
        <v>0.76939999999999997</v>
      </c>
      <c r="C117" s="908">
        <f>B117</f>
        <v>0.76939999999999997</v>
      </c>
      <c r="D117" s="908">
        <f>ROUND(0.8748-0.008*B113,4)</f>
        <v>0.72619999999999996</v>
      </c>
      <c r="E117" s="908">
        <f t="shared" si="34"/>
        <v>0.72619999999999996</v>
      </c>
      <c r="F117" s="908">
        <f t="shared" si="34"/>
        <v>0.72619999999999996</v>
      </c>
      <c r="G117" s="908">
        <f t="shared" si="34"/>
        <v>0.72619999999999996</v>
      </c>
      <c r="H117" s="908">
        <f t="shared" si="34"/>
        <v>0.72619999999999996</v>
      </c>
      <c r="I117" s="908">
        <f>ROUND(0.7412-0.0095*B113,4)</f>
        <v>0.56479999999999997</v>
      </c>
      <c r="J117" s="908">
        <f t="shared" si="33"/>
        <v>0.56479999999999997</v>
      </c>
      <c r="K117" s="908">
        <f t="shared" si="33"/>
        <v>0.56479999999999997</v>
      </c>
      <c r="L117" s="908">
        <f t="shared" si="33"/>
        <v>0.56479999999999997</v>
      </c>
      <c r="M117" s="909">
        <f t="shared" si="33"/>
        <v>0.56479999999999997</v>
      </c>
    </row>
    <row r="118" spans="1:13" ht="13.5" thickBot="1">
      <c r="A118" s="712" t="s">
        <v>2887</v>
      </c>
      <c r="B118" s="910">
        <f>ROUND(0.7275-0.01*B113,4)</f>
        <v>0.54179999999999995</v>
      </c>
      <c r="C118" s="910">
        <f>B118</f>
        <v>0.54179999999999995</v>
      </c>
      <c r="D118" s="910">
        <f>ROUND(0.7043-0.012*B113,4)</f>
        <v>0.48149999999999998</v>
      </c>
      <c r="E118" s="910">
        <f>D118</f>
        <v>0.48149999999999998</v>
      </c>
      <c r="F118" s="910">
        <f>E118</f>
        <v>0.48149999999999998</v>
      </c>
      <c r="G118" s="910">
        <f>ROUND(0.6299-0.0122*B113,4)</f>
        <v>0.40329999999999999</v>
      </c>
      <c r="H118" s="910">
        <f>G118</f>
        <v>0.40329999999999999</v>
      </c>
      <c r="I118" s="910">
        <f>ROUND(0.5667-0.0136*B113,4)</f>
        <v>0.31409999999999999</v>
      </c>
      <c r="J118" s="910">
        <f t="shared" si="33"/>
        <v>0.31409999999999999</v>
      </c>
      <c r="K118" s="910">
        <f t="shared" si="33"/>
        <v>0.31409999999999999</v>
      </c>
      <c r="L118" s="910">
        <f t="shared" si="33"/>
        <v>0.31409999999999999</v>
      </c>
      <c r="M118" s="911">
        <f t="shared" si="33"/>
        <v>0.31409999999999999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79" t="s">
        <v>183</v>
      </c>
      <c r="B18" s="880" t="s">
        <v>560</v>
      </c>
      <c r="C18" s="881" t="s">
        <v>561</v>
      </c>
      <c r="D18" s="882"/>
      <c r="E18" s="880">
        <v>1</v>
      </c>
      <c r="F18" s="883" t="s">
        <v>562</v>
      </c>
      <c r="G18" s="884"/>
      <c r="H18" s="876"/>
      <c r="I18" s="876"/>
    </row>
    <row r="19" spans="1:9" s="885" customFormat="1" ht="19.5" customHeight="1">
      <c r="A19" s="3279"/>
      <c r="B19" s="3279" t="s">
        <v>563</v>
      </c>
      <c r="C19" s="881" t="s">
        <v>564</v>
      </c>
      <c r="D19" s="882"/>
      <c r="E19" s="880">
        <v>0.9</v>
      </c>
      <c r="F19" s="883" t="s">
        <v>565</v>
      </c>
      <c r="G19" s="884"/>
      <c r="H19" s="876"/>
      <c r="I19" s="876"/>
    </row>
    <row r="20" spans="1:9" s="885" customFormat="1" ht="19.5" customHeight="1">
      <c r="A20" s="3279"/>
      <c r="B20" s="3279"/>
      <c r="C20" s="881" t="s">
        <v>566</v>
      </c>
      <c r="D20" s="882"/>
      <c r="E20" s="880">
        <v>1.1000000000000001</v>
      </c>
      <c r="F20" s="883" t="s">
        <v>567</v>
      </c>
      <c r="G20" s="884"/>
      <c r="H20" s="876"/>
      <c r="I20" s="876"/>
    </row>
    <row r="21" spans="1:9" s="885" customFormat="1" ht="19.5" customHeight="1">
      <c r="A21" s="3279"/>
      <c r="B21" s="3279"/>
      <c r="C21" s="881" t="s">
        <v>568</v>
      </c>
      <c r="D21" s="882"/>
      <c r="E21" s="880">
        <v>0.8</v>
      </c>
      <c r="F21" s="883" t="s">
        <v>569</v>
      </c>
      <c r="G21" s="884"/>
      <c r="H21" s="876"/>
      <c r="I21" s="876"/>
    </row>
    <row r="22" spans="1:9" s="885" customFormat="1" ht="19.5" customHeight="1">
      <c r="A22" s="3279"/>
      <c r="B22" s="3279"/>
      <c r="C22" s="881" t="s">
        <v>570</v>
      </c>
      <c r="D22" s="882"/>
      <c r="E22" s="880">
        <v>0.5</v>
      </c>
      <c r="F22" s="883"/>
      <c r="G22" s="884"/>
      <c r="H22" s="876"/>
      <c r="I22" s="876"/>
    </row>
    <row r="23" spans="1:9" s="885" customFormat="1" ht="19.5" customHeight="1">
      <c r="A23" s="3279" t="s">
        <v>184</v>
      </c>
      <c r="B23" s="880" t="s">
        <v>560</v>
      </c>
      <c r="C23" s="881" t="s">
        <v>571</v>
      </c>
      <c r="D23" s="882"/>
      <c r="E23" s="880">
        <v>1</v>
      </c>
      <c r="F23" s="883" t="s">
        <v>572</v>
      </c>
      <c r="G23" s="884"/>
      <c r="H23" s="876"/>
      <c r="I23" s="876"/>
    </row>
    <row r="24" spans="1:9" s="885" customFormat="1" ht="19.5" customHeight="1">
      <c r="A24" s="3279"/>
      <c r="B24" s="3279" t="s">
        <v>563</v>
      </c>
      <c r="C24" s="881" t="s">
        <v>573</v>
      </c>
      <c r="D24" s="882"/>
      <c r="E24" s="880">
        <v>0.5</v>
      </c>
      <c r="F24" s="883"/>
      <c r="G24" s="884"/>
      <c r="H24" s="876"/>
      <c r="I24" s="876"/>
    </row>
    <row r="25" spans="1:9" s="885" customFormat="1" ht="19.5" customHeight="1">
      <c r="A25" s="3279"/>
      <c r="B25" s="3279"/>
      <c r="C25" s="881" t="s">
        <v>574</v>
      </c>
      <c r="D25" s="882"/>
      <c r="E25" s="880">
        <v>1.1000000000000001</v>
      </c>
      <c r="F25" s="883"/>
      <c r="G25" s="884"/>
      <c r="H25" s="876"/>
      <c r="I25" s="876"/>
    </row>
    <row r="26" spans="1:9" s="885" customFormat="1" ht="19.5" customHeight="1">
      <c r="A26" s="3279"/>
      <c r="B26" s="3279"/>
      <c r="C26" s="881" t="s">
        <v>575</v>
      </c>
      <c r="D26" s="882"/>
      <c r="E26" s="880">
        <v>1.1000000000000001</v>
      </c>
      <c r="F26" s="883"/>
      <c r="G26" s="884"/>
      <c r="H26" s="876"/>
      <c r="I26" s="876"/>
    </row>
    <row r="27" spans="1:9" s="885" customFormat="1" ht="19.5" customHeight="1">
      <c r="A27" s="3279"/>
      <c r="B27" s="3279"/>
      <c r="C27" s="881" t="s">
        <v>576</v>
      </c>
      <c r="D27" s="882"/>
      <c r="E27" s="880">
        <v>0.9</v>
      </c>
      <c r="F27" s="883" t="s">
        <v>577</v>
      </c>
      <c r="G27" s="884"/>
      <c r="H27" s="876"/>
      <c r="I27" s="876"/>
    </row>
    <row r="28" spans="1:9" s="885" customFormat="1" ht="19.5" customHeight="1">
      <c r="A28" s="3279"/>
      <c r="B28" s="3279"/>
      <c r="C28" s="881" t="s">
        <v>578</v>
      </c>
      <c r="D28" s="882"/>
      <c r="E28" s="880">
        <v>0.9</v>
      </c>
      <c r="F28" s="883" t="s">
        <v>579</v>
      </c>
      <c r="G28" s="884"/>
      <c r="H28" s="876"/>
      <c r="I28" s="876"/>
    </row>
    <row r="29" spans="1:9" s="885" customFormat="1" ht="19.5" customHeight="1">
      <c r="A29" s="3279"/>
      <c r="B29" s="3279"/>
      <c r="C29" s="881" t="s">
        <v>580</v>
      </c>
      <c r="D29" s="882"/>
      <c r="E29" s="880">
        <v>0.9</v>
      </c>
      <c r="F29" s="883" t="s">
        <v>581</v>
      </c>
      <c r="G29" s="884"/>
      <c r="H29" s="876"/>
      <c r="I29" s="876"/>
    </row>
    <row r="30" spans="1:9" s="885" customFormat="1" ht="19.5" customHeight="1">
      <c r="A30" s="3279"/>
      <c r="B30" s="3279"/>
      <c r="C30" s="881" t="s">
        <v>582</v>
      </c>
      <c r="D30" s="882"/>
      <c r="E30" s="880">
        <v>0.9</v>
      </c>
      <c r="F30" s="883" t="s">
        <v>583</v>
      </c>
      <c r="G30" s="884"/>
      <c r="H30" s="876"/>
      <c r="I30" s="876"/>
    </row>
    <row r="31" spans="1:9" s="885" customFormat="1" ht="19.5" customHeight="1">
      <c r="A31" s="3279"/>
      <c r="B31" s="3279"/>
      <c r="C31" s="881" t="s">
        <v>584</v>
      </c>
      <c r="D31" s="882"/>
      <c r="E31" s="880">
        <v>0.8</v>
      </c>
      <c r="F31" s="883" t="s">
        <v>585</v>
      </c>
      <c r="G31" s="884"/>
      <c r="H31" s="876"/>
      <c r="I31" s="876"/>
    </row>
    <row r="32" spans="1:9" s="885" customFormat="1" ht="19.5" customHeight="1">
      <c r="A32" s="3279"/>
      <c r="B32" s="3279"/>
      <c r="C32" s="881" t="s">
        <v>586</v>
      </c>
      <c r="D32" s="882"/>
      <c r="E32" s="880">
        <v>0.8</v>
      </c>
      <c r="F32" s="883" t="s">
        <v>587</v>
      </c>
      <c r="G32" s="884"/>
      <c r="H32" s="876"/>
      <c r="I32" s="876"/>
    </row>
    <row r="33" spans="1:9" s="885" customFormat="1" ht="19.5" customHeight="1">
      <c r="A33" s="3279" t="s">
        <v>185</v>
      </c>
      <c r="B33" s="880" t="s">
        <v>560</v>
      </c>
      <c r="C33" s="881" t="s">
        <v>588</v>
      </c>
      <c r="D33" s="882"/>
      <c r="E33" s="880">
        <v>1</v>
      </c>
      <c r="F33" s="883" t="s">
        <v>589</v>
      </c>
      <c r="G33" s="884"/>
      <c r="H33" s="876"/>
      <c r="I33" s="876"/>
    </row>
    <row r="34" spans="1:9" s="885" customFormat="1" ht="19.5" customHeight="1">
      <c r="A34" s="3279"/>
      <c r="B34" s="880" t="s">
        <v>563</v>
      </c>
      <c r="C34" s="881" t="s">
        <v>590</v>
      </c>
      <c r="D34" s="882"/>
      <c r="E34" s="880">
        <v>1.5</v>
      </c>
      <c r="F34" s="883" t="s">
        <v>591</v>
      </c>
      <c r="G34" s="884"/>
      <c r="H34" s="876"/>
      <c r="I34" s="876"/>
    </row>
    <row r="35" spans="1:9" s="885" customFormat="1" ht="19.5" customHeight="1">
      <c r="A35" s="3279" t="s">
        <v>186</v>
      </c>
      <c r="B35" s="880" t="s">
        <v>560</v>
      </c>
      <c r="C35" s="881" t="s">
        <v>592</v>
      </c>
      <c r="D35" s="882"/>
      <c r="E35" s="880">
        <v>1</v>
      </c>
      <c r="F35" s="883" t="s">
        <v>593</v>
      </c>
      <c r="G35" s="884"/>
      <c r="H35" s="876"/>
      <c r="I35" s="876"/>
    </row>
    <row r="36" spans="1:9" s="885" customFormat="1" ht="19.5" customHeight="1">
      <c r="A36" s="3279"/>
      <c r="B36" s="3279" t="s">
        <v>563</v>
      </c>
      <c r="C36" s="881" t="s">
        <v>594</v>
      </c>
      <c r="D36" s="882"/>
      <c r="E36" s="880">
        <v>1</v>
      </c>
      <c r="F36" s="883" t="s">
        <v>595</v>
      </c>
      <c r="G36" s="884"/>
      <c r="H36" s="876"/>
      <c r="I36" s="876"/>
    </row>
    <row r="37" spans="1:9" s="885" customFormat="1" ht="19.5" customHeight="1">
      <c r="A37" s="3279"/>
      <c r="B37" s="3279"/>
      <c r="C37" s="881" t="s">
        <v>596</v>
      </c>
      <c r="D37" s="882"/>
      <c r="E37" s="880">
        <v>1.5</v>
      </c>
      <c r="F37" s="883" t="s">
        <v>597</v>
      </c>
      <c r="G37" s="884"/>
      <c r="H37" s="876"/>
      <c r="I37" s="876"/>
    </row>
    <row r="38" spans="1:9" s="885" customFormat="1" ht="19.5" customHeight="1">
      <c r="A38" s="3279"/>
      <c r="B38" s="3279"/>
      <c r="C38" s="881" t="s">
        <v>598</v>
      </c>
      <c r="D38" s="882"/>
      <c r="E38" s="880">
        <v>1</v>
      </c>
      <c r="F38" s="883" t="s">
        <v>599</v>
      </c>
      <c r="G38" s="884"/>
      <c r="H38" s="876"/>
      <c r="I38" s="876"/>
    </row>
    <row r="39" spans="1:9" s="885" customFormat="1" ht="19.5" customHeight="1">
      <c r="A39" s="3279"/>
      <c r="B39" s="327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79" t="s">
        <v>614</v>
      </c>
      <c r="C61" s="816" t="s">
        <v>615</v>
      </c>
      <c r="D61" s="816" t="s">
        <v>616</v>
      </c>
      <c r="E61" s="893">
        <v>0.5</v>
      </c>
      <c r="F61" s="880">
        <v>80</v>
      </c>
    </row>
    <row r="62" spans="1:8" s="876" customFormat="1" ht="24">
      <c r="A62" s="880">
        <v>2</v>
      </c>
      <c r="B62" s="3279"/>
      <c r="C62" s="816" t="s">
        <v>617</v>
      </c>
      <c r="D62" s="816" t="s">
        <v>618</v>
      </c>
      <c r="E62" s="893">
        <v>0.5</v>
      </c>
      <c r="F62" s="880">
        <v>80</v>
      </c>
    </row>
    <row r="63" spans="1:8" s="876" customFormat="1" ht="36">
      <c r="A63" s="880">
        <v>3</v>
      </c>
      <c r="B63" s="3279"/>
      <c r="C63" s="816" t="s">
        <v>619</v>
      </c>
      <c r="D63" s="816" t="s">
        <v>620</v>
      </c>
      <c r="E63" s="893">
        <v>0.5</v>
      </c>
      <c r="F63" s="880">
        <v>80</v>
      </c>
    </row>
    <row r="64" spans="1:8" s="876" customFormat="1" ht="36">
      <c r="A64" s="880">
        <v>4</v>
      </c>
      <c r="B64" s="3279"/>
      <c r="C64" s="816" t="s">
        <v>621</v>
      </c>
      <c r="D64" s="816" t="s">
        <v>622</v>
      </c>
      <c r="E64" s="893">
        <v>0.4</v>
      </c>
      <c r="F64" s="880">
        <v>60</v>
      </c>
    </row>
    <row r="65" spans="1:6" s="876" customFormat="1" ht="36">
      <c r="A65" s="880">
        <v>5</v>
      </c>
      <c r="B65" s="3279"/>
      <c r="C65" s="816" t="s">
        <v>623</v>
      </c>
      <c r="D65" s="816" t="s">
        <v>624</v>
      </c>
      <c r="E65" s="893">
        <v>0.2</v>
      </c>
      <c r="F65" s="880">
        <v>30</v>
      </c>
    </row>
    <row r="66" spans="1:6" s="876" customFormat="1" ht="36">
      <c r="A66" s="880">
        <v>6</v>
      </c>
      <c r="B66" s="3279"/>
      <c r="C66" s="816" t="s">
        <v>625</v>
      </c>
      <c r="D66" s="816" t="s">
        <v>626</v>
      </c>
      <c r="E66" s="893">
        <v>0.3</v>
      </c>
      <c r="F66" s="880">
        <v>50</v>
      </c>
    </row>
    <row r="67" spans="1:6" s="876" customFormat="1" ht="36">
      <c r="A67" s="880">
        <v>7</v>
      </c>
      <c r="B67" s="3279"/>
      <c r="C67" s="816" t="s">
        <v>627</v>
      </c>
      <c r="D67" s="816" t="s">
        <v>628</v>
      </c>
      <c r="E67" s="893">
        <v>0.2</v>
      </c>
      <c r="F67" s="880">
        <v>30</v>
      </c>
    </row>
    <row r="68" spans="1:6" s="876" customFormat="1" ht="36">
      <c r="A68" s="880">
        <v>8</v>
      </c>
      <c r="B68" s="3279"/>
      <c r="C68" s="816" t="s">
        <v>629</v>
      </c>
      <c r="D68" s="816" t="s">
        <v>630</v>
      </c>
      <c r="E68" s="893">
        <v>0.2</v>
      </c>
      <c r="F68" s="880">
        <v>30</v>
      </c>
    </row>
    <row r="69" spans="1:6" s="876" customFormat="1" ht="36">
      <c r="A69" s="880">
        <v>9</v>
      </c>
      <c r="B69" s="3279"/>
      <c r="C69" s="816" t="s">
        <v>631</v>
      </c>
      <c r="D69" s="816" t="s">
        <v>632</v>
      </c>
      <c r="E69" s="893">
        <v>0.2</v>
      </c>
      <c r="F69" s="880">
        <v>30</v>
      </c>
    </row>
    <row r="70" spans="1:6" s="876" customFormat="1" ht="48">
      <c r="A70" s="880">
        <v>10</v>
      </c>
      <c r="B70" s="3279"/>
      <c r="C70" s="816" t="s">
        <v>633</v>
      </c>
      <c r="D70" s="816" t="s">
        <v>634</v>
      </c>
      <c r="E70" s="893">
        <v>0.2</v>
      </c>
      <c r="F70" s="880">
        <v>30</v>
      </c>
    </row>
    <row r="71" spans="1:6" s="876" customFormat="1" ht="48">
      <c r="A71" s="880">
        <v>11</v>
      </c>
      <c r="B71" s="3279"/>
      <c r="C71" s="816" t="s">
        <v>635</v>
      </c>
      <c r="D71" s="816" t="s">
        <v>636</v>
      </c>
      <c r="E71" s="893">
        <v>0.2</v>
      </c>
      <c r="F71" s="880">
        <v>30</v>
      </c>
    </row>
    <row r="72" spans="1:6" s="876" customFormat="1" ht="36">
      <c r="A72" s="880">
        <v>12</v>
      </c>
      <c r="B72" s="3279"/>
      <c r="C72" s="816" t="s">
        <v>637</v>
      </c>
      <c r="D72" s="816" t="s">
        <v>638</v>
      </c>
      <c r="E72" s="893">
        <v>0.5</v>
      </c>
      <c r="F72" s="880">
        <v>80</v>
      </c>
    </row>
    <row r="73" spans="1:6" s="876" customFormat="1" ht="24">
      <c r="A73" s="880">
        <v>13</v>
      </c>
      <c r="B73" s="3279"/>
      <c r="C73" s="816" t="s">
        <v>639</v>
      </c>
      <c r="D73" s="816" t="s">
        <v>640</v>
      </c>
      <c r="E73" s="893">
        <v>0.4</v>
      </c>
      <c r="F73" s="880">
        <v>60</v>
      </c>
    </row>
    <row r="74" spans="1:6" s="876" customFormat="1" ht="24">
      <c r="A74" s="880">
        <v>14</v>
      </c>
      <c r="B74" s="3279"/>
      <c r="C74" s="816" t="s">
        <v>641</v>
      </c>
      <c r="D74" s="816" t="s">
        <v>642</v>
      </c>
      <c r="E74" s="893">
        <v>0.2</v>
      </c>
      <c r="F74" s="880">
        <v>30</v>
      </c>
    </row>
    <row r="75" spans="1:6" s="876" customFormat="1" ht="24">
      <c r="A75" s="880">
        <v>15</v>
      </c>
      <c r="B75" s="3279"/>
      <c r="C75" s="816" t="s">
        <v>643</v>
      </c>
      <c r="D75" s="816" t="s">
        <v>644</v>
      </c>
      <c r="E75" s="893">
        <v>0.2</v>
      </c>
      <c r="F75" s="880">
        <v>30</v>
      </c>
    </row>
    <row r="76" spans="1:6" s="876" customFormat="1" ht="24">
      <c r="A76" s="880">
        <v>16</v>
      </c>
      <c r="B76" s="3279" t="s">
        <v>645</v>
      </c>
      <c r="C76" s="816" t="s">
        <v>646</v>
      </c>
      <c r="D76" s="816" t="s">
        <v>647</v>
      </c>
      <c r="E76" s="893">
        <v>0.5</v>
      </c>
      <c r="F76" s="880">
        <v>80</v>
      </c>
    </row>
    <row r="77" spans="1:6" s="876" customFormat="1" ht="24">
      <c r="A77" s="880">
        <v>17</v>
      </c>
      <c r="B77" s="3279"/>
      <c r="C77" s="816" t="s">
        <v>648</v>
      </c>
      <c r="D77" s="816" t="s">
        <v>649</v>
      </c>
      <c r="E77" s="893">
        <v>0.5</v>
      </c>
      <c r="F77" s="880">
        <v>80</v>
      </c>
    </row>
    <row r="78" spans="1:6" s="876" customFormat="1" ht="24">
      <c r="A78" s="880">
        <v>18</v>
      </c>
      <c r="B78" s="3279"/>
      <c r="C78" s="816" t="s">
        <v>650</v>
      </c>
      <c r="D78" s="816" t="s">
        <v>651</v>
      </c>
      <c r="E78" s="893">
        <v>0.2</v>
      </c>
      <c r="F78" s="880">
        <v>30</v>
      </c>
    </row>
    <row r="79" spans="1:6" s="876" customFormat="1" ht="24">
      <c r="A79" s="880">
        <v>19</v>
      </c>
      <c r="B79" s="3279"/>
      <c r="C79" s="816" t="s">
        <v>652</v>
      </c>
      <c r="D79" s="816" t="s">
        <v>653</v>
      </c>
      <c r="E79" s="893">
        <v>0.5</v>
      </c>
      <c r="F79" s="880">
        <v>80</v>
      </c>
    </row>
    <row r="80" spans="1:6" s="876" customFormat="1" ht="36">
      <c r="A80" s="880">
        <v>20</v>
      </c>
      <c r="B80" s="3279"/>
      <c r="C80" s="816" t="s">
        <v>654</v>
      </c>
      <c r="D80" s="816" t="s">
        <v>655</v>
      </c>
      <c r="E80" s="893">
        <v>0.2</v>
      </c>
      <c r="F80" s="880">
        <v>30</v>
      </c>
    </row>
    <row r="81" spans="1:6" s="876" customFormat="1" ht="36">
      <c r="A81" s="880">
        <v>21</v>
      </c>
      <c r="B81" s="3279"/>
      <c r="C81" s="816" t="s">
        <v>656</v>
      </c>
      <c r="D81" s="816" t="s">
        <v>657</v>
      </c>
      <c r="E81" s="893">
        <v>0.2</v>
      </c>
      <c r="F81" s="880">
        <v>30</v>
      </c>
    </row>
    <row r="82" spans="1:6" s="876" customFormat="1" ht="48">
      <c r="A82" s="880">
        <v>22</v>
      </c>
      <c r="B82" s="3279"/>
      <c r="C82" s="816" t="s">
        <v>658</v>
      </c>
      <c r="D82" s="816" t="s">
        <v>659</v>
      </c>
      <c r="E82" s="893">
        <v>0.2</v>
      </c>
      <c r="F82" s="880">
        <v>30</v>
      </c>
    </row>
    <row r="83" spans="1:6" s="876" customFormat="1" ht="48">
      <c r="A83" s="880">
        <v>23</v>
      </c>
      <c r="B83" s="3279"/>
      <c r="C83" s="816" t="s">
        <v>660</v>
      </c>
      <c r="D83" s="816" t="s">
        <v>661</v>
      </c>
      <c r="E83" s="893">
        <v>0.2</v>
      </c>
      <c r="F83" s="880">
        <v>30</v>
      </c>
    </row>
    <row r="84" spans="1:6" s="876" customFormat="1" ht="36">
      <c r="A84" s="880">
        <v>24</v>
      </c>
      <c r="B84" s="3279"/>
      <c r="C84" s="816" t="s">
        <v>662</v>
      </c>
      <c r="D84" s="816" t="s">
        <v>663</v>
      </c>
      <c r="E84" s="893">
        <v>0.2</v>
      </c>
      <c r="F84" s="880">
        <v>30</v>
      </c>
    </row>
    <row r="85" spans="1:6" s="876" customFormat="1" ht="36">
      <c r="A85" s="880">
        <v>25</v>
      </c>
      <c r="B85" s="3279"/>
      <c r="C85" s="816" t="s">
        <v>664</v>
      </c>
      <c r="D85" s="816" t="s">
        <v>665</v>
      </c>
      <c r="E85" s="893">
        <v>0.5</v>
      </c>
      <c r="F85" s="880">
        <v>80</v>
      </c>
    </row>
    <row r="86" spans="1:6" s="876" customFormat="1" ht="36">
      <c r="A86" s="880">
        <v>26</v>
      </c>
      <c r="B86" s="3279"/>
      <c r="C86" s="816" t="s">
        <v>666</v>
      </c>
      <c r="D86" s="816" t="s">
        <v>667</v>
      </c>
      <c r="E86" s="893">
        <v>0.2</v>
      </c>
      <c r="F86" s="880">
        <v>30</v>
      </c>
    </row>
    <row r="87" spans="1:6" s="876" customFormat="1" ht="36">
      <c r="A87" s="880">
        <v>27</v>
      </c>
      <c r="B87" s="3279"/>
      <c r="C87" s="816" t="s">
        <v>668</v>
      </c>
      <c r="D87" s="816" t="s">
        <v>669</v>
      </c>
      <c r="E87" s="893">
        <v>0.2</v>
      </c>
      <c r="F87" s="880">
        <v>30</v>
      </c>
    </row>
    <row r="88" spans="1:6" s="876" customFormat="1" ht="36">
      <c r="A88" s="880">
        <v>28</v>
      </c>
      <c r="B88" s="3279"/>
      <c r="C88" s="816" t="s">
        <v>670</v>
      </c>
      <c r="D88" s="816" t="s">
        <v>671</v>
      </c>
      <c r="E88" s="893">
        <v>0.2</v>
      </c>
      <c r="F88" s="880">
        <v>30</v>
      </c>
    </row>
    <row r="89" spans="1:6" s="876" customFormat="1" ht="24">
      <c r="A89" s="880">
        <v>29</v>
      </c>
      <c r="B89" s="3279"/>
      <c r="C89" s="816" t="s">
        <v>672</v>
      </c>
      <c r="D89" s="816" t="s">
        <v>673</v>
      </c>
      <c r="E89" s="893">
        <v>0.2</v>
      </c>
      <c r="F89" s="880">
        <v>30</v>
      </c>
    </row>
    <row r="90" spans="1:6" s="876" customFormat="1" ht="24">
      <c r="A90" s="880">
        <v>30</v>
      </c>
      <c r="B90" s="3279"/>
      <c r="C90" s="816" t="s">
        <v>674</v>
      </c>
      <c r="D90" s="816" t="s">
        <v>675</v>
      </c>
      <c r="E90" s="893">
        <v>0.2</v>
      </c>
      <c r="F90" s="880">
        <v>30</v>
      </c>
    </row>
    <row r="91" spans="1:6" s="876" customFormat="1" ht="36">
      <c r="A91" s="880">
        <v>31</v>
      </c>
      <c r="B91" s="3279"/>
      <c r="C91" s="816" t="s">
        <v>676</v>
      </c>
      <c r="D91" s="816" t="s">
        <v>677</v>
      </c>
      <c r="E91" s="893">
        <v>0.2</v>
      </c>
      <c r="F91" s="880">
        <v>30</v>
      </c>
    </row>
    <row r="92" spans="1:6" s="876" customFormat="1" ht="24">
      <c r="A92" s="880">
        <v>32</v>
      </c>
      <c r="B92" s="3279" t="s">
        <v>678</v>
      </c>
      <c r="C92" s="880" t="s">
        <v>679</v>
      </c>
      <c r="D92" s="816" t="s">
        <v>680</v>
      </c>
      <c r="E92" s="893">
        <v>0.2</v>
      </c>
      <c r="F92" s="880">
        <v>30</v>
      </c>
    </row>
    <row r="93" spans="1:6" s="876" customFormat="1" ht="36">
      <c r="A93" s="880">
        <v>33</v>
      </c>
      <c r="B93" s="3279"/>
      <c r="C93" s="880" t="s">
        <v>681</v>
      </c>
      <c r="D93" s="816" t="s">
        <v>682</v>
      </c>
      <c r="E93" s="893">
        <v>0.2</v>
      </c>
      <c r="F93" s="880">
        <v>30</v>
      </c>
    </row>
    <row r="94" spans="1:6" s="876" customFormat="1" ht="48">
      <c r="A94" s="880">
        <v>34</v>
      </c>
      <c r="B94" s="3279"/>
      <c r="C94" s="880" t="s">
        <v>683</v>
      </c>
      <c r="D94" s="816" t="s">
        <v>684</v>
      </c>
      <c r="E94" s="893">
        <v>0.2</v>
      </c>
      <c r="F94" s="880">
        <v>30</v>
      </c>
    </row>
    <row r="95" spans="1:6" s="876" customFormat="1" ht="36">
      <c r="A95" s="880">
        <v>35</v>
      </c>
      <c r="B95" s="3279"/>
      <c r="C95" s="880" t="s">
        <v>685</v>
      </c>
      <c r="D95" s="816" t="s">
        <v>686</v>
      </c>
      <c r="E95" s="893">
        <v>0.2</v>
      </c>
      <c r="F95" s="880">
        <v>30</v>
      </c>
    </row>
    <row r="96" spans="1:6" s="876" customFormat="1" ht="48">
      <c r="A96" s="880">
        <v>36</v>
      </c>
      <c r="B96" s="3279"/>
      <c r="C96" s="816" t="s">
        <v>687</v>
      </c>
      <c r="D96" s="816" t="s">
        <v>688</v>
      </c>
      <c r="E96" s="893">
        <v>0.2</v>
      </c>
      <c r="F96" s="880">
        <v>30</v>
      </c>
    </row>
    <row r="97" spans="1:6" s="876" customFormat="1" ht="36">
      <c r="A97" s="880">
        <v>37</v>
      </c>
      <c r="B97" s="3279"/>
      <c r="C97" s="880" t="s">
        <v>689</v>
      </c>
      <c r="D97" s="816" t="s">
        <v>690</v>
      </c>
      <c r="E97" s="893">
        <v>0.2</v>
      </c>
      <c r="F97" s="880">
        <v>30</v>
      </c>
    </row>
    <row r="98" spans="1:6" s="876" customFormat="1" ht="36">
      <c r="A98" s="880">
        <v>38</v>
      </c>
      <c r="B98" s="3279"/>
      <c r="C98" s="880" t="s">
        <v>691</v>
      </c>
      <c r="D98" s="816" t="s">
        <v>692</v>
      </c>
      <c r="E98" s="893">
        <v>0.2</v>
      </c>
      <c r="F98" s="880">
        <v>30</v>
      </c>
    </row>
    <row r="99" spans="1:6" s="876" customFormat="1" ht="36">
      <c r="A99" s="880">
        <v>39</v>
      </c>
      <c r="B99" s="3279" t="s">
        <v>693</v>
      </c>
      <c r="C99" s="880" t="s">
        <v>694</v>
      </c>
      <c r="D99" s="816" t="s">
        <v>695</v>
      </c>
      <c r="E99" s="893">
        <v>0.3</v>
      </c>
      <c r="F99" s="880">
        <v>50</v>
      </c>
    </row>
    <row r="100" spans="1:6" s="876" customFormat="1" ht="24">
      <c r="A100" s="880">
        <v>40</v>
      </c>
      <c r="B100" s="3279"/>
      <c r="C100" s="880" t="s">
        <v>696</v>
      </c>
      <c r="D100" s="816" t="s">
        <v>697</v>
      </c>
      <c r="E100" s="893">
        <v>0.2</v>
      </c>
      <c r="F100" s="880">
        <v>30</v>
      </c>
    </row>
    <row r="101" spans="1:6" s="876" customFormat="1" ht="36">
      <c r="A101" s="880">
        <v>41</v>
      </c>
      <c r="B101" s="3279"/>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9" t="s">
        <v>708</v>
      </c>
      <c r="C105" s="880" t="s">
        <v>709</v>
      </c>
      <c r="D105" s="816" t="s">
        <v>710</v>
      </c>
      <c r="E105" s="893">
        <v>0.2</v>
      </c>
      <c r="F105" s="880">
        <v>30</v>
      </c>
    </row>
    <row r="106" spans="1:6" s="876" customFormat="1" ht="36">
      <c r="A106" s="880">
        <v>46</v>
      </c>
      <c r="B106" s="3279"/>
      <c r="C106" s="880" t="s">
        <v>711</v>
      </c>
      <c r="D106" s="816" t="s">
        <v>712</v>
      </c>
      <c r="E106" s="893">
        <v>0.2</v>
      </c>
      <c r="F106" s="880">
        <v>30</v>
      </c>
    </row>
    <row r="107" spans="1:6" s="876" customFormat="1" ht="36">
      <c r="A107" s="880">
        <v>47</v>
      </c>
      <c r="B107" s="3279" t="s">
        <v>713</v>
      </c>
      <c r="C107" s="880" t="s">
        <v>714</v>
      </c>
      <c r="D107" s="816" t="s">
        <v>715</v>
      </c>
      <c r="E107" s="893">
        <v>0.3</v>
      </c>
      <c r="F107" s="880">
        <v>50</v>
      </c>
    </row>
    <row r="108" spans="1:6" s="876" customFormat="1" ht="36">
      <c r="A108" s="880">
        <v>48</v>
      </c>
      <c r="B108" s="327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9" t="s">
        <v>724</v>
      </c>
      <c r="C111" s="880" t="s">
        <v>725</v>
      </c>
      <c r="D111" s="816" t="s">
        <v>726</v>
      </c>
      <c r="E111" s="893">
        <v>0.2</v>
      </c>
      <c r="F111" s="880">
        <v>30</v>
      </c>
    </row>
    <row r="112" spans="1:6" s="876" customFormat="1" ht="24">
      <c r="A112" s="880">
        <v>52</v>
      </c>
      <c r="B112" s="3279"/>
      <c r="C112" s="880" t="s">
        <v>727</v>
      </c>
      <c r="D112" s="816" t="s">
        <v>728</v>
      </c>
      <c r="E112" s="893">
        <v>0.2</v>
      </c>
      <c r="F112" s="880">
        <v>30</v>
      </c>
    </row>
    <row r="113" spans="1:6" s="876" customFormat="1" ht="24">
      <c r="A113" s="880">
        <v>53</v>
      </c>
      <c r="B113" s="3279"/>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9" t="s">
        <v>737</v>
      </c>
      <c r="C116" s="880" t="s">
        <v>738</v>
      </c>
      <c r="D116" s="816" t="s">
        <v>739</v>
      </c>
      <c r="E116" s="893">
        <v>0.2</v>
      </c>
      <c r="F116" s="880">
        <v>30</v>
      </c>
    </row>
    <row r="117" spans="1:6" ht="36">
      <c r="A117" s="880">
        <v>57</v>
      </c>
      <c r="B117" s="3279"/>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3010</v>
      </c>
    </row>
    <row r="2" spans="1:5" ht="15.75">
      <c r="A2" s="2908" t="s">
        <v>3002</v>
      </c>
      <c r="B2" s="2909" t="e">
        <f ca="1">SUMIF(B6:B13,"&lt;&gt;#ref!",B6:B13)</f>
        <v>#DIV/0!</v>
      </c>
      <c r="C2" s="2908" t="s">
        <v>3003</v>
      </c>
      <c r="D2" s="2908" t="s">
        <v>3004</v>
      </c>
      <c r="E2" s="2909">
        <f ca="1">SUMIF(E6:E13,"&lt;&gt;#ref!",E6:E13)</f>
        <v>0</v>
      </c>
    </row>
    <row r="3" spans="1:5" ht="15.75">
      <c r="A3" s="2908" t="s">
        <v>3005</v>
      </c>
      <c r="B3" s="2909" t="e">
        <f ca="1">ROUND(B2*10000/E2,0)</f>
        <v>#DIV/0!</v>
      </c>
      <c r="C3" s="2908" t="s">
        <v>3011</v>
      </c>
      <c r="D3" s="2910"/>
      <c r="E3" s="2910"/>
    </row>
    <row r="4" spans="1:5" ht="15.75">
      <c r="A4" s="2911"/>
      <c r="B4" s="2910"/>
      <c r="C4" s="2910"/>
      <c r="D4" s="2910"/>
      <c r="E4" s="2910"/>
    </row>
    <row r="5" spans="1:5" ht="28.5">
      <c r="A5" s="2912" t="s">
        <v>3006</v>
      </c>
      <c r="B5" s="2908" t="s">
        <v>3007</v>
      </c>
      <c r="C5" s="2909"/>
      <c r="D5" s="2910"/>
      <c r="E5" s="2908" t="s">
        <v>3008</v>
      </c>
    </row>
    <row r="6" spans="1:5" ht="15.75">
      <c r="A6" s="2913" t="s">
        <v>3009</v>
      </c>
      <c r="B6" s="2909" t="e">
        <f ca="1">SUMIF(INDIRECT("'"&amp;A6&amp;"'"&amp;"!A:A"),"总价",INDIRECT("'"&amp;A6&amp;"'"&amp;"!B:B"))</f>
        <v>#DIV/0!</v>
      </c>
      <c r="C6" s="2908" t="s">
        <v>3003</v>
      </c>
      <c r="D6" s="2910"/>
      <c r="E6" s="2574">
        <f ca="1">SUMIF(INDIRECT("'"&amp;A6&amp;"'"&amp;"!C:C"),"建筑面积",INDIRECT("'"&amp;A6&amp;"'"&amp;"!D:D"))</f>
        <v>0</v>
      </c>
    </row>
    <row r="7" spans="1:5" ht="15.75">
      <c r="A7" s="2913"/>
      <c r="B7" s="2909" t="e">
        <f ca="1">SUMIF(INDIRECT("'"&amp;A7&amp;"'"&amp;"!A:A"),"总价",INDIRECT("'"&amp;A7&amp;"'"&amp;"!B:B"))</f>
        <v>#REF!</v>
      </c>
      <c r="C7" s="2908" t="s">
        <v>3003</v>
      </c>
      <c r="D7" s="2910"/>
      <c r="E7" s="2574" t="e">
        <f t="shared" ref="E7:E13" ca="1" si="0">SUMIF(INDIRECT("'"&amp;A7&amp;"'"&amp;"!C:C"),"建筑面积",INDIRECT("'"&amp;A7&amp;"'"&amp;"!D:D"))</f>
        <v>#REF!</v>
      </c>
    </row>
    <row r="8" spans="1:5" ht="15.75">
      <c r="A8" s="2913"/>
      <c r="B8" s="2909" t="e">
        <f t="shared" ref="B8:B13" ca="1" si="1">SUMIF(INDIRECT("'"&amp;A8&amp;"'"&amp;"!A:A"),"总价",INDIRECT("'"&amp;A8&amp;"'"&amp;"!B:B"))</f>
        <v>#REF!</v>
      </c>
      <c r="C8" s="2908" t="s">
        <v>3003</v>
      </c>
      <c r="D8" s="2910"/>
      <c r="E8" s="2574" t="e">
        <f t="shared" ca="1" si="0"/>
        <v>#REF!</v>
      </c>
    </row>
    <row r="9" spans="1:5" ht="15.75">
      <c r="A9" s="2913"/>
      <c r="B9" s="2909" t="e">
        <f t="shared" ca="1" si="1"/>
        <v>#REF!</v>
      </c>
      <c r="C9" s="2908" t="s">
        <v>3003</v>
      </c>
      <c r="D9" s="2910"/>
      <c r="E9" s="2574" t="e">
        <f t="shared" ca="1" si="0"/>
        <v>#REF!</v>
      </c>
    </row>
    <row r="10" spans="1:5" ht="15.75">
      <c r="A10" s="2913"/>
      <c r="B10" s="2909" t="e">
        <f t="shared" ca="1" si="1"/>
        <v>#REF!</v>
      </c>
      <c r="C10" s="2908" t="s">
        <v>3003</v>
      </c>
      <c r="D10" s="2910"/>
      <c r="E10" s="2574" t="e">
        <f t="shared" ca="1" si="0"/>
        <v>#REF!</v>
      </c>
    </row>
    <row r="11" spans="1:5" ht="15.75">
      <c r="A11" s="2913"/>
      <c r="B11" s="2909" t="e">
        <f t="shared" ca="1" si="1"/>
        <v>#REF!</v>
      </c>
      <c r="C11" s="2908" t="s">
        <v>3003</v>
      </c>
      <c r="D11" s="2910"/>
      <c r="E11" s="2574" t="e">
        <f t="shared" ca="1" si="0"/>
        <v>#REF!</v>
      </c>
    </row>
    <row r="12" spans="1:5" ht="15.75">
      <c r="A12" s="2913"/>
      <c r="B12" s="2909" t="e">
        <f t="shared" ca="1" si="1"/>
        <v>#REF!</v>
      </c>
      <c r="C12" s="2908" t="s">
        <v>3003</v>
      </c>
      <c r="D12" s="2910"/>
      <c r="E12" s="2574" t="e">
        <f t="shared" ca="1" si="0"/>
        <v>#REF!</v>
      </c>
    </row>
    <row r="13" spans="1:5" ht="15.75">
      <c r="A13" s="2913"/>
      <c r="B13" s="2909" t="e">
        <f t="shared" ca="1" si="1"/>
        <v>#REF!</v>
      </c>
      <c r="C13" s="2908" t="s">
        <v>3003</v>
      </c>
      <c r="D13" s="2910"/>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5" t="s">
        <v>1150</v>
      </c>
      <c r="C1" s="3285"/>
      <c r="D1" s="3285"/>
      <c r="E1" s="3285"/>
      <c r="F1" s="3285"/>
      <c r="G1" s="3281" t="s">
        <v>1151</v>
      </c>
      <c r="H1" s="3281"/>
      <c r="I1" s="3281"/>
      <c r="J1" s="3281"/>
      <c r="K1" s="3281"/>
      <c r="L1" s="3281"/>
      <c r="N1" s="3281" t="s">
        <v>1152</v>
      </c>
      <c r="O1" s="3281"/>
      <c r="P1" s="3281"/>
      <c r="Q1" s="3281"/>
      <c r="R1" s="1446"/>
      <c r="S1" s="3281" t="s">
        <v>1153</v>
      </c>
      <c r="T1" s="3281"/>
      <c r="U1" s="3281"/>
      <c r="V1" s="3281"/>
      <c r="X1" s="3280" t="s">
        <v>1154</v>
      </c>
      <c r="Y1" s="3281"/>
      <c r="Z1" s="3281"/>
      <c r="AA1" s="3281"/>
      <c r="AB1" s="3281"/>
      <c r="AD1" s="3280" t="s">
        <v>1155</v>
      </c>
      <c r="AE1" s="3281"/>
      <c r="AF1" s="3281"/>
      <c r="AG1" s="3281"/>
      <c r="AH1" s="3281"/>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7" customFormat="1" ht="14.25">
      <c r="A3" s="2936" t="s">
        <v>3043</v>
      </c>
      <c r="B3" s="2928"/>
      <c r="C3" s="2928"/>
      <c r="D3" s="2929"/>
      <c r="E3" s="2929"/>
      <c r="F3" s="2928"/>
      <c r="G3" s="2930"/>
      <c r="H3" s="2931"/>
      <c r="I3" s="2932">
        <f>ROUND(AVERAGE($I4:$I24),2)</f>
        <v>2.19</v>
      </c>
      <c r="J3" s="2932">
        <f>ROUND(AVERAGE($J4:$J24),2)</f>
        <v>1.53</v>
      </c>
      <c r="K3" s="2932">
        <f>ROUND(AVERAGE($K4:$K24),2)</f>
        <v>2.41</v>
      </c>
      <c r="L3" s="2932">
        <f>ROUND(AVERAGE($L4:$L24),2)</f>
        <v>1.42</v>
      </c>
      <c r="N3" s="2930"/>
      <c r="O3" s="2933"/>
      <c r="P3" s="2933"/>
      <c r="Q3" s="2933"/>
      <c r="R3" s="2933"/>
      <c r="S3" s="2930"/>
      <c r="T3" s="2933"/>
      <c r="U3" s="2933"/>
      <c r="V3" s="2933"/>
      <c r="W3" s="2925"/>
      <c r="X3" s="2934">
        <f>ROUND(SUMPRODUCT(PRODUCT(1+N3:N$23)),4)</f>
        <v>1.4956</v>
      </c>
      <c r="Y3" s="2934">
        <f>ROUND(SUMPRODUCT(PRODUCT(1+O3:O$23)),4)</f>
        <v>1.3237000000000001</v>
      </c>
      <c r="Z3" s="2934">
        <f t="shared" ref="Z3:Z21" si="0">Y3</f>
        <v>1.3237000000000001</v>
      </c>
      <c r="AA3" s="2934">
        <f>ROUND(SUMPRODUCT(PRODUCT(1+P3:P$23)),4)</f>
        <v>1.554</v>
      </c>
      <c r="AB3" s="2934">
        <f>ROUND(SUMPRODUCT(PRODUCT(1+Q3:Q$23)),4)</f>
        <v>1.3087</v>
      </c>
      <c r="AD3" s="2935">
        <f>ROUND(AVERAGE(I3:I$24)/100,4)</f>
        <v>2.1899999999999999E-2</v>
      </c>
      <c r="AE3" s="2935">
        <f>ROUND(AVERAGE(J3:J$24)/100,4)</f>
        <v>1.5299999999999999E-2</v>
      </c>
      <c r="AF3" s="2935">
        <f t="shared" ref="AF3:AF22" si="1">AE3</f>
        <v>1.5299999999999999E-2</v>
      </c>
      <c r="AG3" s="2935">
        <f>ROUND(AVERAGE(K3:K$24)/100,4)</f>
        <v>2.41E-2</v>
      </c>
      <c r="AH3" s="2935">
        <f>ROUND(AVERAGE(L3:L$24)/100,4)</f>
        <v>1.4200000000000001E-2</v>
      </c>
    </row>
    <row r="4" spans="1:34" s="1453" customFormat="1" ht="14.25">
      <c r="B4" s="1454"/>
      <c r="C4" s="1454"/>
      <c r="D4" s="1455"/>
      <c r="E4" s="1455"/>
      <c r="F4" s="1454"/>
      <c r="G4" s="1456"/>
      <c r="H4" s="1457"/>
      <c r="I4" s="2921"/>
      <c r="J4" s="2921"/>
      <c r="K4" s="2921"/>
      <c r="L4" s="292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3051</v>
      </c>
      <c r="B5" s="1791">
        <f t="shared" ref="B5" si="2">B6*(1+N5)</f>
        <v>459.95733971036987</v>
      </c>
      <c r="C5" s="1791">
        <f t="shared" ref="C5" si="3">C6*(1+O5)</f>
        <v>341.22221064422405</v>
      </c>
      <c r="D5" s="1791">
        <f t="shared" ref="D5" si="4">C5</f>
        <v>341.22221064422405</v>
      </c>
      <c r="E5" s="1791">
        <f t="shared" ref="E5" si="5">E6*(1+P5)</f>
        <v>657.19161663724799</v>
      </c>
      <c r="F5" s="1791">
        <f t="shared" ref="F5" si="6">F6*(1+Q5)</f>
        <v>300.87803644464805</v>
      </c>
      <c r="G5" s="2939">
        <v>2018</v>
      </c>
      <c r="H5" s="1730">
        <v>4</v>
      </c>
      <c r="I5" s="2922">
        <v>0</v>
      </c>
      <c r="J5" s="2922">
        <v>0</v>
      </c>
      <c r="K5" s="2922">
        <v>0</v>
      </c>
      <c r="L5" s="2922">
        <v>0</v>
      </c>
      <c r="N5" s="1467">
        <f>I5/100</f>
        <v>0</v>
      </c>
      <c r="O5" s="1467">
        <f t="shared" ref="O5" si="7">J5/100</f>
        <v>0</v>
      </c>
      <c r="P5" s="1467">
        <f t="shared" ref="P5" si="8">K5/100</f>
        <v>0</v>
      </c>
      <c r="Q5" s="1467">
        <f t="shared" ref="Q5" si="9">L5/100</f>
        <v>0</v>
      </c>
      <c r="R5" s="1732"/>
      <c r="S5" s="1733"/>
      <c r="T5" s="1732"/>
      <c r="U5" s="1732"/>
      <c r="V5" s="1732"/>
      <c r="W5" s="2926" t="s">
        <v>3044</v>
      </c>
      <c r="X5" s="1726">
        <f>ROUND(SUMPRODUCT(PRODUCT(1+N5:N$23)),4)</f>
        <v>1.4956</v>
      </c>
      <c r="Y5" s="1726">
        <f>ROUND(SUMPRODUCT(PRODUCT(1+O5:O$23)),4)</f>
        <v>1.3237000000000001</v>
      </c>
      <c r="Z5" s="1726">
        <f t="shared" ref="Z5" si="10">Y5</f>
        <v>1.3237000000000001</v>
      </c>
      <c r="AA5" s="1726">
        <f>ROUND(SUMPRODUCT(PRODUCT(1+P5:P$23)),4)</f>
        <v>1.554</v>
      </c>
      <c r="AB5" s="1726">
        <f>ROUND(SUMPRODUCT(PRODUCT(1+Q5:Q$23)),4)</f>
        <v>1.3087</v>
      </c>
      <c r="AD5" s="1468">
        <f>ROUND(AVERAGE(I5:I$24)/100,4)</f>
        <v>2.1899999999999999E-2</v>
      </c>
      <c r="AE5" s="1468">
        <f>ROUND(AVERAGE(J5:J$24)/100,4)</f>
        <v>1.5299999999999999E-2</v>
      </c>
      <c r="AF5" s="1468">
        <f t="shared" ref="AF5" si="11">AE5</f>
        <v>1.5299999999999999E-2</v>
      </c>
      <c r="AG5" s="1468">
        <f>ROUND(AVERAGE(K5:K$24)/100,4)</f>
        <v>2.41E-2</v>
      </c>
      <c r="AH5" s="1468">
        <f>ROUND(AVERAGE(L5:L$24)/100,4)</f>
        <v>1.4200000000000001E-2</v>
      </c>
    </row>
    <row r="6" spans="1:34" s="1466" customFormat="1" ht="13.5" thickBot="1">
      <c r="A6" s="1461" t="s">
        <v>3052</v>
      </c>
      <c r="B6" s="1477">
        <f t="shared" ref="B6" si="12">B7*(1+N6)</f>
        <v>459.95733971036987</v>
      </c>
      <c r="C6" s="1477">
        <f t="shared" ref="C6" si="13">C7*(1+O6)</f>
        <v>341.22221064422405</v>
      </c>
      <c r="D6" s="1477">
        <f t="shared" ref="D6" si="14">C6</f>
        <v>341.22221064422405</v>
      </c>
      <c r="E6" s="1477">
        <f t="shared" ref="E6" si="15">E7*(1+P6)</f>
        <v>657.19161663724799</v>
      </c>
      <c r="F6" s="1477">
        <f t="shared" ref="F6" si="16">F7*(1+Q6)</f>
        <v>300.87803644464805</v>
      </c>
      <c r="G6" s="2937"/>
      <c r="H6" s="1464">
        <v>3</v>
      </c>
      <c r="I6" s="1464">
        <v>1.51</v>
      </c>
      <c r="J6" s="1464">
        <v>1.41</v>
      </c>
      <c r="K6" s="1464">
        <v>1.52</v>
      </c>
      <c r="L6" s="1478">
        <v>1.74</v>
      </c>
      <c r="M6" s="1471"/>
      <c r="N6" s="1472">
        <f>I6/100</f>
        <v>1.5100000000000001E-2</v>
      </c>
      <c r="O6" s="1473">
        <f t="shared" ref="O6" si="17">J6/100</f>
        <v>1.41E-2</v>
      </c>
      <c r="P6" s="1473">
        <f t="shared" ref="P6" si="18">K6/100</f>
        <v>1.52E-2</v>
      </c>
      <c r="Q6" s="1473">
        <f t="shared" ref="Q6" si="19">L6/100</f>
        <v>1.7399999999999999E-2</v>
      </c>
      <c r="R6" s="1474"/>
      <c r="S6" s="1472"/>
      <c r="T6" s="1473"/>
      <c r="U6" s="1473"/>
      <c r="V6" s="1473"/>
      <c r="W6" s="1790"/>
      <c r="X6" s="1788">
        <f>ROUND(SUMPRODUCT(PRODUCT(1+N6:N$23)),4)</f>
        <v>1.4956</v>
      </c>
      <c r="Y6" s="1788">
        <f>ROUND(SUMPRODUCT(PRODUCT(1+O6:O$23)),4)</f>
        <v>1.3237000000000001</v>
      </c>
      <c r="Z6" s="1788">
        <f t="shared" ref="Z6" si="20">Y6</f>
        <v>1.3237000000000001</v>
      </c>
      <c r="AA6" s="1788">
        <f>ROUND(SUMPRODUCT(PRODUCT(1+P6:P$23)),4)</f>
        <v>1.554</v>
      </c>
      <c r="AB6" s="1788">
        <f>ROUND(SUMPRODUCT(PRODUCT(1+Q6:Q$23)),4)</f>
        <v>1.3087</v>
      </c>
      <c r="AC6" s="1790"/>
      <c r="AD6" s="1789">
        <f>ROUND(AVERAGE(I6:I$24)/100,4)</f>
        <v>2.3099999999999999E-2</v>
      </c>
      <c r="AE6" s="1789">
        <f>ROUND(AVERAGE(J6:J$24)/100,4)</f>
        <v>1.61E-2</v>
      </c>
      <c r="AF6" s="1789">
        <f t="shared" ref="AF6" si="21">AE6</f>
        <v>1.61E-2</v>
      </c>
      <c r="AG6" s="1789">
        <f>ROUND(AVERAGE(K6:K$24)/100,4)</f>
        <v>2.53E-2</v>
      </c>
      <c r="AH6" s="1789">
        <f>ROUND(AVERAGE(L6:L$24)/100,4)</f>
        <v>1.4999999999999999E-2</v>
      </c>
    </row>
    <row r="7" spans="1:34" s="1466" customFormat="1" ht="13.5" thickBot="1">
      <c r="A7" s="1461" t="s">
        <v>3050</v>
      </c>
      <c r="B7" s="1477">
        <f t="shared" ref="B7" si="22">B8*(1+N7)</f>
        <v>453.11529869999993</v>
      </c>
      <c r="C7" s="1477">
        <f t="shared" ref="C7" si="23">C8*(1+O7)</f>
        <v>336.47787264000004</v>
      </c>
      <c r="D7" s="1477">
        <f t="shared" ref="D7" si="24">C7</f>
        <v>336.47787264000004</v>
      </c>
      <c r="E7" s="1477">
        <f t="shared" ref="E7" si="25">E8*(1+P7)</f>
        <v>647.35186823999993</v>
      </c>
      <c r="F7" s="1477">
        <f t="shared" ref="F7" si="26">F8*(1+Q7)</f>
        <v>295.73229452000004</v>
      </c>
      <c r="G7" s="2937"/>
      <c r="H7" s="1464">
        <v>2</v>
      </c>
      <c r="I7" s="1464">
        <v>1.49</v>
      </c>
      <c r="J7" s="1464">
        <v>0.96</v>
      </c>
      <c r="K7" s="1464">
        <v>1.58</v>
      </c>
      <c r="L7" s="1478">
        <v>2.44</v>
      </c>
      <c r="M7" s="1471"/>
      <c r="N7" s="1472">
        <f t="shared" ref="N7" si="27">I7/100</f>
        <v>1.49E-2</v>
      </c>
      <c r="O7" s="1473">
        <f t="shared" ref="O7" si="28">J7/100</f>
        <v>9.5999999999999992E-3</v>
      </c>
      <c r="P7" s="1473">
        <f t="shared" ref="P7" si="29">K7/100</f>
        <v>1.5800000000000002E-2</v>
      </c>
      <c r="Q7" s="1473">
        <f t="shared" ref="Q7" si="30">L7/100</f>
        <v>2.4399999999999998E-2</v>
      </c>
      <c r="R7" s="1474"/>
      <c r="S7" s="1472"/>
      <c r="T7" s="1473"/>
      <c r="U7" s="1473"/>
      <c r="V7" s="1473"/>
      <c r="W7" s="1790"/>
      <c r="X7" s="1788">
        <f>ROUND(SUMPRODUCT(PRODUCT(1+N7:N$23)),4)</f>
        <v>1.4733000000000001</v>
      </c>
      <c r="Y7" s="1788">
        <f>ROUND(SUMPRODUCT(PRODUCT(1+O7:O$23)),4)</f>
        <v>1.3052999999999999</v>
      </c>
      <c r="Z7" s="1788">
        <f t="shared" ref="Z7" si="31">Y7</f>
        <v>1.3052999999999999</v>
      </c>
      <c r="AA7" s="1788">
        <f>ROUND(SUMPRODUCT(PRODUCT(1+P7:P$23)),4)</f>
        <v>1.5306999999999999</v>
      </c>
      <c r="AB7" s="1788">
        <f>ROUND(SUMPRODUCT(PRODUCT(1+Q7:Q$23)),4)</f>
        <v>1.2863</v>
      </c>
      <c r="AC7" s="1790"/>
      <c r="AD7" s="1789">
        <f>ROUND(AVERAGE(I7:I$24)/100,4)</f>
        <v>2.35E-2</v>
      </c>
      <c r="AE7" s="1789">
        <f>ROUND(AVERAGE(J7:J$24)/100,4)</f>
        <v>1.6199999999999999E-2</v>
      </c>
      <c r="AF7" s="1789">
        <f t="shared" ref="AF7" si="32">AE7</f>
        <v>1.6199999999999999E-2</v>
      </c>
      <c r="AG7" s="1789">
        <f>ROUND(AVERAGE(K7:K$24)/100,4)</f>
        <v>2.5899999999999999E-2</v>
      </c>
      <c r="AH7" s="1789">
        <f>ROUND(AVERAGE(L7:L$24)/100,4)</f>
        <v>1.49E-2</v>
      </c>
    </row>
    <row r="8" spans="1:34" s="1466" customFormat="1" ht="13.5" thickBot="1">
      <c r="A8" s="1461" t="s">
        <v>3042</v>
      </c>
      <c r="B8" s="1477">
        <f t="shared" ref="B8" si="33">B9*(1+N8)</f>
        <v>446.46299999999997</v>
      </c>
      <c r="C8" s="1477">
        <f t="shared" ref="C8" si="34">C9*(1+O8)</f>
        <v>333.27840000000003</v>
      </c>
      <c r="D8" s="1477">
        <f t="shared" ref="D8" si="35">C8</f>
        <v>333.27840000000003</v>
      </c>
      <c r="E8" s="1477">
        <f t="shared" ref="E8" si="36">E9*(1+P8)</f>
        <v>637.28279999999995</v>
      </c>
      <c r="F8" s="1477">
        <f t="shared" ref="F8" si="37">F9*(1+Q8)</f>
        <v>288.68830000000003</v>
      </c>
      <c r="G8" s="2937"/>
      <c r="H8" s="1464">
        <v>1</v>
      </c>
      <c r="I8" s="1464">
        <v>1.7</v>
      </c>
      <c r="J8" s="1464">
        <v>1.92</v>
      </c>
      <c r="K8" s="1464">
        <v>1.64</v>
      </c>
      <c r="L8" s="1478">
        <v>2.0099999999999998</v>
      </c>
      <c r="M8" s="1471"/>
      <c r="N8" s="1472">
        <f t="shared" ref="N8:N13" si="38">I8/100</f>
        <v>1.7000000000000001E-2</v>
      </c>
      <c r="O8" s="1473">
        <f t="shared" ref="O8" si="39">J8/100</f>
        <v>1.9199999999999998E-2</v>
      </c>
      <c r="P8" s="1473">
        <f t="shared" ref="P8" si="40">K8/100</f>
        <v>1.6399999999999998E-2</v>
      </c>
      <c r="Q8" s="1473">
        <f t="shared" ref="Q8" si="41">L8/100</f>
        <v>2.0099999999999996E-2</v>
      </c>
      <c r="R8" s="1474"/>
      <c r="S8" s="1472">
        <f>B8/B9-1</f>
        <v>1.6999999999999904E-2</v>
      </c>
      <c r="T8" s="1473">
        <f t="shared" ref="T8" si="42">C8/C9-1</f>
        <v>1.9200000000000106E-2</v>
      </c>
      <c r="U8" s="1473">
        <f t="shared" ref="U8" si="43">D8/D9-1</f>
        <v>1.9200000000000106E-2</v>
      </c>
      <c r="V8" s="1473">
        <f t="shared" ref="V8" si="44">E8/E9-1</f>
        <v>1.639999999999997E-2</v>
      </c>
      <c r="W8" s="1790"/>
      <c r="X8" s="1788">
        <f>ROUND(SUMPRODUCT(PRODUCT(1+N8:N$23)),4)</f>
        <v>1.4517</v>
      </c>
      <c r="Y8" s="1788">
        <f>ROUND(SUMPRODUCT(PRODUCT(1+O8:O$23)),4)</f>
        <v>1.2928999999999999</v>
      </c>
      <c r="Z8" s="1788">
        <f t="shared" ref="Z8" si="45">Y8</f>
        <v>1.2928999999999999</v>
      </c>
      <c r="AA8" s="1788">
        <f>ROUND(SUMPRODUCT(PRODUCT(1+P8:P$23)),4)</f>
        <v>1.5068999999999999</v>
      </c>
      <c r="AB8" s="1788">
        <f>ROUND(SUMPRODUCT(PRODUCT(1+Q8:Q$23)),4)</f>
        <v>1.2557</v>
      </c>
      <c r="AC8" s="1790"/>
      <c r="AD8" s="1789">
        <f>ROUND(AVERAGE(I8:I$24)/100,4)</f>
        <v>2.4E-2</v>
      </c>
      <c r="AE8" s="1789">
        <f>ROUND(AVERAGE(J8:J$24)/100,4)</f>
        <v>1.66E-2</v>
      </c>
      <c r="AF8" s="1789">
        <f t="shared" ref="AF8" si="46">AE8</f>
        <v>1.66E-2</v>
      </c>
      <c r="AG8" s="1789">
        <f>ROUND(AVERAGE(K8:K$24)/100,4)</f>
        <v>2.6499999999999999E-2</v>
      </c>
      <c r="AH8" s="1789">
        <f>ROUND(AVERAGE(L8:L$24)/100,4)</f>
        <v>1.43E-2</v>
      </c>
    </row>
    <row r="9" spans="1:34">
      <c r="A9" s="1461" t="s">
        <v>3039</v>
      </c>
      <c r="B9" s="1469">
        <v>439</v>
      </c>
      <c r="C9" s="1469">
        <v>327</v>
      </c>
      <c r="D9" s="1469">
        <f>C9</f>
        <v>327</v>
      </c>
      <c r="E9" s="1469">
        <v>627</v>
      </c>
      <c r="F9" s="1470">
        <v>283</v>
      </c>
      <c r="G9" s="2924">
        <v>2017</v>
      </c>
      <c r="H9" s="1462">
        <v>4</v>
      </c>
      <c r="I9" s="1462">
        <v>1.71</v>
      </c>
      <c r="J9" s="1462">
        <v>1.78</v>
      </c>
      <c r="K9" s="1462">
        <v>1.71</v>
      </c>
      <c r="L9" s="1463">
        <v>1.43</v>
      </c>
      <c r="N9" s="1472">
        <f t="shared" si="38"/>
        <v>1.7100000000000001E-2</v>
      </c>
      <c r="O9" s="1473">
        <f t="shared" ref="O9" si="47">J9/100</f>
        <v>1.78E-2</v>
      </c>
      <c r="P9" s="1473">
        <f t="shared" ref="P9" si="48">K9/100</f>
        <v>1.7100000000000001E-2</v>
      </c>
      <c r="Q9" s="1473">
        <f t="shared" ref="Q9" si="49">L9/100</f>
        <v>1.43E-2</v>
      </c>
      <c r="R9" s="1474"/>
      <c r="S9" s="1475"/>
      <c r="T9" s="1476"/>
      <c r="U9" s="1476"/>
      <c r="V9" s="1476"/>
      <c r="X9" s="1459">
        <f>ROUND(SUMPRODUCT(PRODUCT(1+N9:N$23)),4)</f>
        <v>1.4274</v>
      </c>
      <c r="Y9" s="1459">
        <f>ROUND(SUMPRODUCT(PRODUCT(1+O9:O$23)),4)</f>
        <v>1.2685</v>
      </c>
      <c r="Z9" s="1459">
        <f t="shared" si="0"/>
        <v>1.2685</v>
      </c>
      <c r="AA9" s="1459">
        <f>ROUND(SUMPRODUCT(PRODUCT(1+P9:P$23)),4)</f>
        <v>1.4825999999999999</v>
      </c>
      <c r="AB9" s="1459">
        <f>ROUND(SUMPRODUCT(PRODUCT(1+Q9:Q$23)),4)</f>
        <v>1.2309000000000001</v>
      </c>
      <c r="AD9" s="1460">
        <f>ROUND(AVERAGE(I9:I$24)/100,4)</f>
        <v>2.4500000000000001E-2</v>
      </c>
      <c r="AE9" s="1460">
        <f>ROUND(AVERAGE(J9:J$24)/100,4)</f>
        <v>1.6500000000000001E-2</v>
      </c>
      <c r="AF9" s="1460">
        <f t="shared" si="1"/>
        <v>1.6500000000000001E-2</v>
      </c>
      <c r="AG9" s="1460">
        <f>ROUND(AVERAGE(K9:K$24)/100,4)</f>
        <v>2.7099999999999999E-2</v>
      </c>
      <c r="AH9" s="1460">
        <f>ROUND(AVERAGE(L9:L$24)/100,4)</f>
        <v>1.3899999999999999E-2</v>
      </c>
    </row>
    <row r="10" spans="1:34" s="1466" customFormat="1" ht="13.5" thickBot="1">
      <c r="A10" s="1461" t="s">
        <v>3040</v>
      </c>
      <c r="B10" s="1477">
        <f t="shared" ref="B10:B11" si="50">B11*(1+N10)</f>
        <v>431.80730811680002</v>
      </c>
      <c r="C10" s="1477">
        <f t="shared" ref="C10:C11" si="51">C11*(1+O10)</f>
        <v>320.57880516480003</v>
      </c>
      <c r="D10" s="1477">
        <f t="shared" ref="D10:D11" si="52">C10</f>
        <v>320.57880516480003</v>
      </c>
      <c r="E10" s="1477">
        <f t="shared" ref="E10:E11" si="53">E11*(1+P10)</f>
        <v>615.96110553196797</v>
      </c>
      <c r="F10" s="1477">
        <f t="shared" ref="F10:F11" si="54">F11*(1+Q10)</f>
        <v>279.46777300108801</v>
      </c>
      <c r="G10" s="2920"/>
      <c r="H10" s="1464">
        <v>3</v>
      </c>
      <c r="I10" s="1464">
        <v>2.98</v>
      </c>
      <c r="J10" s="1464">
        <v>2.11</v>
      </c>
      <c r="K10" s="1464">
        <v>3.24</v>
      </c>
      <c r="L10" s="1478">
        <v>1.72</v>
      </c>
      <c r="M10" s="1471"/>
      <c r="N10" s="1472">
        <f t="shared" si="38"/>
        <v>2.98E-2</v>
      </c>
      <c r="O10" s="1473">
        <f t="shared" ref="O10" si="55">J10/100</f>
        <v>2.1099999999999997E-2</v>
      </c>
      <c r="P10" s="1473">
        <f t="shared" ref="P10" si="56">K10/100</f>
        <v>3.2400000000000005E-2</v>
      </c>
      <c r="Q10" s="1473">
        <f t="shared" ref="Q10" si="57">L10/100</f>
        <v>1.72E-2</v>
      </c>
      <c r="R10" s="1474"/>
      <c r="S10" s="1472"/>
      <c r="T10" s="1473"/>
      <c r="U10" s="1473"/>
      <c r="V10" s="1473"/>
      <c r="W10" s="1790"/>
      <c r="X10" s="1788">
        <f>ROUND(SUMPRODUCT(PRODUCT(1+N10:N$23)),4)</f>
        <v>1.4034</v>
      </c>
      <c r="Y10" s="1788">
        <f>ROUND(SUMPRODUCT(PRODUCT(1+O10:O$23)),4)</f>
        <v>1.2463</v>
      </c>
      <c r="Z10" s="1788">
        <f t="shared" si="0"/>
        <v>1.2463</v>
      </c>
      <c r="AA10" s="1788">
        <f>ROUND(SUMPRODUCT(PRODUCT(1+P10:P$23)),4)</f>
        <v>1.4577</v>
      </c>
      <c r="AB10" s="1788">
        <f>ROUND(SUMPRODUCT(PRODUCT(1+Q10:Q$23)),4)</f>
        <v>1.2136</v>
      </c>
      <c r="AC10" s="1790"/>
      <c r="AD10" s="1789">
        <f>ROUND(AVERAGE(I10:I$24)/100,4)</f>
        <v>2.4899999999999999E-2</v>
      </c>
      <c r="AE10" s="1789">
        <f>ROUND(AVERAGE(J10:J$24)/100,4)</f>
        <v>1.6400000000000001E-2</v>
      </c>
      <c r="AF10" s="1789">
        <f t="shared" si="1"/>
        <v>1.6400000000000001E-2</v>
      </c>
      <c r="AG10" s="1789">
        <f>ROUND(AVERAGE(K10:K$24)/100,4)</f>
        <v>2.7799999999999998E-2</v>
      </c>
      <c r="AH10" s="1789">
        <f>ROUND(AVERAGE(L10:L$24)/100,4)</f>
        <v>1.3899999999999999E-2</v>
      </c>
    </row>
    <row r="11" spans="1:34" s="1731" customFormat="1">
      <c r="A11" s="1461" t="s">
        <v>1386</v>
      </c>
      <c r="B11" s="1477">
        <f t="shared" si="50"/>
        <v>419.31181600000002</v>
      </c>
      <c r="C11" s="1477">
        <f t="shared" si="51"/>
        <v>313.95436800000004</v>
      </c>
      <c r="D11" s="1477">
        <f t="shared" si="52"/>
        <v>313.95436800000004</v>
      </c>
      <c r="E11" s="1477">
        <f t="shared" si="53"/>
        <v>596.63028431999999</v>
      </c>
      <c r="F11" s="1477">
        <f t="shared" si="54"/>
        <v>274.74220703999998</v>
      </c>
      <c r="G11" s="2919"/>
      <c r="H11" s="1465">
        <v>2</v>
      </c>
      <c r="I11" s="1465">
        <v>3.4</v>
      </c>
      <c r="J11" s="1465">
        <v>2</v>
      </c>
      <c r="K11" s="1465">
        <v>3.82</v>
      </c>
      <c r="L11" s="1479">
        <v>1.68</v>
      </c>
      <c r="M11" s="1471"/>
      <c r="N11" s="1472">
        <f t="shared" si="38"/>
        <v>3.4000000000000002E-2</v>
      </c>
      <c r="O11" s="1473">
        <f t="shared" ref="O11" si="58">J11/100</f>
        <v>0.02</v>
      </c>
      <c r="P11" s="1473">
        <f t="shared" ref="P11" si="59">K11/100</f>
        <v>3.8199999999999998E-2</v>
      </c>
      <c r="Q11" s="1473">
        <f t="shared" ref="Q11" si="60">L11/100</f>
        <v>1.6799999999999999E-2</v>
      </c>
      <c r="R11" s="1474"/>
      <c r="S11" s="1475"/>
      <c r="T11" s="1476"/>
      <c r="U11" s="1476"/>
      <c r="V11" s="1476"/>
      <c r="W11" s="1453"/>
      <c r="X11" s="1788">
        <f>ROUND(SUMPRODUCT(PRODUCT(1+N11:N$23)),4)</f>
        <v>1.3628</v>
      </c>
      <c r="Y11" s="1788">
        <f>ROUND(SUMPRODUCT(PRODUCT(1+O11:O$23)),4)</f>
        <v>1.2205999999999999</v>
      </c>
      <c r="Z11" s="1788">
        <f t="shared" si="0"/>
        <v>1.2205999999999999</v>
      </c>
      <c r="AA11" s="1788">
        <f>ROUND(SUMPRODUCT(PRODUCT(1+P11:P$23)),4)</f>
        <v>1.4118999999999999</v>
      </c>
      <c r="AB11" s="1788">
        <f>ROUND(SUMPRODUCT(PRODUCT(1+Q11:Q$23)),4)</f>
        <v>1.1930000000000001</v>
      </c>
      <c r="AC11" s="1453"/>
      <c r="AD11" s="1789">
        <f>ROUND(AVERAGE(I11:I$24)/100,4)</f>
        <v>2.46E-2</v>
      </c>
      <c r="AE11" s="1789">
        <f>ROUND(AVERAGE(J11:J$24)/100,4)</f>
        <v>1.6E-2</v>
      </c>
      <c r="AF11" s="1789">
        <f t="shared" si="1"/>
        <v>1.6E-2</v>
      </c>
      <c r="AG11" s="1789">
        <f>ROUND(AVERAGE(K11:K$24)/100,4)</f>
        <v>2.75E-2</v>
      </c>
      <c r="AH11" s="1789">
        <f>ROUND(AVERAGE(L11:L$24)/100,4)</f>
        <v>1.37E-2</v>
      </c>
    </row>
    <row r="12" spans="1:34" s="1466" customFormat="1" ht="13.5" thickBot="1">
      <c r="A12" s="1461" t="s">
        <v>1161</v>
      </c>
      <c r="B12" s="1477">
        <f>B13*(1+N12)</f>
        <v>405.524</v>
      </c>
      <c r="C12" s="1477">
        <f>C13*(1+O12)</f>
        <v>307.79840000000002</v>
      </c>
      <c r="D12" s="1477">
        <f>C12</f>
        <v>307.79840000000002</v>
      </c>
      <c r="E12" s="1477">
        <f>E13*(1+P12)</f>
        <v>574.67759999999998</v>
      </c>
      <c r="F12" s="1477">
        <f>F13*(1+Q12)</f>
        <v>270.20280000000002</v>
      </c>
      <c r="G12" s="2920"/>
      <c r="H12" s="1464">
        <v>1</v>
      </c>
      <c r="I12" s="1464">
        <v>3.45</v>
      </c>
      <c r="J12" s="1464">
        <v>1.92</v>
      </c>
      <c r="K12" s="1464">
        <v>3.92</v>
      </c>
      <c r="L12" s="1478">
        <v>1.58</v>
      </c>
      <c r="M12" s="1471"/>
      <c r="N12" s="1472">
        <f t="shared" si="38"/>
        <v>3.4500000000000003E-2</v>
      </c>
      <c r="O12" s="1473">
        <f t="shared" ref="O12:Q27" si="61">J12/100</f>
        <v>1.9199999999999998E-2</v>
      </c>
      <c r="P12" s="1473">
        <f t="shared" si="61"/>
        <v>3.9199999999999999E-2</v>
      </c>
      <c r="Q12" s="1473">
        <f t="shared" si="61"/>
        <v>1.5800000000000002E-2</v>
      </c>
      <c r="R12" s="1474"/>
      <c r="S12" s="1472">
        <f>B12/B13-1</f>
        <v>3.4499999999999975E-2</v>
      </c>
      <c r="T12" s="1473">
        <f t="shared" ref="T12:V12" si="62">C12/C13-1</f>
        <v>1.9200000000000106E-2</v>
      </c>
      <c r="U12" s="1473">
        <f t="shared" si="62"/>
        <v>1.9200000000000106E-2</v>
      </c>
      <c r="V12" s="1473">
        <f t="shared" si="62"/>
        <v>3.9199999999999902E-2</v>
      </c>
      <c r="W12" s="1790"/>
      <c r="X12" s="1788">
        <f>ROUND(SUMPRODUCT(PRODUCT(1+N12:N$23)),4)</f>
        <v>1.3180000000000001</v>
      </c>
      <c r="Y12" s="1788">
        <f>ROUND(SUMPRODUCT(PRODUCT(1+O12:O$23)),4)</f>
        <v>1.1966000000000001</v>
      </c>
      <c r="Z12" s="1788">
        <f t="shared" si="0"/>
        <v>1.1966000000000001</v>
      </c>
      <c r="AA12" s="1788">
        <f>ROUND(SUMPRODUCT(PRODUCT(1+P12:P$23)),4)</f>
        <v>1.36</v>
      </c>
      <c r="AB12" s="1788">
        <f>ROUND(SUMPRODUCT(PRODUCT(1+Q12:Q$23)),4)</f>
        <v>1.1733</v>
      </c>
      <c r="AC12" s="1790"/>
      <c r="AD12" s="1789">
        <f>ROUND(AVERAGE(I12:I$24)/100,4)</f>
        <v>2.3900000000000001E-2</v>
      </c>
      <c r="AE12" s="1789">
        <f>ROUND(AVERAGE(J12:J$24)/100,4)</f>
        <v>1.5699999999999999E-2</v>
      </c>
      <c r="AF12" s="1789">
        <f t="shared" si="1"/>
        <v>1.5699999999999999E-2</v>
      </c>
      <c r="AG12" s="1789">
        <f>ROUND(AVERAGE(K12:K$24)/100,4)</f>
        <v>2.6599999999999999E-2</v>
      </c>
      <c r="AH12" s="1789">
        <f>ROUND(AVERAGE(L12:L$24)/100,4)</f>
        <v>1.34E-2</v>
      </c>
    </row>
    <row r="13" spans="1:34">
      <c r="A13" s="1461" t="s">
        <v>154</v>
      </c>
      <c r="B13" s="1469">
        <v>392</v>
      </c>
      <c r="C13" s="1469">
        <v>302</v>
      </c>
      <c r="D13" s="1469">
        <f>C13</f>
        <v>302</v>
      </c>
      <c r="E13" s="1469">
        <v>553</v>
      </c>
      <c r="F13" s="1470">
        <v>266</v>
      </c>
      <c r="G13" s="3286">
        <v>2016</v>
      </c>
      <c r="H13" s="1462">
        <v>4</v>
      </c>
      <c r="I13" s="1462">
        <v>4.5599999999999996</v>
      </c>
      <c r="J13" s="1462">
        <v>2.15</v>
      </c>
      <c r="K13" s="1462">
        <v>5.32</v>
      </c>
      <c r="L13" s="1463">
        <v>1.57</v>
      </c>
      <c r="N13" s="1472">
        <f t="shared" si="38"/>
        <v>4.5599999999999995E-2</v>
      </c>
      <c r="O13" s="1473">
        <f t="shared" si="61"/>
        <v>2.1499999999999998E-2</v>
      </c>
      <c r="P13" s="1473">
        <f t="shared" si="61"/>
        <v>5.3200000000000004E-2</v>
      </c>
      <c r="Q13" s="1473">
        <f t="shared" si="61"/>
        <v>1.5700000000000002E-2</v>
      </c>
      <c r="R13" s="1474"/>
      <c r="S13" s="1475"/>
      <c r="T13" s="1476"/>
      <c r="U13" s="1476"/>
      <c r="V13" s="1476"/>
      <c r="X13" s="1459">
        <f>ROUND(SUMPRODUCT(PRODUCT(1+N13:N$23)),4)</f>
        <v>1.274</v>
      </c>
      <c r="Y13" s="1459">
        <f>ROUND(SUMPRODUCT(PRODUCT(1+O13:O$23)),4)</f>
        <v>1.1740999999999999</v>
      </c>
      <c r="Z13" s="1459">
        <f t="shared" si="0"/>
        <v>1.1740999999999999</v>
      </c>
      <c r="AA13" s="1459">
        <f>ROUND(SUMPRODUCT(PRODUCT(1+P13:P$23)),4)</f>
        <v>1.3087</v>
      </c>
      <c r="AB13" s="1459">
        <f>ROUND(SUMPRODUCT(PRODUCT(1+Q13:Q$23)),4)</f>
        <v>1.1551</v>
      </c>
      <c r="AD13" s="1460">
        <f>ROUND(AVERAGE(I13:I$24)/100,4)</f>
        <v>2.3E-2</v>
      </c>
      <c r="AE13" s="1460">
        <f>ROUND(AVERAGE(J13:J$24)/100,4)</f>
        <v>1.55E-2</v>
      </c>
      <c r="AF13" s="1460">
        <f t="shared" si="1"/>
        <v>1.55E-2</v>
      </c>
      <c r="AG13" s="1460">
        <f>ROUND(AVERAGE(K13:K$24)/100,4)</f>
        <v>2.5600000000000001E-2</v>
      </c>
      <c r="AH13" s="1460">
        <f>ROUND(AVERAGE(L13:L$24)/100,4)</f>
        <v>1.32E-2</v>
      </c>
    </row>
    <row r="14" spans="1:34">
      <c r="A14" s="1461" t="s">
        <v>153</v>
      </c>
      <c r="B14" s="1477">
        <f t="shared" ref="B14:C16" si="63">B13/(1+N13)</f>
        <v>374.90436113236416</v>
      </c>
      <c r="C14" s="1477">
        <f t="shared" si="63"/>
        <v>295.64366128242779</v>
      </c>
      <c r="D14" s="1477">
        <f t="shared" ref="D14:D73" si="64">C14</f>
        <v>295.64366128242779</v>
      </c>
      <c r="E14" s="1477">
        <f t="shared" ref="E14:F16" si="65">E13/(1+P13)</f>
        <v>525.06646410938095</v>
      </c>
      <c r="F14" s="1477">
        <f t="shared" si="65"/>
        <v>261.88835286009646</v>
      </c>
      <c r="G14" s="3283"/>
      <c r="H14" s="1464">
        <v>3</v>
      </c>
      <c r="I14" s="1464">
        <v>4.12</v>
      </c>
      <c r="J14" s="1464">
        <v>2</v>
      </c>
      <c r="K14" s="1464">
        <v>4.79</v>
      </c>
      <c r="L14" s="1478">
        <v>1.97</v>
      </c>
      <c r="N14" s="1472">
        <f t="shared" ref="N14:Q48" si="66">I14/100</f>
        <v>4.1200000000000001E-2</v>
      </c>
      <c r="O14" s="1473">
        <f t="shared" si="61"/>
        <v>0.02</v>
      </c>
      <c r="P14" s="1473">
        <f t="shared" si="61"/>
        <v>4.7899999999999998E-2</v>
      </c>
      <c r="Q14" s="1473">
        <f t="shared" si="61"/>
        <v>1.9699999999999999E-2</v>
      </c>
      <c r="R14" s="1474"/>
      <c r="S14" s="1472"/>
      <c r="T14" s="1473"/>
      <c r="U14" s="1473"/>
      <c r="V14" s="1473"/>
      <c r="X14" s="1459">
        <f>ROUND(SUMPRODUCT(PRODUCT(1+N14:N$23)),4)</f>
        <v>1.2184999999999999</v>
      </c>
      <c r="Y14" s="1459">
        <f>ROUND(SUMPRODUCT(PRODUCT(1+O14:O$23)),4)</f>
        <v>1.1494</v>
      </c>
      <c r="Z14" s="1459">
        <f t="shared" si="0"/>
        <v>1.1494</v>
      </c>
      <c r="AA14" s="1459">
        <f>ROUND(SUMPRODUCT(PRODUCT(1+P14:P$23)),4)</f>
        <v>1.2425999999999999</v>
      </c>
      <c r="AB14" s="1459">
        <f>ROUND(SUMPRODUCT(PRODUCT(1+Q14:Q$23)),4)</f>
        <v>1.1372</v>
      </c>
      <c r="AD14" s="1460">
        <f>ROUND(AVERAGE(I14:I$24)/100,4)</f>
        <v>2.0899999999999998E-2</v>
      </c>
      <c r="AE14" s="1460">
        <f>ROUND(AVERAGE(J14:J$24)/100,4)</f>
        <v>1.49E-2</v>
      </c>
      <c r="AF14" s="1460">
        <f t="shared" si="1"/>
        <v>1.49E-2</v>
      </c>
      <c r="AG14" s="1460">
        <f>ROUND(AVERAGE(K14:K$24)/100,4)</f>
        <v>2.3099999999999999E-2</v>
      </c>
      <c r="AH14" s="1460">
        <f>ROUND(AVERAGE(L14:L$24)/100,4)</f>
        <v>1.2999999999999999E-2</v>
      </c>
    </row>
    <row r="15" spans="1:34">
      <c r="A15" s="1461" t="s">
        <v>143</v>
      </c>
      <c r="B15" s="1477">
        <f t="shared" si="63"/>
        <v>360.06949782209392</v>
      </c>
      <c r="C15" s="1477">
        <f t="shared" si="63"/>
        <v>289.84672674747821</v>
      </c>
      <c r="D15" s="1477">
        <f t="shared" si="64"/>
        <v>289.84672674747821</v>
      </c>
      <c r="E15" s="1477">
        <f t="shared" si="65"/>
        <v>501.06543001181495</v>
      </c>
      <c r="F15" s="1477">
        <f t="shared" si="65"/>
        <v>256.82882500744967</v>
      </c>
      <c r="G15" s="3283"/>
      <c r="H15" s="1465">
        <v>2</v>
      </c>
      <c r="I15" s="1465">
        <v>3.85</v>
      </c>
      <c r="J15" s="1465">
        <v>1.95</v>
      </c>
      <c r="K15" s="1465">
        <v>4.4800000000000004</v>
      </c>
      <c r="L15" s="1479">
        <v>1.41</v>
      </c>
      <c r="N15" s="1472">
        <f t="shared" si="66"/>
        <v>3.85E-2</v>
      </c>
      <c r="O15" s="1473">
        <f t="shared" si="61"/>
        <v>1.95E-2</v>
      </c>
      <c r="P15" s="1473">
        <f t="shared" si="61"/>
        <v>4.4800000000000006E-2</v>
      </c>
      <c r="Q15" s="1473">
        <f t="shared" si="61"/>
        <v>1.41E-2</v>
      </c>
      <c r="R15" s="1474"/>
      <c r="S15" s="1472"/>
      <c r="T15" s="1473"/>
      <c r="U15" s="1473"/>
      <c r="V15" s="1473"/>
      <c r="X15" s="1459">
        <f>ROUND(SUMPRODUCT(PRODUCT(1+N15:N$23)),4)</f>
        <v>1.1702999999999999</v>
      </c>
      <c r="Y15" s="1459">
        <f>ROUND(SUMPRODUCT(PRODUCT(1+O15:O$23)),4)</f>
        <v>1.1269</v>
      </c>
      <c r="Z15" s="1459">
        <f t="shared" si="0"/>
        <v>1.1269</v>
      </c>
      <c r="AA15" s="1459">
        <f>ROUND(SUMPRODUCT(PRODUCT(1+P15:P$23)),4)</f>
        <v>1.1858</v>
      </c>
      <c r="AB15" s="1459">
        <f>ROUND(SUMPRODUCT(PRODUCT(1+Q15:Q$23)),4)</f>
        <v>1.1152</v>
      </c>
      <c r="AD15" s="1460">
        <f>ROUND(AVERAGE(I15:I$24)/100,4)</f>
        <v>1.89E-2</v>
      </c>
      <c r="AE15" s="1460">
        <f>ROUND(AVERAGE(J15:J$24)/100,4)</f>
        <v>1.44E-2</v>
      </c>
      <c r="AF15" s="1460">
        <f t="shared" si="1"/>
        <v>1.44E-2</v>
      </c>
      <c r="AG15" s="1460">
        <f>ROUND(AVERAGE(K15:K$24)/100,4)</f>
        <v>2.06E-2</v>
      </c>
      <c r="AH15" s="1460">
        <f>ROUND(AVERAGE(L15:L$24)/100,4)</f>
        <v>1.23E-2</v>
      </c>
    </row>
    <row r="16" spans="1:34" ht="13.5" thickBot="1">
      <c r="A16" s="1461" t="s">
        <v>152</v>
      </c>
      <c r="B16" s="1477">
        <f t="shared" si="63"/>
        <v>346.720748986128</v>
      </c>
      <c r="C16" s="1477">
        <f t="shared" si="63"/>
        <v>284.30282172386285</v>
      </c>
      <c r="D16" s="1477">
        <f t="shared" si="64"/>
        <v>284.30282172386285</v>
      </c>
      <c r="E16" s="1477">
        <f t="shared" si="65"/>
        <v>479.58023546306947</v>
      </c>
      <c r="F16" s="1477">
        <f t="shared" si="65"/>
        <v>253.25788877571213</v>
      </c>
      <c r="G16" s="3284"/>
      <c r="H16" s="1464">
        <v>1</v>
      </c>
      <c r="I16" s="1464">
        <v>4.09</v>
      </c>
      <c r="J16" s="1464">
        <v>2.93</v>
      </c>
      <c r="K16" s="1464">
        <v>4.54</v>
      </c>
      <c r="L16" s="1478">
        <v>1.48</v>
      </c>
      <c r="N16" s="1472">
        <f t="shared" si="66"/>
        <v>4.0899999999999999E-2</v>
      </c>
      <c r="O16" s="1473">
        <f t="shared" si="61"/>
        <v>2.9300000000000003E-2</v>
      </c>
      <c r="P16" s="1473">
        <f t="shared" si="61"/>
        <v>4.5400000000000003E-2</v>
      </c>
      <c r="Q16" s="1473">
        <f t="shared" si="61"/>
        <v>1.4800000000000001E-2</v>
      </c>
      <c r="R16" s="1474"/>
      <c r="S16" s="1480">
        <f>B16/B17-1</f>
        <v>4.1203450408792808E-2</v>
      </c>
      <c r="T16" s="1481">
        <f>C16/C17-1</f>
        <v>2.6363977342465095E-2</v>
      </c>
      <c r="U16" s="1481">
        <f>E16/E17-1</f>
        <v>4.4837114298626357E-2</v>
      </c>
      <c r="V16" s="1481">
        <f>F16/F17-1</f>
        <v>1.7099954922538574E-2</v>
      </c>
      <c r="X16" s="1459">
        <f>ROUND(SUMPRODUCT(PRODUCT(1+N16:N$23)),4)</f>
        <v>1.1269</v>
      </c>
      <c r="Y16" s="1459">
        <f>ROUND(SUMPRODUCT(PRODUCT(1+O16:O$23)),4)</f>
        <v>1.1052999999999999</v>
      </c>
      <c r="Z16" s="1459">
        <f t="shared" si="0"/>
        <v>1.1052999999999999</v>
      </c>
      <c r="AA16" s="1459">
        <f>ROUND(SUMPRODUCT(PRODUCT(1+P16:P$23)),4)</f>
        <v>1.1349</v>
      </c>
      <c r="AB16" s="1459">
        <f>ROUND(SUMPRODUCT(PRODUCT(1+Q16:Q$23)),4)</f>
        <v>1.0996999999999999</v>
      </c>
      <c r="AD16" s="1460">
        <f>ROUND(AVERAGE(I16:I$24)/100,4)</f>
        <v>1.67E-2</v>
      </c>
      <c r="AE16" s="1460">
        <f>ROUND(AVERAGE(J16:J$24)/100,4)</f>
        <v>1.38E-2</v>
      </c>
      <c r="AF16" s="1460">
        <f t="shared" si="1"/>
        <v>1.38E-2</v>
      </c>
      <c r="AG16" s="1460">
        <f>ROUND(AVERAGE(K16:K$24)/100,4)</f>
        <v>1.7899999999999999E-2</v>
      </c>
      <c r="AH16" s="1460">
        <f>ROUND(AVERAGE(L16:L$24)/100,4)</f>
        <v>1.21E-2</v>
      </c>
    </row>
    <row r="17" spans="1:34" ht="13.5" thickBot="1">
      <c r="A17" s="1461" t="s">
        <v>151</v>
      </c>
      <c r="B17" s="1469">
        <v>333</v>
      </c>
      <c r="C17" s="1469">
        <v>277</v>
      </c>
      <c r="D17" s="1469">
        <f t="shared" si="64"/>
        <v>277</v>
      </c>
      <c r="E17" s="1469">
        <v>459</v>
      </c>
      <c r="F17" s="1470">
        <v>249</v>
      </c>
      <c r="G17" s="3282">
        <v>2015</v>
      </c>
      <c r="H17" s="1482">
        <v>4</v>
      </c>
      <c r="I17" s="1482">
        <v>1.63</v>
      </c>
      <c r="J17" s="1482">
        <v>1.1100000000000001</v>
      </c>
      <c r="K17" s="1482">
        <v>1.77</v>
      </c>
      <c r="L17" s="1483">
        <v>1.89</v>
      </c>
      <c r="N17" s="1484">
        <f t="shared" si="66"/>
        <v>1.6299999999999999E-2</v>
      </c>
      <c r="O17" s="1485">
        <f t="shared" si="61"/>
        <v>1.11E-2</v>
      </c>
      <c r="P17" s="1485">
        <f t="shared" si="61"/>
        <v>1.77E-2</v>
      </c>
      <c r="Q17" s="1485">
        <f t="shared" si="61"/>
        <v>1.89E-2</v>
      </c>
      <c r="R17" s="1474"/>
      <c r="X17" s="1459">
        <f>ROUND(SUMPRODUCT(PRODUCT(1+N17:N$23)),4)</f>
        <v>1.0826</v>
      </c>
      <c r="Y17" s="1459">
        <f>ROUND(SUMPRODUCT(PRODUCT(1+O17:O$23)),4)</f>
        <v>1.0738000000000001</v>
      </c>
      <c r="Z17" s="1459">
        <f t="shared" si="0"/>
        <v>1.0738000000000001</v>
      </c>
      <c r="AA17" s="1459">
        <f>ROUND(SUMPRODUCT(PRODUCT(1+P17:P$23)),4)</f>
        <v>1.0855999999999999</v>
      </c>
      <c r="AB17" s="1459">
        <f>ROUND(SUMPRODUCT(PRODUCT(1+Q17:Q$23)),4)</f>
        <v>1.0837000000000001</v>
      </c>
      <c r="AD17" s="1460">
        <f>ROUND(AVERAGE(I17:I$24)/100,4)</f>
        <v>1.37E-2</v>
      </c>
      <c r="AE17" s="1460">
        <f>ROUND(AVERAGE(J17:J$24)/100,4)</f>
        <v>1.1900000000000001E-2</v>
      </c>
      <c r="AF17" s="1460">
        <f t="shared" si="1"/>
        <v>1.1900000000000001E-2</v>
      </c>
      <c r="AG17" s="1460">
        <f>ROUND(AVERAGE(K17:K$24)/100,4)</f>
        <v>1.4500000000000001E-2</v>
      </c>
      <c r="AH17" s="1460">
        <f>ROUND(AVERAGE(L17:L$24)/100,4)</f>
        <v>1.18E-2</v>
      </c>
    </row>
    <row r="18" spans="1:34">
      <c r="A18" s="1461" t="s">
        <v>150</v>
      </c>
      <c r="B18" s="1477">
        <f t="shared" ref="B18:C20" si="67">B17/(1+N17)</f>
        <v>327.65915576109415</v>
      </c>
      <c r="C18" s="1477">
        <f t="shared" si="67"/>
        <v>273.95905449510434</v>
      </c>
      <c r="D18" s="1477">
        <f t="shared" si="64"/>
        <v>273.95905449510434</v>
      </c>
      <c r="E18" s="1477">
        <f t="shared" ref="E18:F20" si="68">E17/(1+P17)</f>
        <v>451.01699911565294</v>
      </c>
      <c r="F18" s="1477">
        <f t="shared" si="68"/>
        <v>244.38119540681129</v>
      </c>
      <c r="G18" s="3283"/>
      <c r="H18" s="1487">
        <v>3</v>
      </c>
      <c r="I18" s="1487">
        <v>1.65</v>
      </c>
      <c r="J18" s="1487">
        <v>0.92</v>
      </c>
      <c r="K18" s="1487">
        <v>1.88</v>
      </c>
      <c r="L18" s="1488">
        <v>1.26</v>
      </c>
      <c r="N18" s="1472">
        <f t="shared" si="66"/>
        <v>1.6500000000000001E-2</v>
      </c>
      <c r="O18" s="1489">
        <f t="shared" si="61"/>
        <v>9.1999999999999998E-3</v>
      </c>
      <c r="P18" s="1489">
        <f t="shared" si="61"/>
        <v>1.8799999999999997E-2</v>
      </c>
      <c r="Q18" s="1489">
        <f t="shared" si="61"/>
        <v>1.26E-2</v>
      </c>
      <c r="R18" s="1474"/>
      <c r="S18" s="1472"/>
      <c r="T18" s="1473"/>
      <c r="U18" s="1473"/>
      <c r="V18" s="1473"/>
      <c r="X18" s="1459">
        <f>ROUND(SUMPRODUCT(PRODUCT(1+N18:N$23)),4)</f>
        <v>1.0651999999999999</v>
      </c>
      <c r="Y18" s="1459">
        <f>ROUND(SUMPRODUCT(PRODUCT(1+O18:O$23)),4)</f>
        <v>1.0621</v>
      </c>
      <c r="Z18" s="1459">
        <f t="shared" si="0"/>
        <v>1.0621</v>
      </c>
      <c r="AA18" s="1459">
        <f>ROUND(SUMPRODUCT(PRODUCT(1+P18:P$23)),4)</f>
        <v>1.0668</v>
      </c>
      <c r="AB18" s="1459">
        <f>ROUND(SUMPRODUCT(PRODUCT(1+Q18:Q$23)),4)</f>
        <v>1.0636000000000001</v>
      </c>
      <c r="AD18" s="1460">
        <f>ROUND(AVERAGE(I18:I$24)/100,4)</f>
        <v>1.3299999999999999E-2</v>
      </c>
      <c r="AE18" s="1460">
        <f>ROUND(AVERAGE(J18:J$24)/100,4)</f>
        <v>1.2E-2</v>
      </c>
      <c r="AF18" s="1460">
        <f t="shared" si="1"/>
        <v>1.2E-2</v>
      </c>
      <c r="AG18" s="1460">
        <f>ROUND(AVERAGE(K18:K$24)/100,4)</f>
        <v>1.4E-2</v>
      </c>
      <c r="AH18" s="1460">
        <f>ROUND(AVERAGE(L18:L$24)/100,4)</f>
        <v>1.0800000000000001E-2</v>
      </c>
    </row>
    <row r="19" spans="1:34">
      <c r="A19" s="1461" t="s">
        <v>149</v>
      </c>
      <c r="B19" s="1477">
        <f t="shared" si="67"/>
        <v>322.34053690220776</v>
      </c>
      <c r="C19" s="1477">
        <f t="shared" si="67"/>
        <v>271.46160770422546</v>
      </c>
      <c r="D19" s="1477">
        <f t="shared" si="64"/>
        <v>271.46160770422546</v>
      </c>
      <c r="E19" s="1477">
        <f t="shared" si="68"/>
        <v>442.69434542172456</v>
      </c>
      <c r="F19" s="1477">
        <f t="shared" si="68"/>
        <v>241.34030753190925</v>
      </c>
      <c r="G19" s="3283"/>
      <c r="H19" s="1465">
        <v>2</v>
      </c>
      <c r="I19" s="1465">
        <v>0.77</v>
      </c>
      <c r="J19" s="1465">
        <v>0.69</v>
      </c>
      <c r="K19" s="1465">
        <v>0.8</v>
      </c>
      <c r="L19" s="1479">
        <v>0.88</v>
      </c>
      <c r="N19" s="1472">
        <f t="shared" si="66"/>
        <v>7.7000000000000002E-3</v>
      </c>
      <c r="O19" s="1489">
        <f t="shared" si="61"/>
        <v>6.8999999999999999E-3</v>
      </c>
      <c r="P19" s="1489">
        <f t="shared" si="61"/>
        <v>8.0000000000000002E-3</v>
      </c>
      <c r="Q19" s="1489">
        <f t="shared" si="61"/>
        <v>8.8000000000000005E-3</v>
      </c>
      <c r="R19" s="1474"/>
      <c r="S19" s="1472"/>
      <c r="T19" s="1473"/>
      <c r="U19" s="1473"/>
      <c r="V19" s="1473"/>
      <c r="X19" s="1459">
        <f>ROUND(SUMPRODUCT(PRODUCT(1+N19:N$23)),4)</f>
        <v>1.048</v>
      </c>
      <c r="Y19" s="1459">
        <f>ROUND(SUMPRODUCT(PRODUCT(1+O19:O$23)),4)</f>
        <v>1.0524</v>
      </c>
      <c r="Z19" s="1459">
        <f t="shared" si="0"/>
        <v>1.0524</v>
      </c>
      <c r="AA19" s="1459">
        <f>ROUND(SUMPRODUCT(PRODUCT(1+P19:P$23)),4)</f>
        <v>1.0470999999999999</v>
      </c>
      <c r="AB19" s="1459">
        <f>ROUND(SUMPRODUCT(PRODUCT(1+Q19:Q$23)),4)</f>
        <v>1.0504</v>
      </c>
      <c r="AD19" s="1460">
        <f>ROUND(AVERAGE(I19:I$24)/100,4)</f>
        <v>1.2800000000000001E-2</v>
      </c>
      <c r="AE19" s="1460">
        <f>ROUND(AVERAGE(J19:J$24)/100,4)</f>
        <v>1.2500000000000001E-2</v>
      </c>
      <c r="AF19" s="1460">
        <f t="shared" si="1"/>
        <v>1.2500000000000001E-2</v>
      </c>
      <c r="AG19" s="1460">
        <f>ROUND(AVERAGE(K19:K$24)/100,4)</f>
        <v>1.32E-2</v>
      </c>
      <c r="AH19" s="1460">
        <f>ROUND(AVERAGE(L19:L$24)/100,4)</f>
        <v>1.0500000000000001E-2</v>
      </c>
    </row>
    <row r="20" spans="1:34">
      <c r="A20" s="1461" t="s">
        <v>148</v>
      </c>
      <c r="B20" s="1477">
        <f t="shared" si="67"/>
        <v>319.87748030386797</v>
      </c>
      <c r="C20" s="1477">
        <f t="shared" si="67"/>
        <v>269.60135833173649</v>
      </c>
      <c r="D20" s="1477">
        <f t="shared" si="64"/>
        <v>269.60135833173649</v>
      </c>
      <c r="E20" s="1477">
        <f t="shared" si="68"/>
        <v>439.18089823583784</v>
      </c>
      <c r="F20" s="1477">
        <f t="shared" si="68"/>
        <v>239.23503918706311</v>
      </c>
      <c r="G20" s="3284"/>
      <c r="H20" s="1464">
        <v>1</v>
      </c>
      <c r="I20" s="1464">
        <v>0.51</v>
      </c>
      <c r="J20" s="1464">
        <v>0.54</v>
      </c>
      <c r="K20" s="1464">
        <v>0.48</v>
      </c>
      <c r="L20" s="1478">
        <v>0.93</v>
      </c>
      <c r="N20" s="1480">
        <f t="shared" si="66"/>
        <v>5.1000000000000004E-3</v>
      </c>
      <c r="O20" s="1481">
        <f t="shared" si="61"/>
        <v>5.4000000000000003E-3</v>
      </c>
      <c r="P20" s="1481">
        <f t="shared" si="61"/>
        <v>4.7999999999999996E-3</v>
      </c>
      <c r="Q20" s="1481">
        <f t="shared" si="61"/>
        <v>9.300000000000001E-3</v>
      </c>
      <c r="R20" s="1474"/>
      <c r="S20" s="1480">
        <f>B20/B21-1</f>
        <v>5.9040261127922822E-3</v>
      </c>
      <c r="T20" s="1481">
        <f>C20/C21-1</f>
        <v>5.9752176557332781E-3</v>
      </c>
      <c r="U20" s="1481">
        <f>E20/E21-1</f>
        <v>4.9906138119859556E-3</v>
      </c>
      <c r="V20" s="1481">
        <f>F20/F21-1</f>
        <v>9.4305450930933787E-3</v>
      </c>
      <c r="X20" s="1459">
        <f>ROUND(SUMPRODUCT(PRODUCT(1+N20:N$23)),4)</f>
        <v>1.0399</v>
      </c>
      <c r="Y20" s="1459">
        <f>ROUND(SUMPRODUCT(PRODUCT(1+O20:O$23)),4)</f>
        <v>1.0451999999999999</v>
      </c>
      <c r="Z20" s="1459">
        <f t="shared" si="0"/>
        <v>1.0451999999999999</v>
      </c>
      <c r="AA20" s="1459">
        <f>ROUND(SUMPRODUCT(PRODUCT(1+P20:P$23)),4)</f>
        <v>1.0387999999999999</v>
      </c>
      <c r="AB20" s="1459">
        <f>ROUND(SUMPRODUCT(PRODUCT(1+Q20:Q$23)),4)</f>
        <v>1.0411999999999999</v>
      </c>
      <c r="AD20" s="1460">
        <f>ROUND(AVERAGE(I20:I$24)/100,4)</f>
        <v>1.38E-2</v>
      </c>
      <c r="AE20" s="1460">
        <f>ROUND(AVERAGE(J20:J$24)/100,4)</f>
        <v>1.3599999999999999E-2</v>
      </c>
      <c r="AF20" s="1460">
        <f t="shared" si="1"/>
        <v>1.3599999999999999E-2</v>
      </c>
      <c r="AG20" s="1460">
        <f>ROUND(AVERAGE(K20:K$24)/100,4)</f>
        <v>1.4200000000000001E-2</v>
      </c>
      <c r="AH20" s="1460">
        <f>ROUND(AVERAGE(L20:L$24)/100,4)</f>
        <v>1.0800000000000001E-2</v>
      </c>
    </row>
    <row r="21" spans="1:34" ht="13.5" thickBot="1">
      <c r="A21" s="1461" t="s">
        <v>147</v>
      </c>
      <c r="B21" s="1490">
        <v>318</v>
      </c>
      <c r="C21" s="1490">
        <v>268</v>
      </c>
      <c r="D21" s="1490">
        <f t="shared" si="64"/>
        <v>268</v>
      </c>
      <c r="E21" s="1490">
        <v>437</v>
      </c>
      <c r="F21" s="1491">
        <v>237</v>
      </c>
      <c r="G21" s="3282">
        <v>2014</v>
      </c>
      <c r="H21" s="1482">
        <v>4</v>
      </c>
      <c r="I21" s="1482">
        <v>0.21</v>
      </c>
      <c r="J21" s="1482">
        <v>0.41</v>
      </c>
      <c r="K21" s="1482">
        <v>0.12</v>
      </c>
      <c r="L21" s="1483">
        <v>0.89</v>
      </c>
      <c r="N21" s="1472">
        <f t="shared" si="66"/>
        <v>2.0999999999999999E-3</v>
      </c>
      <c r="O21" s="1473">
        <f t="shared" si="61"/>
        <v>4.0999999999999995E-3</v>
      </c>
      <c r="P21" s="1473">
        <f t="shared" si="61"/>
        <v>1.1999999999999999E-3</v>
      </c>
      <c r="Q21" s="1473">
        <f t="shared" si="61"/>
        <v>8.8999999999999999E-3</v>
      </c>
      <c r="R21" s="1474"/>
      <c r="S21" s="1475"/>
      <c r="T21" s="1476"/>
      <c r="U21" s="1476"/>
      <c r="V21" s="1476"/>
      <c r="X21" s="1459">
        <f>ROUND(SUMPRODUCT(PRODUCT(1+N21:N$23)),4)</f>
        <v>1.0347</v>
      </c>
      <c r="Y21" s="1459">
        <f>ROUND(SUMPRODUCT(PRODUCT(1+O21:O$23)),4)</f>
        <v>1.0395000000000001</v>
      </c>
      <c r="Z21" s="1459">
        <f t="shared" si="0"/>
        <v>1.0395000000000001</v>
      </c>
      <c r="AA21" s="1459">
        <f>ROUND(SUMPRODUCT(PRODUCT(1+P21:P$23)),4)</f>
        <v>1.0338000000000001</v>
      </c>
      <c r="AB21" s="1459">
        <f>ROUND(SUMPRODUCT(PRODUCT(1+Q21:Q$23)),4)</f>
        <v>1.0316000000000001</v>
      </c>
      <c r="AD21" s="1460">
        <f>ROUND(AVERAGE(I21:I$24)/100,4)</f>
        <v>1.6E-2</v>
      </c>
      <c r="AE21" s="1460">
        <f>ROUND(AVERAGE(J21:J$24)/100,4)</f>
        <v>1.5599999999999999E-2</v>
      </c>
      <c r="AF21" s="1460">
        <f t="shared" si="1"/>
        <v>1.5599999999999999E-2</v>
      </c>
      <c r="AG21" s="1460">
        <f>ROUND(AVERAGE(K21:K$24)/100,4)</f>
        <v>1.66E-2</v>
      </c>
      <c r="AH21" s="1460">
        <f>ROUND(AVERAGE(L21:L$24)/100,4)</f>
        <v>1.12E-2</v>
      </c>
    </row>
    <row r="22" spans="1:34">
      <c r="A22" s="1461" t="s">
        <v>146</v>
      </c>
      <c r="B22" s="1477">
        <f t="shared" ref="B22:C24" si="69">B21/(1+N21)</f>
        <v>317.33359944117353</v>
      </c>
      <c r="C22" s="1477">
        <f t="shared" si="69"/>
        <v>266.90568668459315</v>
      </c>
      <c r="D22" s="1477">
        <f t="shared" si="64"/>
        <v>266.90568668459315</v>
      </c>
      <c r="E22" s="1477">
        <f t="shared" ref="E22:F24" si="70">E21/(1+P21)</f>
        <v>436.47622852576905</v>
      </c>
      <c r="F22" s="1477">
        <f t="shared" si="70"/>
        <v>234.90930716622066</v>
      </c>
      <c r="G22" s="3283"/>
      <c r="H22" s="1492">
        <v>3</v>
      </c>
      <c r="I22" s="1492">
        <v>0.83</v>
      </c>
      <c r="J22" s="1492">
        <v>1.47</v>
      </c>
      <c r="K22" s="1492">
        <v>0.65</v>
      </c>
      <c r="L22" s="1493">
        <v>0.72</v>
      </c>
      <c r="N22" s="1472">
        <f t="shared" si="66"/>
        <v>8.3000000000000001E-3</v>
      </c>
      <c r="O22" s="1473">
        <f t="shared" si="61"/>
        <v>1.47E-2</v>
      </c>
      <c r="P22" s="1473">
        <f t="shared" si="61"/>
        <v>6.5000000000000006E-3</v>
      </c>
      <c r="Q22" s="1473">
        <f t="shared" si="61"/>
        <v>7.1999999999999998E-3</v>
      </c>
      <c r="R22" s="1474"/>
      <c r="S22" s="1472"/>
      <c r="T22" s="1473"/>
      <c r="U22" s="1473"/>
      <c r="V22" s="1473"/>
      <c r="X22" s="1459">
        <f>ROUND(SUMPRODUCT(PRODUCT(1+N22:N$23)),4)</f>
        <v>1.0325</v>
      </c>
      <c r="Y22" s="1459">
        <f>ROUND(SUMPRODUCT(PRODUCT(1+O22:O$23)),4)</f>
        <v>1.0353000000000001</v>
      </c>
      <c r="Z22" s="1459">
        <f t="shared" ref="Z22:Z23" si="71">Y22</f>
        <v>1.0353000000000001</v>
      </c>
      <c r="AA22" s="1459">
        <f>ROUND(SUMPRODUCT(PRODUCT(1+P22:P$23)),4)</f>
        <v>1.0326</v>
      </c>
      <c r="AB22" s="1459">
        <f>ROUND(SUMPRODUCT(PRODUCT(1+Q22:Q$23)),4)</f>
        <v>1.0225</v>
      </c>
      <c r="AD22" s="1460">
        <f>ROUND(AVERAGE(I22:I$24)/100,4)</f>
        <v>2.07E-2</v>
      </c>
      <c r="AE22" s="1460">
        <f>ROUND(AVERAGE(J22:J$24)/100,4)</f>
        <v>1.95E-2</v>
      </c>
      <c r="AF22" s="1460">
        <f t="shared" si="1"/>
        <v>1.95E-2</v>
      </c>
      <c r="AG22" s="1460">
        <f>ROUND(AVERAGE(K22:K$24)/100,4)</f>
        <v>2.1700000000000001E-2</v>
      </c>
      <c r="AH22" s="1460">
        <f>ROUND(AVERAGE(L22:L$24)/100,4)</f>
        <v>1.2E-2</v>
      </c>
    </row>
    <row r="23" spans="1:34" ht="13.5" thickBot="1">
      <c r="A23" s="1461" t="s">
        <v>145</v>
      </c>
      <c r="B23" s="1477">
        <f t="shared" si="69"/>
        <v>314.72141172386546</v>
      </c>
      <c r="C23" s="1477">
        <f t="shared" si="69"/>
        <v>263.03901319069001</v>
      </c>
      <c r="D23" s="1477">
        <f t="shared" si="64"/>
        <v>263.03901319069001</v>
      </c>
      <c r="E23" s="1477">
        <f t="shared" si="70"/>
        <v>433.65745506782821</v>
      </c>
      <c r="F23" s="1477">
        <f t="shared" si="70"/>
        <v>233.23005080045735</v>
      </c>
      <c r="G23" s="3283"/>
      <c r="H23" s="1482">
        <v>2</v>
      </c>
      <c r="I23" s="1482">
        <v>2.4</v>
      </c>
      <c r="J23" s="1482">
        <v>2.0299999999999998</v>
      </c>
      <c r="K23" s="1482">
        <v>2.59</v>
      </c>
      <c r="L23" s="1483">
        <v>1.52</v>
      </c>
      <c r="N23" s="1472">
        <f t="shared" si="66"/>
        <v>2.4E-2</v>
      </c>
      <c r="O23" s="1473">
        <f t="shared" si="61"/>
        <v>2.0299999999999999E-2</v>
      </c>
      <c r="P23" s="1473">
        <f t="shared" si="61"/>
        <v>2.5899999999999999E-2</v>
      </c>
      <c r="Q23" s="1473">
        <f t="shared" si="61"/>
        <v>1.52E-2</v>
      </c>
      <c r="R23" s="1474"/>
      <c r="S23" s="1472"/>
      <c r="T23" s="1473"/>
      <c r="U23" s="1473"/>
      <c r="V23" s="1473"/>
      <c r="X23" s="1459">
        <f>1+N23</f>
        <v>1.024</v>
      </c>
      <c r="Y23" s="1459">
        <f>1+O23</f>
        <v>1.0203</v>
      </c>
      <c r="Z23" s="1459">
        <f t="shared" si="71"/>
        <v>1.0203</v>
      </c>
      <c r="AA23" s="1459">
        <f>1+P23</f>
        <v>1.0259</v>
      </c>
      <c r="AB23" s="1459">
        <f>1+Q23</f>
        <v>1.0152000000000001</v>
      </c>
      <c r="AD23" s="1460">
        <f>ROUND(AVERAGE(I23:I$24)/100,4)</f>
        <v>2.69E-2</v>
      </c>
      <c r="AE23" s="1460">
        <f>ROUND(AVERAGE(J23:J$24)/100,4)</f>
        <v>2.1899999999999999E-2</v>
      </c>
      <c r="AF23" s="1460">
        <f t="shared" ref="AF23" si="72">AE23</f>
        <v>2.1899999999999999E-2</v>
      </c>
      <c r="AG23" s="1460">
        <f>ROUND(AVERAGE(K23:K$24)/100,4)</f>
        <v>2.9399999999999999E-2</v>
      </c>
      <c r="AH23" s="1460">
        <f>ROUND(AVERAGE(L23:L$24)/100,4)</f>
        <v>1.44E-2</v>
      </c>
    </row>
    <row r="24" spans="1:34" s="1498" customFormat="1" ht="13.5" thickBot="1">
      <c r="A24" s="1494" t="s">
        <v>144</v>
      </c>
      <c r="B24" s="1495">
        <f t="shared" si="69"/>
        <v>307.34512863658733</v>
      </c>
      <c r="C24" s="1495">
        <f t="shared" si="69"/>
        <v>257.80556031626975</v>
      </c>
      <c r="D24" s="1495">
        <f t="shared" si="64"/>
        <v>257.80556031626975</v>
      </c>
      <c r="E24" s="1495">
        <f t="shared" si="70"/>
        <v>422.70928459677179</v>
      </c>
      <c r="F24" s="1495">
        <f t="shared" si="70"/>
        <v>229.73803270336617</v>
      </c>
      <c r="G24" s="3284"/>
      <c r="H24" s="1496">
        <v>1</v>
      </c>
      <c r="I24" s="1496">
        <v>2.97</v>
      </c>
      <c r="J24" s="1496">
        <v>2.34</v>
      </c>
      <c r="K24" s="1496">
        <v>3.28</v>
      </c>
      <c r="L24" s="1497">
        <v>1.36</v>
      </c>
      <c r="N24" s="1499">
        <f t="shared" si="66"/>
        <v>2.9700000000000001E-2</v>
      </c>
      <c r="O24" s="1500">
        <f t="shared" si="61"/>
        <v>2.3399999999999997E-2</v>
      </c>
      <c r="P24" s="1500">
        <f t="shared" si="61"/>
        <v>3.2799999999999996E-2</v>
      </c>
      <c r="Q24" s="1500">
        <f t="shared" si="61"/>
        <v>1.3600000000000001E-2</v>
      </c>
      <c r="R24" s="1501"/>
      <c r="S24" s="1502">
        <f>B24/B25-1</f>
        <v>2.7910129219355539E-2</v>
      </c>
      <c r="T24" s="1503">
        <f>C24/C25-1</f>
        <v>2.3037937762975247E-2</v>
      </c>
      <c r="U24" s="1503">
        <f>E24/E25-1</f>
        <v>3.3519033243940788E-2</v>
      </c>
      <c r="V24" s="1503">
        <f>F24/F25-1</f>
        <v>1.2061818076502862E-2</v>
      </c>
      <c r="W24" s="1504" t="s">
        <v>1162</v>
      </c>
      <c r="X24" s="1505">
        <v>1</v>
      </c>
      <c r="Y24" s="1505">
        <v>1</v>
      </c>
      <c r="Z24" s="1505">
        <v>1</v>
      </c>
      <c r="AA24" s="1505">
        <v>1</v>
      </c>
      <c r="AB24" s="1505">
        <v>1</v>
      </c>
      <c r="AD24" s="1727">
        <f>I24/100</f>
        <v>2.9700000000000001E-2</v>
      </c>
      <c r="AE24" s="1727">
        <f>J24/100</f>
        <v>2.3399999999999997E-2</v>
      </c>
      <c r="AF24" s="1727">
        <f>AE24</f>
        <v>2.3399999999999997E-2</v>
      </c>
      <c r="AG24" s="1727">
        <f>K24/100</f>
        <v>3.2799999999999996E-2</v>
      </c>
      <c r="AH24" s="1727">
        <f>L24/100</f>
        <v>1.3600000000000001E-2</v>
      </c>
    </row>
    <row r="25" spans="1:34" ht="13.5" thickBot="1">
      <c r="A25" s="1461" t="s">
        <v>1163</v>
      </c>
      <c r="B25" s="1469">
        <v>299</v>
      </c>
      <c r="C25" s="1469">
        <v>252</v>
      </c>
      <c r="D25" s="1469">
        <f t="shared" si="64"/>
        <v>252</v>
      </c>
      <c r="E25" s="1469">
        <v>409</v>
      </c>
      <c r="F25" s="1470">
        <v>227</v>
      </c>
      <c r="G25" s="3287">
        <v>2013</v>
      </c>
      <c r="H25" s="1506">
        <v>4</v>
      </c>
      <c r="I25" s="1506">
        <v>1.83</v>
      </c>
      <c r="J25" s="1506">
        <v>1.68</v>
      </c>
      <c r="K25" s="1506">
        <v>1.97</v>
      </c>
      <c r="L25" s="1507">
        <v>0.87</v>
      </c>
      <c r="N25" s="1484">
        <f t="shared" si="66"/>
        <v>1.83E-2</v>
      </c>
      <c r="O25" s="1485">
        <f t="shared" si="61"/>
        <v>1.6799999999999999E-2</v>
      </c>
      <c r="P25" s="1485">
        <f t="shared" si="61"/>
        <v>1.9699999999999999E-2</v>
      </c>
      <c r="Q25" s="1485">
        <f t="shared" si="61"/>
        <v>8.6999999999999994E-3</v>
      </c>
      <c r="R25" s="1474"/>
      <c r="S25" s="1475"/>
      <c r="T25" s="1476"/>
      <c r="U25" s="1476"/>
      <c r="V25" s="1476"/>
      <c r="X25" s="1476"/>
      <c r="Y25" s="1476"/>
      <c r="Z25" s="1476"/>
    </row>
    <row r="26" spans="1:34">
      <c r="A26" s="1461" t="s">
        <v>1164</v>
      </c>
      <c r="B26" s="1477">
        <f t="shared" ref="B26:C28" si="73">B25/(1+N25)</f>
        <v>293.62663262299913</v>
      </c>
      <c r="C26" s="1477">
        <f t="shared" si="73"/>
        <v>247.83634933123525</v>
      </c>
      <c r="D26" s="1477">
        <f t="shared" si="64"/>
        <v>247.83634933123525</v>
      </c>
      <c r="E26" s="1477">
        <f t="shared" ref="E26:F28" si="74">E25/(1+P25)</f>
        <v>401.09836226341076</v>
      </c>
      <c r="F26" s="1477">
        <f t="shared" si="74"/>
        <v>225.04213343908003</v>
      </c>
      <c r="G26" s="3288"/>
      <c r="H26" s="1487">
        <v>3</v>
      </c>
      <c r="I26" s="1487">
        <v>1.86</v>
      </c>
      <c r="J26" s="1487">
        <v>1.72</v>
      </c>
      <c r="K26" s="1487">
        <v>1.98</v>
      </c>
      <c r="L26" s="1488">
        <v>0.88</v>
      </c>
      <c r="N26" s="1472">
        <f t="shared" si="66"/>
        <v>1.8600000000000002E-2</v>
      </c>
      <c r="O26" s="1489">
        <f t="shared" si="61"/>
        <v>1.72E-2</v>
      </c>
      <c r="P26" s="1489">
        <f t="shared" si="61"/>
        <v>1.9799999999999998E-2</v>
      </c>
      <c r="Q26" s="1489">
        <f t="shared" si="61"/>
        <v>8.8000000000000005E-3</v>
      </c>
      <c r="R26" s="1474"/>
      <c r="S26" s="1472"/>
      <c r="T26" s="1473"/>
      <c r="U26" s="1473"/>
      <c r="V26" s="1473"/>
    </row>
    <row r="27" spans="1:34">
      <c r="A27" s="1461" t="s">
        <v>1165</v>
      </c>
      <c r="B27" s="1477">
        <f t="shared" si="73"/>
        <v>288.2649053828776</v>
      </c>
      <c r="C27" s="1477">
        <f t="shared" si="73"/>
        <v>243.64564425013293</v>
      </c>
      <c r="D27" s="1477">
        <f t="shared" si="64"/>
        <v>243.64564425013293</v>
      </c>
      <c r="E27" s="1477">
        <f t="shared" si="74"/>
        <v>393.31080825986544</v>
      </c>
      <c r="F27" s="1477">
        <f t="shared" si="74"/>
        <v>223.07903790551154</v>
      </c>
      <c r="G27" s="3288"/>
      <c r="H27" s="1465">
        <v>2</v>
      </c>
      <c r="I27" s="1465">
        <v>2.04</v>
      </c>
      <c r="J27" s="1465">
        <v>2.33</v>
      </c>
      <c r="K27" s="1465">
        <v>2.0699999999999998</v>
      </c>
      <c r="L27" s="1479">
        <v>0.69</v>
      </c>
      <c r="N27" s="1472">
        <f t="shared" si="66"/>
        <v>2.0400000000000001E-2</v>
      </c>
      <c r="O27" s="1489">
        <f t="shared" si="61"/>
        <v>2.3300000000000001E-2</v>
      </c>
      <c r="P27" s="1489">
        <f t="shared" si="61"/>
        <v>2.07E-2</v>
      </c>
      <c r="Q27" s="1489">
        <f t="shared" si="61"/>
        <v>6.8999999999999999E-3</v>
      </c>
      <c r="R27" s="1474"/>
      <c r="S27" s="1472"/>
      <c r="T27" s="1473"/>
      <c r="U27" s="1473"/>
      <c r="V27" s="1473"/>
      <c r="X27" s="1508"/>
      <c r="Y27" s="1509"/>
    </row>
    <row r="28" spans="1:34">
      <c r="A28" s="1461" t="s">
        <v>1166</v>
      </c>
      <c r="B28" s="1477">
        <f t="shared" si="73"/>
        <v>282.50186729015837</v>
      </c>
      <c r="C28" s="1477">
        <f t="shared" si="73"/>
        <v>238.09796174155468</v>
      </c>
      <c r="D28" s="1477">
        <f t="shared" si="64"/>
        <v>238.09796174155468</v>
      </c>
      <c r="E28" s="1477">
        <f t="shared" si="74"/>
        <v>385.33438646014054</v>
      </c>
      <c r="F28" s="1477">
        <f t="shared" si="74"/>
        <v>221.55034055567739</v>
      </c>
      <c r="G28" s="3289"/>
      <c r="H28" s="1464">
        <v>1</v>
      </c>
      <c r="I28" s="1464">
        <v>1.67</v>
      </c>
      <c r="J28" s="1464">
        <v>1.31</v>
      </c>
      <c r="K28" s="1464">
        <v>1.85</v>
      </c>
      <c r="L28" s="1478">
        <v>0.96</v>
      </c>
      <c r="N28" s="1480">
        <f t="shared" si="66"/>
        <v>1.67E-2</v>
      </c>
      <c r="O28" s="1481">
        <f t="shared" si="66"/>
        <v>1.3100000000000001E-2</v>
      </c>
      <c r="P28" s="1481">
        <f t="shared" si="66"/>
        <v>1.8500000000000003E-2</v>
      </c>
      <c r="Q28" s="1481">
        <f t="shared" si="66"/>
        <v>9.5999999999999992E-3</v>
      </c>
      <c r="R28" s="1474"/>
      <c r="S28" s="1480">
        <f>B28/B29-1</f>
        <v>1.6193767230785472E-2</v>
      </c>
      <c r="T28" s="1481">
        <f>C28/C29-1</f>
        <v>1.7512657015190891E-2</v>
      </c>
      <c r="U28" s="1481">
        <f>E28/E29-1</f>
        <v>1.6713420739157048E-2</v>
      </c>
      <c r="V28" s="1481">
        <f>F28/F29-1</f>
        <v>7.0470025258062563E-3</v>
      </c>
      <c r="X28" s="1510"/>
      <c r="Y28" s="1460"/>
      <c r="Z28" s="1460"/>
    </row>
    <row r="29" spans="1:34" ht="13.5" thickBot="1">
      <c r="A29" s="1461" t="s">
        <v>1167</v>
      </c>
      <c r="B29" s="1511">
        <v>278</v>
      </c>
      <c r="C29" s="1511">
        <v>234</v>
      </c>
      <c r="D29" s="1511">
        <f t="shared" si="64"/>
        <v>234</v>
      </c>
      <c r="E29" s="1511">
        <v>379</v>
      </c>
      <c r="F29" s="1512">
        <v>220</v>
      </c>
      <c r="G29" s="3282">
        <v>2012</v>
      </c>
      <c r="H29" s="1482">
        <v>4</v>
      </c>
      <c r="I29" s="1482">
        <v>0.91</v>
      </c>
      <c r="J29" s="1482">
        <v>0.68</v>
      </c>
      <c r="K29" s="1482">
        <v>0.98</v>
      </c>
      <c r="L29" s="1483">
        <v>0.9</v>
      </c>
      <c r="N29" s="1472">
        <f t="shared" si="66"/>
        <v>9.1000000000000004E-3</v>
      </c>
      <c r="O29" s="1473">
        <f t="shared" si="66"/>
        <v>6.8000000000000005E-3</v>
      </c>
      <c r="P29" s="1473">
        <f t="shared" si="66"/>
        <v>9.7999999999999997E-3</v>
      </c>
      <c r="Q29" s="1473">
        <f t="shared" si="66"/>
        <v>9.0000000000000011E-3</v>
      </c>
      <c r="R29" s="1474"/>
      <c r="S29" s="1475"/>
      <c r="T29" s="1476"/>
      <c r="U29" s="1476"/>
      <c r="V29" s="1476"/>
      <c r="X29" s="1476"/>
      <c r="Y29" s="1476"/>
      <c r="Z29" s="1476"/>
    </row>
    <row r="30" spans="1:34">
      <c r="A30" s="1461" t="s">
        <v>1168</v>
      </c>
      <c r="B30" s="1477">
        <f>B29/(1+N29)</f>
        <v>275.49301357645425</v>
      </c>
      <c r="C30" s="1477">
        <f>C29/(1+O29)</f>
        <v>232.41954707985698</v>
      </c>
      <c r="D30" s="1477">
        <f t="shared" si="64"/>
        <v>232.41954707985698</v>
      </c>
      <c r="E30" s="1477">
        <f t="shared" ref="E30:F32" si="75">E29/(1+P29)</f>
        <v>375.32184591008121</v>
      </c>
      <c r="F30" s="1477">
        <f t="shared" si="75"/>
        <v>218.03766105054513</v>
      </c>
      <c r="G30" s="3283"/>
      <c r="H30" s="1487">
        <v>3</v>
      </c>
      <c r="I30" s="1487">
        <v>0.09</v>
      </c>
      <c r="J30" s="1487">
        <v>0.28999999999999998</v>
      </c>
      <c r="K30" s="1487">
        <v>-0.01</v>
      </c>
      <c r="L30" s="1488">
        <v>0.57999999999999996</v>
      </c>
      <c r="N30" s="1472">
        <f t="shared" si="66"/>
        <v>8.9999999999999998E-4</v>
      </c>
      <c r="O30" s="1473">
        <f t="shared" si="66"/>
        <v>2.8999999999999998E-3</v>
      </c>
      <c r="P30" s="1473">
        <f t="shared" si="66"/>
        <v>-1E-4</v>
      </c>
      <c r="Q30" s="1473">
        <f t="shared" si="66"/>
        <v>5.7999999999999996E-3</v>
      </c>
      <c r="R30" s="1474"/>
      <c r="S30" s="1472"/>
      <c r="T30" s="1473"/>
      <c r="U30" s="1473"/>
      <c r="V30" s="1473"/>
    </row>
    <row r="31" spans="1:34">
      <c r="A31" s="1461" t="s">
        <v>1169</v>
      </c>
      <c r="B31" s="1477">
        <f>B30/(1+N30)</f>
        <v>275.24529281292263</v>
      </c>
      <c r="C31" s="1477">
        <f>C30/(1+O30)</f>
        <v>231.74747938962707</v>
      </c>
      <c r="D31" s="1477">
        <f t="shared" si="64"/>
        <v>231.74747938962707</v>
      </c>
      <c r="E31" s="1477">
        <f t="shared" si="75"/>
        <v>375.35938184826603</v>
      </c>
      <c r="F31" s="1477">
        <f t="shared" si="75"/>
        <v>216.78033510692495</v>
      </c>
      <c r="G31" s="3283"/>
      <c r="H31" s="1465">
        <v>2</v>
      </c>
      <c r="I31" s="1465">
        <v>0.02</v>
      </c>
      <c r="J31" s="1465">
        <v>0.12</v>
      </c>
      <c r="K31" s="1465">
        <v>-0.08</v>
      </c>
      <c r="L31" s="1479">
        <v>1.24</v>
      </c>
      <c r="N31" s="1472">
        <f t="shared" si="66"/>
        <v>2.0000000000000001E-4</v>
      </c>
      <c r="O31" s="1473">
        <f t="shared" si="66"/>
        <v>1.1999999999999999E-3</v>
      </c>
      <c r="P31" s="1473">
        <f t="shared" si="66"/>
        <v>-8.0000000000000004E-4</v>
      </c>
      <c r="Q31" s="1473">
        <f t="shared" si="66"/>
        <v>1.24E-2</v>
      </c>
      <c r="R31" s="1474"/>
      <c r="S31" s="1472"/>
      <c r="T31" s="1473"/>
      <c r="U31" s="1473"/>
      <c r="V31" s="1473"/>
    </row>
    <row r="32" spans="1:34" ht="13.5" thickBot="1">
      <c r="A32" s="1461" t="s">
        <v>1170</v>
      </c>
      <c r="B32" s="1477">
        <f>B31/(1+N31)</f>
        <v>275.19025476197027</v>
      </c>
      <c r="C32" s="1513">
        <v>232</v>
      </c>
      <c r="D32" s="1513">
        <f t="shared" si="64"/>
        <v>232</v>
      </c>
      <c r="E32" s="1477">
        <f t="shared" si="75"/>
        <v>375.65990977608692</v>
      </c>
      <c r="F32" s="1477">
        <f t="shared" si="75"/>
        <v>214.12518283971252</v>
      </c>
      <c r="G32" s="3284"/>
      <c r="H32" s="1464">
        <v>1</v>
      </c>
      <c r="I32" s="1464">
        <v>0.02</v>
      </c>
      <c r="J32" s="1464">
        <v>0.13</v>
      </c>
      <c r="K32" s="1464">
        <v>-0.04</v>
      </c>
      <c r="L32" s="1478">
        <v>0.46</v>
      </c>
      <c r="N32" s="1472">
        <f t="shared" si="66"/>
        <v>2.0000000000000001E-4</v>
      </c>
      <c r="O32" s="1473">
        <f t="shared" si="66"/>
        <v>1.2999999999999999E-3</v>
      </c>
      <c r="P32" s="1473">
        <f t="shared" si="66"/>
        <v>-4.0000000000000002E-4</v>
      </c>
      <c r="Q32" s="1473">
        <f t="shared" si="66"/>
        <v>4.5999999999999999E-3</v>
      </c>
      <c r="R32" s="1474"/>
      <c r="S32" s="1480">
        <f>B32/B33-1</f>
        <v>6.9183549807361189E-4</v>
      </c>
      <c r="T32" s="1481">
        <f>C32/C33-1</f>
        <v>0</v>
      </c>
      <c r="U32" s="1481">
        <f>E32/E33-1</f>
        <v>-9.0449527636460303E-4</v>
      </c>
      <c r="V32" s="1481">
        <f>F32/F33-1</f>
        <v>5.2825485432512753E-3</v>
      </c>
      <c r="X32" s="1460"/>
      <c r="Y32" s="1460"/>
      <c r="Z32" s="1460"/>
    </row>
    <row r="33" spans="1:26" ht="13.5" thickBot="1">
      <c r="A33" s="1461" t="s">
        <v>1171</v>
      </c>
      <c r="B33" s="1469">
        <v>275</v>
      </c>
      <c r="C33" s="1469">
        <v>232</v>
      </c>
      <c r="D33" s="1469">
        <f t="shared" si="64"/>
        <v>232</v>
      </c>
      <c r="E33" s="1469">
        <v>376</v>
      </c>
      <c r="F33" s="1470">
        <v>213</v>
      </c>
      <c r="G33" s="3282">
        <v>2011</v>
      </c>
      <c r="H33" s="1482">
        <v>4</v>
      </c>
      <c r="I33" s="1482">
        <v>-0.2</v>
      </c>
      <c r="J33" s="1482">
        <v>0.04</v>
      </c>
      <c r="K33" s="1482">
        <v>-0.34</v>
      </c>
      <c r="L33" s="1483">
        <v>0.46</v>
      </c>
      <c r="N33" s="1484">
        <f t="shared" si="66"/>
        <v>-2E-3</v>
      </c>
      <c r="O33" s="1485">
        <f t="shared" si="66"/>
        <v>4.0000000000000002E-4</v>
      </c>
      <c r="P33" s="1485">
        <f t="shared" si="66"/>
        <v>-3.4000000000000002E-3</v>
      </c>
      <c r="Q33" s="1485">
        <f t="shared" si="66"/>
        <v>4.5999999999999999E-3</v>
      </c>
      <c r="R33" s="1474"/>
      <c r="S33" s="1475"/>
      <c r="T33" s="1476"/>
      <c r="U33" s="1476"/>
      <c r="V33" s="1476"/>
      <c r="X33" s="1476"/>
      <c r="Y33" s="1476"/>
      <c r="Z33" s="1476"/>
    </row>
    <row r="34" spans="1:26">
      <c r="A34" s="1461" t="s">
        <v>1172</v>
      </c>
      <c r="B34" s="1477">
        <f t="shared" ref="B34:C36" si="76">B33/(1+N33)</f>
        <v>275.55110220440883</v>
      </c>
      <c r="C34" s="1477">
        <f t="shared" si="76"/>
        <v>231.90723710515795</v>
      </c>
      <c r="D34" s="1477">
        <f t="shared" si="64"/>
        <v>231.90723710515795</v>
      </c>
      <c r="E34" s="1477">
        <f t="shared" ref="E34:F36" si="77">E33/(1+P33)</f>
        <v>377.28276138872161</v>
      </c>
      <c r="F34" s="1477">
        <f t="shared" si="77"/>
        <v>212.02468644236512</v>
      </c>
      <c r="G34" s="3283">
        <v>2011</v>
      </c>
      <c r="H34" s="1487">
        <v>3</v>
      </c>
      <c r="I34" s="1487">
        <v>0.13</v>
      </c>
      <c r="J34" s="1487">
        <v>0.75</v>
      </c>
      <c r="K34" s="1487">
        <v>-0.08</v>
      </c>
      <c r="L34" s="1488">
        <v>0.53</v>
      </c>
      <c r="N34" s="1472">
        <f t="shared" si="66"/>
        <v>1.2999999999999999E-3</v>
      </c>
      <c r="O34" s="1489">
        <f t="shared" si="66"/>
        <v>7.4999999999999997E-3</v>
      </c>
      <c r="P34" s="1489">
        <f t="shared" si="66"/>
        <v>-8.0000000000000004E-4</v>
      </c>
      <c r="Q34" s="1489">
        <f t="shared" si="66"/>
        <v>5.3E-3</v>
      </c>
      <c r="R34" s="1474"/>
      <c r="S34" s="1472"/>
      <c r="T34" s="1473"/>
      <c r="U34" s="1473"/>
      <c r="V34" s="1473"/>
    </row>
    <row r="35" spans="1:26">
      <c r="A35" s="1461" t="s">
        <v>1173</v>
      </c>
      <c r="B35" s="1477">
        <f t="shared" si="76"/>
        <v>275.19335084830601</v>
      </c>
      <c r="C35" s="1477">
        <f t="shared" si="76"/>
        <v>230.18088050139744</v>
      </c>
      <c r="D35" s="1477">
        <f t="shared" si="64"/>
        <v>230.18088050139744</v>
      </c>
      <c r="E35" s="1477">
        <f t="shared" si="77"/>
        <v>377.58482925212331</v>
      </c>
      <c r="F35" s="1477">
        <f t="shared" si="77"/>
        <v>210.90687997847917</v>
      </c>
      <c r="G35" s="3283">
        <v>2011</v>
      </c>
      <c r="H35" s="1465">
        <v>2</v>
      </c>
      <c r="I35" s="1465">
        <v>-0.4</v>
      </c>
      <c r="J35" s="1465">
        <v>0.17</v>
      </c>
      <c r="K35" s="1465">
        <v>-0.57999999999999996</v>
      </c>
      <c r="L35" s="1479">
        <v>-0.2</v>
      </c>
      <c r="N35" s="1472">
        <f t="shared" si="66"/>
        <v>-4.0000000000000001E-3</v>
      </c>
      <c r="O35" s="1489">
        <f t="shared" si="66"/>
        <v>1.7000000000000001E-3</v>
      </c>
      <c r="P35" s="1489">
        <f t="shared" si="66"/>
        <v>-5.7999999999999996E-3</v>
      </c>
      <c r="Q35" s="1489">
        <f t="shared" si="66"/>
        <v>-2E-3</v>
      </c>
      <c r="R35" s="1474"/>
      <c r="S35" s="1472"/>
      <c r="T35" s="1473"/>
      <c r="U35" s="1473"/>
      <c r="V35" s="1473"/>
    </row>
    <row r="36" spans="1:26" ht="13.5" thickBot="1">
      <c r="A36" s="1461" t="s">
        <v>1174</v>
      </c>
      <c r="B36" s="1477">
        <f t="shared" si="76"/>
        <v>276.29854502841971</v>
      </c>
      <c r="C36" s="1477">
        <f t="shared" si="76"/>
        <v>229.79023709833027</v>
      </c>
      <c r="D36" s="1477">
        <f t="shared" si="64"/>
        <v>229.79023709833027</v>
      </c>
      <c r="E36" s="1477">
        <f t="shared" si="77"/>
        <v>379.78759731655936</v>
      </c>
      <c r="F36" s="1477">
        <f t="shared" si="77"/>
        <v>211.32953905659235</v>
      </c>
      <c r="G36" s="3284">
        <v>2011</v>
      </c>
      <c r="H36" s="1464">
        <v>1</v>
      </c>
      <c r="I36" s="1464">
        <v>2.65</v>
      </c>
      <c r="J36" s="1464">
        <v>3.76</v>
      </c>
      <c r="K36" s="1464">
        <v>1.89</v>
      </c>
      <c r="L36" s="1478">
        <v>7.95</v>
      </c>
      <c r="N36" s="1480">
        <f t="shared" si="66"/>
        <v>2.6499999999999999E-2</v>
      </c>
      <c r="O36" s="1481">
        <f t="shared" si="66"/>
        <v>3.7599999999999995E-2</v>
      </c>
      <c r="P36" s="1481">
        <f t="shared" si="66"/>
        <v>1.89E-2</v>
      </c>
      <c r="Q36" s="1481">
        <f t="shared" si="66"/>
        <v>7.9500000000000001E-2</v>
      </c>
      <c r="R36" s="1474"/>
      <c r="S36" s="1480">
        <f>B36/B37-1</f>
        <v>2.713213765211786E-2</v>
      </c>
      <c r="T36" s="1481">
        <f>C36/C37-1</f>
        <v>3.9774828499231862E-2</v>
      </c>
      <c r="U36" s="1481">
        <f>E36/E37-1</f>
        <v>1.8197311840641772E-2</v>
      </c>
      <c r="V36" s="1481">
        <f>F36/F37-1</f>
        <v>7.8211933962205826E-2</v>
      </c>
      <c r="X36" s="1460"/>
      <c r="Y36" s="1460"/>
      <c r="Z36" s="1460"/>
    </row>
    <row r="37" spans="1:26" ht="13.5" thickBot="1">
      <c r="A37" s="1461" t="s">
        <v>1175</v>
      </c>
      <c r="B37" s="1469">
        <v>269</v>
      </c>
      <c r="C37" s="1469">
        <v>221</v>
      </c>
      <c r="D37" s="1469">
        <f t="shared" si="64"/>
        <v>221</v>
      </c>
      <c r="E37" s="1469">
        <v>373</v>
      </c>
      <c r="F37" s="1470">
        <v>196</v>
      </c>
      <c r="G37" s="3282">
        <v>2010</v>
      </c>
      <c r="H37" s="1482">
        <v>4</v>
      </c>
      <c r="I37" s="1482">
        <v>5.72</v>
      </c>
      <c r="J37" s="1482">
        <v>6.57</v>
      </c>
      <c r="K37" s="1482">
        <v>5.72</v>
      </c>
      <c r="L37" s="1483">
        <v>2.72</v>
      </c>
      <c r="N37" s="1472">
        <f t="shared" si="66"/>
        <v>5.7200000000000001E-2</v>
      </c>
      <c r="O37" s="1473">
        <f t="shared" si="66"/>
        <v>6.5700000000000008E-2</v>
      </c>
      <c r="P37" s="1473">
        <f t="shared" si="66"/>
        <v>5.7200000000000001E-2</v>
      </c>
      <c r="Q37" s="1473">
        <f t="shared" si="66"/>
        <v>2.7200000000000002E-2</v>
      </c>
      <c r="R37" s="1474"/>
      <c r="S37" s="1475"/>
      <c r="T37" s="1476"/>
      <c r="U37" s="1476"/>
      <c r="V37" s="1476"/>
      <c r="X37" s="1476"/>
      <c r="Y37" s="1476"/>
      <c r="Z37" s="1476"/>
    </row>
    <row r="38" spans="1:26">
      <c r="A38" s="1461" t="s">
        <v>1176</v>
      </c>
      <c r="B38" s="1477">
        <f t="shared" ref="B38:C40" si="78">B37/(1+N37)</f>
        <v>254.44570563753314</v>
      </c>
      <c r="C38" s="1477">
        <f t="shared" si="78"/>
        <v>207.37543398705074</v>
      </c>
      <c r="D38" s="1477">
        <f t="shared" si="64"/>
        <v>207.37543398705074</v>
      </c>
      <c r="E38" s="1477">
        <f t="shared" ref="E38:F40" si="79">E37/(1+P37)</f>
        <v>352.81876655315932</v>
      </c>
      <c r="F38" s="1477">
        <f t="shared" si="79"/>
        <v>190.809968847352</v>
      </c>
      <c r="G38" s="3283">
        <v>2010</v>
      </c>
      <c r="H38" s="1487">
        <v>3</v>
      </c>
      <c r="I38" s="1487">
        <v>4.7300000000000004</v>
      </c>
      <c r="J38" s="1487">
        <v>3.9</v>
      </c>
      <c r="K38" s="1487">
        <v>5.03</v>
      </c>
      <c r="L38" s="1488">
        <v>4.21</v>
      </c>
      <c r="N38" s="1472">
        <f t="shared" si="66"/>
        <v>4.7300000000000002E-2</v>
      </c>
      <c r="O38" s="1473">
        <f t="shared" si="66"/>
        <v>3.9E-2</v>
      </c>
      <c r="P38" s="1473">
        <f t="shared" si="66"/>
        <v>5.0300000000000004E-2</v>
      </c>
      <c r="Q38" s="1473">
        <f t="shared" si="66"/>
        <v>4.2099999999999999E-2</v>
      </c>
      <c r="R38" s="1474"/>
      <c r="S38" s="1472"/>
      <c r="T38" s="1473"/>
      <c r="U38" s="1473"/>
      <c r="V38" s="1473"/>
    </row>
    <row r="39" spans="1:26">
      <c r="A39" s="1461" t="s">
        <v>1177</v>
      </c>
      <c r="B39" s="1477">
        <f t="shared" si="78"/>
        <v>242.95398227588385</v>
      </c>
      <c r="C39" s="1477">
        <f t="shared" si="78"/>
        <v>199.59137053614126</v>
      </c>
      <c r="D39" s="1477">
        <f t="shared" si="64"/>
        <v>199.59137053614126</v>
      </c>
      <c r="E39" s="1477">
        <f t="shared" si="79"/>
        <v>335.92189522342125</v>
      </c>
      <c r="F39" s="1477">
        <f t="shared" si="79"/>
        <v>183.10139991109489</v>
      </c>
      <c r="G39" s="3283">
        <v>2010</v>
      </c>
      <c r="H39" s="1465">
        <v>2</v>
      </c>
      <c r="I39" s="1465">
        <v>4.6900000000000004</v>
      </c>
      <c r="J39" s="1465">
        <v>3.55</v>
      </c>
      <c r="K39" s="1465">
        <v>5.07</v>
      </c>
      <c r="L39" s="1479">
        <v>4.2300000000000004</v>
      </c>
      <c r="N39" s="1472">
        <f t="shared" si="66"/>
        <v>4.6900000000000004E-2</v>
      </c>
      <c r="O39" s="1473">
        <f t="shared" si="66"/>
        <v>3.5499999999999997E-2</v>
      </c>
      <c r="P39" s="1473">
        <f t="shared" si="66"/>
        <v>5.0700000000000002E-2</v>
      </c>
      <c r="Q39" s="1473">
        <f t="shared" si="66"/>
        <v>4.2300000000000004E-2</v>
      </c>
      <c r="R39" s="1474"/>
      <c r="S39" s="1472"/>
      <c r="T39" s="1473"/>
      <c r="U39" s="1473"/>
      <c r="V39" s="1473"/>
    </row>
    <row r="40" spans="1:26" ht="13.5" thickBot="1">
      <c r="A40" s="1461" t="s">
        <v>1178</v>
      </c>
      <c r="B40" s="1477">
        <f t="shared" si="78"/>
        <v>232.06990378821649</v>
      </c>
      <c r="C40" s="1477">
        <f t="shared" si="78"/>
        <v>192.74878854286936</v>
      </c>
      <c r="D40" s="1477">
        <f t="shared" si="64"/>
        <v>192.74878854286936</v>
      </c>
      <c r="E40" s="1477">
        <f t="shared" si="79"/>
        <v>319.71247284992984</v>
      </c>
      <c r="F40" s="1477">
        <f t="shared" si="79"/>
        <v>175.67053622862409</v>
      </c>
      <c r="G40" s="3284">
        <v>2010</v>
      </c>
      <c r="H40" s="1464">
        <v>1</v>
      </c>
      <c r="I40" s="1464">
        <v>5.4</v>
      </c>
      <c r="J40" s="1464">
        <v>3.2</v>
      </c>
      <c r="K40" s="1464">
        <v>6.16</v>
      </c>
      <c r="L40" s="1478">
        <v>4.51</v>
      </c>
      <c r="N40" s="1472">
        <f t="shared" si="66"/>
        <v>5.4000000000000006E-2</v>
      </c>
      <c r="O40" s="1473">
        <f t="shared" si="66"/>
        <v>3.2000000000000001E-2</v>
      </c>
      <c r="P40" s="1473">
        <f t="shared" si="66"/>
        <v>6.1600000000000002E-2</v>
      </c>
      <c r="Q40" s="1473">
        <f t="shared" si="66"/>
        <v>4.5100000000000001E-2</v>
      </c>
      <c r="R40" s="1474"/>
      <c r="S40" s="1480">
        <f>B40/B41-1</f>
        <v>5.4863199037347599E-2</v>
      </c>
      <c r="T40" s="1481">
        <f>C40/C41-1</f>
        <v>3.0742184721226584E-2</v>
      </c>
      <c r="U40" s="1481">
        <f>E40/E41-1</f>
        <v>6.2167683886810154E-2</v>
      </c>
      <c r="V40" s="1481">
        <f>F40/F41-1</f>
        <v>4.5657953741810031E-2</v>
      </c>
      <c r="X40" s="1460"/>
      <c r="Y40" s="1460"/>
      <c r="Z40" s="1460"/>
    </row>
    <row r="41" spans="1:26" ht="13.5" thickBot="1">
      <c r="A41" s="1461" t="s">
        <v>1179</v>
      </c>
      <c r="B41" s="1469">
        <v>220</v>
      </c>
      <c r="C41" s="1469">
        <v>187</v>
      </c>
      <c r="D41" s="1469">
        <f t="shared" si="64"/>
        <v>187</v>
      </c>
      <c r="E41" s="1469">
        <v>301</v>
      </c>
      <c r="F41" s="1470">
        <v>168</v>
      </c>
      <c r="G41" s="3282">
        <v>2009</v>
      </c>
      <c r="H41" s="1482">
        <v>4</v>
      </c>
      <c r="I41" s="1482">
        <v>2.2999999999999998</v>
      </c>
      <c r="J41" s="1482">
        <v>1.04</v>
      </c>
      <c r="K41" s="1482">
        <v>2.84</v>
      </c>
      <c r="L41" s="1483">
        <v>0.67</v>
      </c>
      <c r="N41" s="1484">
        <f t="shared" si="66"/>
        <v>2.3E-2</v>
      </c>
      <c r="O41" s="1485">
        <f t="shared" si="66"/>
        <v>1.04E-2</v>
      </c>
      <c r="P41" s="1485">
        <f t="shared" si="66"/>
        <v>2.8399999999999998E-2</v>
      </c>
      <c r="Q41" s="1485">
        <f t="shared" si="66"/>
        <v>6.7000000000000002E-3</v>
      </c>
      <c r="R41" s="1474"/>
      <c r="S41" s="1475"/>
      <c r="T41" s="1476"/>
      <c r="U41" s="1476"/>
      <c r="V41" s="1476"/>
      <c r="X41" s="1476"/>
      <c r="Y41" s="1476"/>
      <c r="Z41" s="1476"/>
    </row>
    <row r="42" spans="1:26">
      <c r="A42" s="1461" t="s">
        <v>1180</v>
      </c>
      <c r="B42" s="1477">
        <f t="shared" ref="B42:C44" si="80">B41/(1+N41)</f>
        <v>215.05376344086022</v>
      </c>
      <c r="C42" s="1477">
        <f t="shared" si="80"/>
        <v>185.0752177355503</v>
      </c>
      <c r="D42" s="1477">
        <f t="shared" si="64"/>
        <v>185.0752177355503</v>
      </c>
      <c r="E42" s="1477">
        <f t="shared" ref="E42:F44" si="81">E41/(1+P41)</f>
        <v>292.68767016725008</v>
      </c>
      <c r="F42" s="1477">
        <f t="shared" si="81"/>
        <v>166.88189132810174</v>
      </c>
      <c r="G42" s="3283">
        <v>2009</v>
      </c>
      <c r="H42" s="1487">
        <v>3</v>
      </c>
      <c r="I42" s="1487">
        <v>2.1</v>
      </c>
      <c r="J42" s="1487">
        <v>1.86</v>
      </c>
      <c r="K42" s="1487">
        <v>2.29</v>
      </c>
      <c r="L42" s="1488">
        <v>0.85</v>
      </c>
      <c r="N42" s="1472">
        <f t="shared" si="66"/>
        <v>2.1000000000000001E-2</v>
      </c>
      <c r="O42" s="1489">
        <f t="shared" si="66"/>
        <v>1.8600000000000002E-2</v>
      </c>
      <c r="P42" s="1489">
        <f t="shared" si="66"/>
        <v>2.29E-2</v>
      </c>
      <c r="Q42" s="1489">
        <f t="shared" si="66"/>
        <v>8.5000000000000006E-3</v>
      </c>
      <c r="R42" s="1474"/>
      <c r="S42" s="1472"/>
      <c r="T42" s="1473"/>
      <c r="U42" s="1473"/>
      <c r="V42" s="1473"/>
    </row>
    <row r="43" spans="1:26">
      <c r="A43" s="1461" t="s">
        <v>1181</v>
      </c>
      <c r="B43" s="1477">
        <f t="shared" si="80"/>
        <v>210.630522469011</v>
      </c>
      <c r="C43" s="1477">
        <f t="shared" si="80"/>
        <v>181.69567812247232</v>
      </c>
      <c r="D43" s="1477">
        <f t="shared" si="64"/>
        <v>181.69567812247232</v>
      </c>
      <c r="E43" s="1477">
        <f t="shared" si="81"/>
        <v>286.13517466736738</v>
      </c>
      <c r="F43" s="1477">
        <f t="shared" si="81"/>
        <v>165.47535084591149</v>
      </c>
      <c r="G43" s="3283">
        <v>2009</v>
      </c>
      <c r="H43" s="1465">
        <v>2</v>
      </c>
      <c r="I43" s="1465">
        <v>0.86</v>
      </c>
      <c r="J43" s="1465">
        <v>-1.1299999999999999</v>
      </c>
      <c r="K43" s="1465">
        <v>1.79</v>
      </c>
      <c r="L43" s="1479">
        <v>-2.0699999999999998</v>
      </c>
      <c r="N43" s="1472">
        <f t="shared" si="66"/>
        <v>8.6E-3</v>
      </c>
      <c r="O43" s="1489">
        <f t="shared" si="66"/>
        <v>-1.1299999999999999E-2</v>
      </c>
      <c r="P43" s="1489">
        <f t="shared" si="66"/>
        <v>1.7899999999999999E-2</v>
      </c>
      <c r="Q43" s="1489">
        <f t="shared" si="66"/>
        <v>-2.07E-2</v>
      </c>
      <c r="R43" s="1474"/>
      <c r="S43" s="1472"/>
      <c r="T43" s="1473"/>
      <c r="U43" s="1473"/>
      <c r="V43" s="1473"/>
    </row>
    <row r="44" spans="1:26">
      <c r="A44" s="1461" t="s">
        <v>1182</v>
      </c>
      <c r="B44" s="1477">
        <f t="shared" si="80"/>
        <v>208.83454537875372</v>
      </c>
      <c r="C44" s="1477">
        <f t="shared" si="80"/>
        <v>183.77230517090351</v>
      </c>
      <c r="D44" s="1477">
        <f t="shared" si="64"/>
        <v>183.77230517090351</v>
      </c>
      <c r="E44" s="1477">
        <f t="shared" si="81"/>
        <v>281.10342338870947</v>
      </c>
      <c r="F44" s="1477">
        <f t="shared" si="81"/>
        <v>168.97309388942256</v>
      </c>
      <c r="G44" s="3284">
        <v>2009</v>
      </c>
      <c r="H44" s="1464">
        <v>1</v>
      </c>
      <c r="I44" s="1464">
        <v>-2.64</v>
      </c>
      <c r="J44" s="1464">
        <v>-2.5299999999999998</v>
      </c>
      <c r="K44" s="1464">
        <v>-3.02</v>
      </c>
      <c r="L44" s="1478">
        <v>1.52</v>
      </c>
      <c r="N44" s="1480">
        <f t="shared" si="66"/>
        <v>-2.64E-2</v>
      </c>
      <c r="O44" s="1481">
        <f t="shared" si="66"/>
        <v>-2.53E-2</v>
      </c>
      <c r="P44" s="1481">
        <f t="shared" si="66"/>
        <v>-3.0200000000000001E-2</v>
      </c>
      <c r="Q44" s="1481">
        <f t="shared" si="66"/>
        <v>1.52E-2</v>
      </c>
      <c r="R44" s="1474"/>
      <c r="S44" s="1480">
        <f>B44/B45-1</f>
        <v>-2.4137638417038754E-2</v>
      </c>
      <c r="T44" s="1481">
        <f>C44/C45-1</f>
        <v>-2.248773845264096E-2</v>
      </c>
      <c r="U44" s="1481">
        <f>E44/E45-1</f>
        <v>-2.7323794502735366E-2</v>
      </c>
      <c r="V44" s="1481">
        <f>F44/F45-1</f>
        <v>1.7910204153148035E-2</v>
      </c>
      <c r="X44" s="1460"/>
      <c r="Y44" s="1460"/>
      <c r="Z44" s="1460"/>
    </row>
    <row r="45" spans="1:26" ht="13.5" thickBot="1">
      <c r="A45" s="1461" t="s">
        <v>1183</v>
      </c>
      <c r="B45" s="1511">
        <v>214</v>
      </c>
      <c r="C45" s="1511">
        <v>188</v>
      </c>
      <c r="D45" s="1511">
        <f t="shared" si="64"/>
        <v>188</v>
      </c>
      <c r="E45" s="1511">
        <v>289</v>
      </c>
      <c r="F45" s="1512">
        <v>166</v>
      </c>
      <c r="G45" s="3282">
        <v>2008</v>
      </c>
      <c r="H45" s="1482">
        <v>4</v>
      </c>
      <c r="I45" s="1482">
        <v>1.73</v>
      </c>
      <c r="J45" s="1482">
        <v>0.03</v>
      </c>
      <c r="K45" s="1482">
        <v>2.59</v>
      </c>
      <c r="L45" s="1483">
        <v>-1.66</v>
      </c>
      <c r="N45" s="1472">
        <f t="shared" si="66"/>
        <v>1.7299999999999999E-2</v>
      </c>
      <c r="O45" s="1473">
        <f t="shared" si="66"/>
        <v>2.9999999999999997E-4</v>
      </c>
      <c r="P45" s="1473">
        <f t="shared" si="66"/>
        <v>2.5899999999999999E-2</v>
      </c>
      <c r="Q45" s="1473">
        <f t="shared" si="66"/>
        <v>-1.66E-2</v>
      </c>
      <c r="R45" s="1474"/>
      <c r="S45" s="1475"/>
      <c r="T45" s="1476"/>
      <c r="U45" s="1476"/>
      <c r="V45" s="1476"/>
      <c r="X45" s="1476"/>
      <c r="Y45" s="1476"/>
      <c r="Z45" s="1476"/>
    </row>
    <row r="46" spans="1:26">
      <c r="A46" s="1461" t="s">
        <v>1184</v>
      </c>
      <c r="B46" s="1477">
        <f t="shared" ref="B46:C48" si="82">B45/(1+N45)</f>
        <v>210.36075887152265</v>
      </c>
      <c r="C46" s="1477">
        <f t="shared" si="82"/>
        <v>187.94361691492554</v>
      </c>
      <c r="D46" s="1477">
        <f t="shared" si="64"/>
        <v>187.94361691492554</v>
      </c>
      <c r="E46" s="1477">
        <f t="shared" ref="E46:F48" si="83">E45/(1+P45)</f>
        <v>281.70386977288234</v>
      </c>
      <c r="F46" s="1477">
        <f t="shared" si="83"/>
        <v>168.80211511083994</v>
      </c>
      <c r="G46" s="3283">
        <v>2008</v>
      </c>
      <c r="H46" s="1487">
        <v>3</v>
      </c>
      <c r="I46" s="1487">
        <v>1.96</v>
      </c>
      <c r="J46" s="1487">
        <v>2.36</v>
      </c>
      <c r="K46" s="1487">
        <v>1.82</v>
      </c>
      <c r="L46" s="1488">
        <v>2.2200000000000002</v>
      </c>
      <c r="N46" s="1472">
        <f t="shared" si="66"/>
        <v>1.9599999999999999E-2</v>
      </c>
      <c r="O46" s="1473">
        <f t="shared" si="66"/>
        <v>2.3599999999999999E-2</v>
      </c>
      <c r="P46" s="1473">
        <f t="shared" si="66"/>
        <v>1.8200000000000001E-2</v>
      </c>
      <c r="Q46" s="1473">
        <f t="shared" si="66"/>
        <v>2.2200000000000001E-2</v>
      </c>
      <c r="R46" s="1474"/>
      <c r="S46" s="1472"/>
      <c r="T46" s="1473"/>
      <c r="U46" s="1473"/>
      <c r="V46" s="1473"/>
    </row>
    <row r="47" spans="1:26">
      <c r="A47" s="1461" t="s">
        <v>1185</v>
      </c>
      <c r="B47" s="1477">
        <f t="shared" si="82"/>
        <v>206.31694671589116</v>
      </c>
      <c r="C47" s="1477">
        <f t="shared" si="82"/>
        <v>183.61041121036101</v>
      </c>
      <c r="D47" s="1477">
        <f t="shared" si="64"/>
        <v>183.61041121036101</v>
      </c>
      <c r="E47" s="1477">
        <f t="shared" si="83"/>
        <v>276.66850301795557</v>
      </c>
      <c r="F47" s="1477">
        <f t="shared" si="83"/>
        <v>165.1360938278614</v>
      </c>
      <c r="G47" s="3283">
        <v>2008</v>
      </c>
      <c r="H47" s="1465">
        <v>2</v>
      </c>
      <c r="I47" s="1465">
        <v>4.93</v>
      </c>
      <c r="J47" s="1465">
        <v>7.38</v>
      </c>
      <c r="K47" s="1465">
        <v>3.98</v>
      </c>
      <c r="L47" s="1479">
        <v>6.86</v>
      </c>
      <c r="N47" s="1472">
        <f t="shared" si="66"/>
        <v>4.9299999999999997E-2</v>
      </c>
      <c r="O47" s="1473">
        <f t="shared" si="66"/>
        <v>7.3800000000000004E-2</v>
      </c>
      <c r="P47" s="1473">
        <f t="shared" si="66"/>
        <v>3.9800000000000002E-2</v>
      </c>
      <c r="Q47" s="1473">
        <f t="shared" si="66"/>
        <v>6.8600000000000008E-2</v>
      </c>
      <c r="R47" s="1474"/>
      <c r="S47" s="1472"/>
      <c r="T47" s="1473"/>
      <c r="U47" s="1473"/>
      <c r="V47" s="1473"/>
    </row>
    <row r="48" spans="1:26" s="1517" customFormat="1" ht="13.5" thickBot="1">
      <c r="A48" s="1461" t="s">
        <v>1186</v>
      </c>
      <c r="B48" s="1514">
        <f t="shared" si="82"/>
        <v>196.62341248059772</v>
      </c>
      <c r="C48" s="1514">
        <f t="shared" si="82"/>
        <v>170.99125648199012</v>
      </c>
      <c r="D48" s="1514">
        <f t="shared" si="64"/>
        <v>170.99125648199012</v>
      </c>
      <c r="E48" s="1514">
        <f t="shared" si="83"/>
        <v>266.07857570490052</v>
      </c>
      <c r="F48" s="1514">
        <f t="shared" si="83"/>
        <v>154.53499328828505</v>
      </c>
      <c r="G48" s="3284">
        <v>2008</v>
      </c>
      <c r="H48" s="1515">
        <v>1</v>
      </c>
      <c r="I48" s="1515">
        <v>4.1399999999999997</v>
      </c>
      <c r="J48" s="1515">
        <v>3.45</v>
      </c>
      <c r="K48" s="1515">
        <v>4.95</v>
      </c>
      <c r="L48" s="1516">
        <v>4.82</v>
      </c>
      <c r="N48" s="1518">
        <f t="shared" si="66"/>
        <v>4.1399999999999999E-2</v>
      </c>
      <c r="O48" s="1519">
        <f t="shared" si="66"/>
        <v>3.4500000000000003E-2</v>
      </c>
      <c r="P48" s="1519">
        <f t="shared" si="66"/>
        <v>4.9500000000000002E-2</v>
      </c>
      <c r="Q48" s="1519">
        <f t="shared" si="66"/>
        <v>4.82E-2</v>
      </c>
      <c r="R48" s="1520"/>
      <c r="S48" s="1518">
        <f>B48/B49-1</f>
        <v>4.5869215322328349E-2</v>
      </c>
      <c r="T48" s="1519">
        <f>C48/C49-1</f>
        <v>3.6310645345394743E-2</v>
      </c>
      <c r="U48" s="1519">
        <f>E48/E49-1</f>
        <v>4.7553447657088688E-2</v>
      </c>
      <c r="V48" s="1519">
        <f>F48/F49-1</f>
        <v>4.4155360055980086E-2</v>
      </c>
      <c r="X48" s="1521"/>
      <c r="Y48" s="1521"/>
      <c r="Z48" s="1521"/>
    </row>
    <row r="49" spans="1:26" ht="13.5" thickBot="1">
      <c r="A49" s="1461" t="s">
        <v>1187</v>
      </c>
      <c r="B49" s="1469">
        <v>188</v>
      </c>
      <c r="C49" s="1469">
        <v>165</v>
      </c>
      <c r="D49" s="1469">
        <f t="shared" si="64"/>
        <v>165</v>
      </c>
      <c r="E49" s="1469">
        <v>254</v>
      </c>
      <c r="F49" s="1470">
        <v>148</v>
      </c>
      <c r="G49" s="3282">
        <v>2007</v>
      </c>
      <c r="H49" s="1522">
        <v>4</v>
      </c>
      <c r="I49" s="1522">
        <v>5.51</v>
      </c>
      <c r="J49" s="1522">
        <v>4.8899999999999997</v>
      </c>
      <c r="K49" s="1522">
        <v>6.43</v>
      </c>
      <c r="L49" s="1523">
        <v>5.36</v>
      </c>
      <c r="N49" s="1524">
        <f t="shared" ref="N49:O52" si="84">B49/B50-1</f>
        <v>4.1339718365245526E-2</v>
      </c>
      <c r="O49" s="1525">
        <f t="shared" si="84"/>
        <v>4.0324492593776018E-2</v>
      </c>
      <c r="P49" s="1525">
        <f t="shared" ref="P49:Q52" si="85">E49/E50-1</f>
        <v>6.1625555347990968E-2</v>
      </c>
      <c r="Q49" s="1525">
        <f t="shared" si="85"/>
        <v>4.6757569250590603E-2</v>
      </c>
      <c r="R49" s="1474"/>
      <c r="S49" s="1475"/>
      <c r="T49" s="1476"/>
      <c r="U49" s="1476"/>
      <c r="V49" s="1476"/>
      <c r="X49" s="1476"/>
      <c r="Y49" s="1476"/>
      <c r="Z49" s="1476"/>
    </row>
    <row r="50" spans="1:26">
      <c r="A50" s="1461" t="s">
        <v>1188</v>
      </c>
      <c r="B50" s="1477">
        <f t="shared" ref="B50:C52" si="86">B51+(B$49-B$53)*I50/SUM(I$49:I$52)</f>
        <v>180.5366651097618</v>
      </c>
      <c r="C50" s="1477">
        <f t="shared" si="86"/>
        <v>158.60435967302453</v>
      </c>
      <c r="D50" s="1477">
        <f t="shared" si="64"/>
        <v>158.60435967302453</v>
      </c>
      <c r="E50" s="1477">
        <f t="shared" ref="E50:F52" si="87">E51+(E$49-E$53)*K50/SUM(K$49:K$52)</f>
        <v>239.25573260785075</v>
      </c>
      <c r="F50" s="1477">
        <f t="shared" si="87"/>
        <v>141.38899430740037</v>
      </c>
      <c r="G50" s="3283">
        <v>2007</v>
      </c>
      <c r="H50" s="1487">
        <v>3</v>
      </c>
      <c r="I50" s="1487">
        <v>8.65</v>
      </c>
      <c r="J50" s="1487">
        <v>8.06</v>
      </c>
      <c r="K50" s="1487">
        <v>9.94</v>
      </c>
      <c r="L50" s="1488">
        <v>5.8</v>
      </c>
      <c r="N50" s="1524">
        <f t="shared" si="84"/>
        <v>6.940217571740015E-2</v>
      </c>
      <c r="O50" s="1525">
        <f t="shared" si="84"/>
        <v>7.1197482471153428E-2</v>
      </c>
      <c r="P50" s="1525">
        <f t="shared" si="85"/>
        <v>0.10529679922579582</v>
      </c>
      <c r="Q50" s="1525">
        <f t="shared" si="85"/>
        <v>5.3292245059512133E-2</v>
      </c>
      <c r="R50" s="1474"/>
      <c r="S50" s="1472"/>
      <c r="T50" s="1473"/>
      <c r="U50" s="1473"/>
      <c r="V50" s="1473"/>
      <c r="X50" s="1526"/>
      <c r="Y50" s="1526"/>
      <c r="Z50" s="1526"/>
    </row>
    <row r="51" spans="1:26">
      <c r="A51" s="1461" t="s">
        <v>1189</v>
      </c>
      <c r="B51" s="1477">
        <f t="shared" si="86"/>
        <v>168.82017748715555</v>
      </c>
      <c r="C51" s="1477">
        <f t="shared" si="86"/>
        <v>148.06267029972753</v>
      </c>
      <c r="D51" s="1477">
        <f t="shared" si="64"/>
        <v>148.06267029972753</v>
      </c>
      <c r="E51" s="1477">
        <f t="shared" si="87"/>
        <v>216.46288379323747</v>
      </c>
      <c r="F51" s="1477">
        <f t="shared" si="87"/>
        <v>134.23529411764704</v>
      </c>
      <c r="G51" s="3283">
        <v>2007</v>
      </c>
      <c r="H51" s="1465">
        <v>2</v>
      </c>
      <c r="I51" s="1465">
        <v>3.67</v>
      </c>
      <c r="J51" s="1465">
        <v>2.3199999999999998</v>
      </c>
      <c r="K51" s="1465">
        <v>5.0199999999999996</v>
      </c>
      <c r="L51" s="1479">
        <v>6.71</v>
      </c>
      <c r="N51" s="1524">
        <f t="shared" si="84"/>
        <v>3.0339138143848032E-2</v>
      </c>
      <c r="O51" s="1525">
        <f t="shared" si="84"/>
        <v>2.0922341588790472E-2</v>
      </c>
      <c r="P51" s="1525">
        <f t="shared" si="85"/>
        <v>5.6164796592717003E-2</v>
      </c>
      <c r="Q51" s="1525">
        <f t="shared" si="85"/>
        <v>6.5704536723887319E-2</v>
      </c>
      <c r="R51" s="1474"/>
      <c r="S51" s="1472"/>
      <c r="T51" s="1473"/>
      <c r="U51" s="1473"/>
      <c r="V51" s="1473"/>
      <c r="X51" s="1526"/>
      <c r="Y51" s="1526"/>
      <c r="Z51" s="1526"/>
    </row>
    <row r="52" spans="1:26">
      <c r="A52" s="1461" t="s">
        <v>1190</v>
      </c>
      <c r="B52" s="1477">
        <f t="shared" si="86"/>
        <v>163.84913591779542</v>
      </c>
      <c r="C52" s="1477">
        <f t="shared" si="86"/>
        <v>145.0283378746594</v>
      </c>
      <c r="D52" s="1477">
        <f t="shared" si="64"/>
        <v>145.0283378746594</v>
      </c>
      <c r="E52" s="1477">
        <f t="shared" si="87"/>
        <v>204.95180722891567</v>
      </c>
      <c r="F52" s="1477">
        <f t="shared" si="87"/>
        <v>125.95920303605313</v>
      </c>
      <c r="G52" s="3284">
        <v>2007</v>
      </c>
      <c r="H52" s="1464">
        <v>1</v>
      </c>
      <c r="I52" s="1464">
        <v>3.58</v>
      </c>
      <c r="J52" s="1464">
        <v>3.08</v>
      </c>
      <c r="K52" s="1464">
        <v>4.34</v>
      </c>
      <c r="L52" s="1478">
        <v>3.21</v>
      </c>
      <c r="N52" s="1527">
        <f t="shared" si="84"/>
        <v>3.0497710174814063E-2</v>
      </c>
      <c r="O52" s="1528">
        <f t="shared" si="84"/>
        <v>2.8569772160704998E-2</v>
      </c>
      <c r="P52" s="1528">
        <f t="shared" si="85"/>
        <v>5.1034908866234296E-2</v>
      </c>
      <c r="Q52" s="1528">
        <f t="shared" si="85"/>
        <v>3.245248390207478E-2</v>
      </c>
      <c r="R52" s="1474"/>
      <c r="S52" s="1480">
        <f>B52/B53-1</f>
        <v>3.0497710174814063E-2</v>
      </c>
      <c r="T52" s="1481">
        <f>C52/C53-1</f>
        <v>2.8569772160704998E-2</v>
      </c>
      <c r="U52" s="1481">
        <f>E52/E53-1</f>
        <v>5.1034908866234296E-2</v>
      </c>
      <c r="V52" s="1481">
        <f>F52/F53-1</f>
        <v>3.245248390207478E-2</v>
      </c>
      <c r="X52" s="1526"/>
      <c r="Y52" s="1526"/>
      <c r="Z52" s="1526"/>
    </row>
    <row r="53" spans="1:26" ht="13.5" thickBot="1">
      <c r="A53" s="1461" t="s">
        <v>1191</v>
      </c>
      <c r="B53" s="1490">
        <v>159</v>
      </c>
      <c r="C53" s="1490">
        <v>141</v>
      </c>
      <c r="D53" s="1490">
        <f t="shared" si="64"/>
        <v>141</v>
      </c>
      <c r="E53" s="1490">
        <v>195</v>
      </c>
      <c r="F53" s="1491">
        <v>122</v>
      </c>
      <c r="G53" s="3282">
        <v>2006</v>
      </c>
      <c r="H53" s="1482">
        <v>4</v>
      </c>
      <c r="I53" s="1482">
        <v>3.79</v>
      </c>
      <c r="J53" s="1482">
        <v>2.21</v>
      </c>
      <c r="K53" s="1482">
        <v>5.65</v>
      </c>
      <c r="L53" s="1483">
        <v>5.41</v>
      </c>
      <c r="N53" s="1524">
        <f t="shared" ref="N53:O56" si="88">I53/SUM(I$53:I$56)*(B$53/B$57-1)</f>
        <v>7.245466462748526E-2</v>
      </c>
      <c r="O53" s="1525">
        <f t="shared" si="88"/>
        <v>2.3237230038062766E-2</v>
      </c>
      <c r="P53" s="1525">
        <f t="shared" ref="P53:Q56" si="89">K53/SUM(K$53:K$56)*(E$53/E$57-1)</f>
        <v>0.16146893866323722</v>
      </c>
      <c r="Q53" s="1525">
        <f t="shared" si="89"/>
        <v>5.0755230321793784E-2</v>
      </c>
      <c r="R53" s="1474"/>
      <c r="S53" s="1475"/>
      <c r="T53" s="1476"/>
      <c r="U53" s="1476"/>
      <c r="V53" s="1476"/>
      <c r="X53" s="1526"/>
      <c r="Y53" s="1526"/>
      <c r="Z53" s="1526"/>
    </row>
    <row r="54" spans="1:26">
      <c r="A54" s="1461" t="s">
        <v>1192</v>
      </c>
      <c r="B54" s="1477">
        <f t="shared" ref="B54:C56" si="90">B55+(B$53-B$57)*I54/SUM(I$53:I$56)</f>
        <v>149.00125628140702</v>
      </c>
      <c r="C54" s="1477">
        <f t="shared" si="90"/>
        <v>137.95592286501378</v>
      </c>
      <c r="D54" s="1477">
        <f t="shared" si="64"/>
        <v>137.95592286501378</v>
      </c>
      <c r="E54" s="1477">
        <f t="shared" ref="E54:F56" si="91">E55+(E$53-E$57)*K54/SUM(K$53:K$56)</f>
        <v>169.97231450719823</v>
      </c>
      <c r="F54" s="1477">
        <f t="shared" si="91"/>
        <v>116.21390374331551</v>
      </c>
      <c r="G54" s="3283">
        <v>2006</v>
      </c>
      <c r="H54" s="1487">
        <v>3</v>
      </c>
      <c r="I54" s="1487">
        <v>0.92</v>
      </c>
      <c r="J54" s="1487">
        <v>1.08</v>
      </c>
      <c r="K54" s="1487">
        <v>0.73</v>
      </c>
      <c r="L54" s="1488">
        <v>1.08</v>
      </c>
      <c r="N54" s="1524">
        <f t="shared" si="88"/>
        <v>1.7587939698492462E-2</v>
      </c>
      <c r="O54" s="1525">
        <f t="shared" si="88"/>
        <v>1.1355750425840628E-2</v>
      </c>
      <c r="P54" s="1525">
        <f t="shared" si="89"/>
        <v>2.0862358446754544E-2</v>
      </c>
      <c r="Q54" s="1525">
        <f t="shared" si="89"/>
        <v>1.0132282578103011E-2</v>
      </c>
      <c r="R54" s="1474"/>
      <c r="S54" s="1472"/>
      <c r="T54" s="1473"/>
      <c r="U54" s="1473"/>
      <c r="V54" s="1473"/>
      <c r="X54" s="1526"/>
      <c r="Y54" s="1526"/>
      <c r="Z54" s="1526"/>
    </row>
    <row r="55" spans="1:26">
      <c r="A55" s="1461" t="s">
        <v>1193</v>
      </c>
      <c r="B55" s="1477">
        <f t="shared" si="90"/>
        <v>146.57412060301507</v>
      </c>
      <c r="C55" s="1477">
        <f t="shared" si="90"/>
        <v>136.46831955922866</v>
      </c>
      <c r="D55" s="1477">
        <f t="shared" si="64"/>
        <v>136.46831955922866</v>
      </c>
      <c r="E55" s="1477">
        <f t="shared" si="91"/>
        <v>166.73864894795128</v>
      </c>
      <c r="F55" s="1477">
        <f t="shared" si="91"/>
        <v>115.05882352941177</v>
      </c>
      <c r="G55" s="3283">
        <v>2006</v>
      </c>
      <c r="H55" s="1465">
        <v>2</v>
      </c>
      <c r="I55" s="1465">
        <v>0.96</v>
      </c>
      <c r="J55" s="1465">
        <v>0.25</v>
      </c>
      <c r="K55" s="1465">
        <v>1.9</v>
      </c>
      <c r="L55" s="1479">
        <v>0.95</v>
      </c>
      <c r="N55" s="1524">
        <f t="shared" si="88"/>
        <v>1.8352632728861701E-2</v>
      </c>
      <c r="O55" s="1525">
        <f t="shared" si="88"/>
        <v>2.6286459319075526E-3</v>
      </c>
      <c r="P55" s="1525">
        <f t="shared" si="89"/>
        <v>5.4299289107991269E-2</v>
      </c>
      <c r="Q55" s="1525">
        <f t="shared" si="89"/>
        <v>8.9126559714794995E-3</v>
      </c>
      <c r="R55" s="1474"/>
      <c r="S55" s="1472"/>
      <c r="T55" s="1473"/>
      <c r="U55" s="1473"/>
      <c r="V55" s="1473"/>
      <c r="X55" s="1526"/>
      <c r="Y55" s="1526"/>
      <c r="Z55" s="1526"/>
    </row>
    <row r="56" spans="1:26">
      <c r="A56" s="1461" t="s">
        <v>1194</v>
      </c>
      <c r="B56" s="1477">
        <f t="shared" si="90"/>
        <v>144.04145728643215</v>
      </c>
      <c r="C56" s="1477">
        <f t="shared" si="90"/>
        <v>136.12396694214877</v>
      </c>
      <c r="D56" s="1477">
        <f t="shared" si="64"/>
        <v>136.12396694214877</v>
      </c>
      <c r="E56" s="1477">
        <f t="shared" si="91"/>
        <v>158.32225913621264</v>
      </c>
      <c r="F56" s="1477">
        <f t="shared" si="91"/>
        <v>114.04278074866311</v>
      </c>
      <c r="G56" s="3284">
        <v>2006</v>
      </c>
      <c r="H56" s="1464">
        <v>1</v>
      </c>
      <c r="I56" s="1464">
        <v>2.29</v>
      </c>
      <c r="J56" s="1464">
        <v>3.72</v>
      </c>
      <c r="K56" s="1464">
        <v>0.75</v>
      </c>
      <c r="L56" s="1478">
        <v>0.04</v>
      </c>
      <c r="N56" s="1527">
        <f t="shared" si="88"/>
        <v>4.3778675988638847E-2</v>
      </c>
      <c r="O56" s="1528">
        <f t="shared" si="88"/>
        <v>3.9114251466784385E-2</v>
      </c>
      <c r="P56" s="1528">
        <f t="shared" si="89"/>
        <v>2.1433929911049188E-2</v>
      </c>
      <c r="Q56" s="1528">
        <f t="shared" si="89"/>
        <v>3.7526972511492629E-4</v>
      </c>
      <c r="R56" s="1474"/>
      <c r="S56" s="1480">
        <f>B56/B57-1</f>
        <v>4.3778675988638716E-2</v>
      </c>
      <c r="T56" s="1481">
        <f>C56/C57-1</f>
        <v>3.91142514667846E-2</v>
      </c>
      <c r="U56" s="1481">
        <f>E56/E57-1</f>
        <v>2.143392991104931E-2</v>
      </c>
      <c r="V56" s="1481">
        <f>F56/F57-1</f>
        <v>3.7526972511492396E-4</v>
      </c>
      <c r="X56" s="1526"/>
      <c r="Y56" s="1526"/>
      <c r="Z56" s="1526"/>
    </row>
    <row r="57" spans="1:26" ht="13.5" thickBot="1">
      <c r="A57" s="1461" t="s">
        <v>1195</v>
      </c>
      <c r="B57" s="1490">
        <v>138</v>
      </c>
      <c r="C57" s="1490">
        <v>131</v>
      </c>
      <c r="D57" s="1490">
        <f t="shared" si="64"/>
        <v>131</v>
      </c>
      <c r="E57" s="1490">
        <v>155</v>
      </c>
      <c r="F57" s="1491">
        <v>114</v>
      </c>
      <c r="G57" s="3282">
        <v>2005</v>
      </c>
      <c r="H57" s="1482">
        <v>4</v>
      </c>
      <c r="I57" s="1482">
        <v>3.29</v>
      </c>
      <c r="J57" s="1482">
        <v>1.44</v>
      </c>
      <c r="K57" s="1482">
        <v>0.66</v>
      </c>
      <c r="L57" s="1483">
        <v>7.78</v>
      </c>
      <c r="N57" s="1524">
        <f t="shared" ref="N57:O60" si="92">I57/SUM(I$57:I$60)*(B$57/B$61-1)</f>
        <v>9.9404603216919935E-2</v>
      </c>
      <c r="O57" s="1525">
        <f t="shared" si="92"/>
        <v>4.7636550760861554E-2</v>
      </c>
      <c r="P57" s="1525">
        <f t="shared" ref="P57:Q60" si="93">K57/SUM(K$57:K$60)*(E$57/E$61-1)</f>
        <v>8.3756345177664976E-2</v>
      </c>
      <c r="Q57" s="1525">
        <f t="shared" si="93"/>
        <v>5.2148766661559584E-2</v>
      </c>
      <c r="R57" s="1474"/>
      <c r="S57" s="1475"/>
      <c r="T57" s="1476"/>
      <c r="U57" s="1476"/>
      <c r="V57" s="1476"/>
      <c r="X57" s="1526"/>
      <c r="Y57" s="1526"/>
      <c r="Z57" s="1526"/>
    </row>
    <row r="58" spans="1:26">
      <c r="A58" s="1461" t="s">
        <v>1196</v>
      </c>
      <c r="B58" s="1477">
        <f t="shared" ref="B58:C60" si="94">B59+(B$57-B$61)*I58/SUM(I$57:I$60)</f>
        <v>125.9720430107527</v>
      </c>
      <c r="C58" s="1477">
        <f t="shared" si="94"/>
        <v>125.1883408071749</v>
      </c>
      <c r="D58" s="1477">
        <f t="shared" si="64"/>
        <v>125.1883408071749</v>
      </c>
      <c r="E58" s="1477">
        <f t="shared" ref="E58:F60" si="95">E59+(E$57-E$61)*K58/SUM(K$57:K$60)</f>
        <v>144.61421319796952</v>
      </c>
      <c r="F58" s="1477">
        <f t="shared" si="95"/>
        <v>108.42008196721311</v>
      </c>
      <c r="G58" s="3283">
        <v>2005</v>
      </c>
      <c r="H58" s="1487">
        <v>3</v>
      </c>
      <c r="I58" s="1487">
        <v>0.46</v>
      </c>
      <c r="J58" s="1487">
        <v>0.32</v>
      </c>
      <c r="K58" s="1487">
        <v>0.42</v>
      </c>
      <c r="L58" s="1488">
        <v>0.64</v>
      </c>
      <c r="N58" s="1524">
        <f t="shared" si="92"/>
        <v>1.3898515951301874E-2</v>
      </c>
      <c r="O58" s="1525">
        <f t="shared" si="92"/>
        <v>1.0585900169080346E-2</v>
      </c>
      <c r="P58" s="1525">
        <f t="shared" si="93"/>
        <v>5.3299492385786795E-2</v>
      </c>
      <c r="Q58" s="1525">
        <f t="shared" si="93"/>
        <v>4.2898728359123568E-3</v>
      </c>
      <c r="R58" s="1474"/>
      <c r="S58" s="1472"/>
      <c r="T58" s="1473"/>
      <c r="U58" s="1473"/>
      <c r="V58" s="1473"/>
      <c r="X58" s="1526"/>
      <c r="Y58" s="1526"/>
      <c r="Z58" s="1526"/>
    </row>
    <row r="59" spans="1:26">
      <c r="A59" s="1461" t="s">
        <v>1197</v>
      </c>
      <c r="B59" s="1477">
        <f t="shared" si="94"/>
        <v>124.29032258064517</v>
      </c>
      <c r="C59" s="1477">
        <f t="shared" si="94"/>
        <v>123.8968609865471</v>
      </c>
      <c r="D59" s="1477">
        <f t="shared" si="64"/>
        <v>123.8968609865471</v>
      </c>
      <c r="E59" s="1477">
        <f t="shared" si="95"/>
        <v>138.00507614213197</v>
      </c>
      <c r="F59" s="1477">
        <f t="shared" si="95"/>
        <v>107.96106557377048</v>
      </c>
      <c r="G59" s="3283">
        <v>2005</v>
      </c>
      <c r="H59" s="1465">
        <v>2</v>
      </c>
      <c r="I59" s="1465">
        <v>0.47</v>
      </c>
      <c r="J59" s="1465">
        <v>0.1</v>
      </c>
      <c r="K59" s="1465">
        <v>0.52</v>
      </c>
      <c r="L59" s="1479">
        <v>0.79</v>
      </c>
      <c r="N59" s="1524">
        <f t="shared" si="92"/>
        <v>1.420065760241713E-2</v>
      </c>
      <c r="O59" s="1525">
        <f t="shared" si="92"/>
        <v>3.3080938028376083E-3</v>
      </c>
      <c r="P59" s="1525">
        <f t="shared" si="93"/>
        <v>6.598984771573603E-2</v>
      </c>
      <c r="Q59" s="1525">
        <f t="shared" si="93"/>
        <v>5.2953117818293153E-3</v>
      </c>
      <c r="R59" s="1474"/>
      <c r="S59" s="1472"/>
      <c r="T59" s="1473"/>
      <c r="U59" s="1473"/>
      <c r="V59" s="1473"/>
      <c r="X59" s="1526"/>
      <c r="Y59" s="1526"/>
      <c r="Z59" s="1526"/>
    </row>
    <row r="60" spans="1:26">
      <c r="A60" s="1461" t="s">
        <v>1198</v>
      </c>
      <c r="B60" s="1477">
        <f t="shared" si="94"/>
        <v>122.57204301075269</v>
      </c>
      <c r="C60" s="1477">
        <f t="shared" si="94"/>
        <v>123.4932735426009</v>
      </c>
      <c r="D60" s="1477">
        <f t="shared" si="64"/>
        <v>123.4932735426009</v>
      </c>
      <c r="E60" s="1477">
        <f t="shared" si="95"/>
        <v>129.82233502538071</v>
      </c>
      <c r="F60" s="1477">
        <f t="shared" si="95"/>
        <v>107.39446721311475</v>
      </c>
      <c r="G60" s="3284">
        <v>2005</v>
      </c>
      <c r="H60" s="1464">
        <v>1</v>
      </c>
      <c r="I60" s="1464">
        <v>0.43</v>
      </c>
      <c r="J60" s="1464">
        <v>0.37</v>
      </c>
      <c r="K60" s="1464">
        <v>0.37</v>
      </c>
      <c r="L60" s="1478">
        <v>0.55000000000000004</v>
      </c>
      <c r="N60" s="1527">
        <f t="shared" si="92"/>
        <v>1.2992090997956099E-2</v>
      </c>
      <c r="O60" s="1528">
        <f t="shared" si="92"/>
        <v>1.2239947070499151E-2</v>
      </c>
      <c r="P60" s="1528">
        <f t="shared" si="93"/>
        <v>4.6954314720812178E-2</v>
      </c>
      <c r="Q60" s="1528">
        <f t="shared" si="93"/>
        <v>3.6866094683621815E-3</v>
      </c>
      <c r="R60" s="1474"/>
      <c r="S60" s="1480">
        <f>B60/B61-1</f>
        <v>1.2992090997956174E-2</v>
      </c>
      <c r="T60" s="1481">
        <f>C60/C61-1</f>
        <v>1.2239947070499246E-2</v>
      </c>
      <c r="U60" s="1481">
        <f>E60/E61-1</f>
        <v>4.695431472081224E-2</v>
      </c>
      <c r="V60" s="1481">
        <f>F60/F61-1</f>
        <v>3.6866094683620787E-3</v>
      </c>
      <c r="X60" s="1526"/>
      <c r="Y60" s="1526"/>
      <c r="Z60" s="1526"/>
    </row>
    <row r="61" spans="1:26" ht="13.5" thickBot="1">
      <c r="A61" s="1461" t="s">
        <v>1199</v>
      </c>
      <c r="B61" s="1511">
        <v>121</v>
      </c>
      <c r="C61" s="1511">
        <v>122</v>
      </c>
      <c r="D61" s="1511">
        <f t="shared" si="64"/>
        <v>122</v>
      </c>
      <c r="E61" s="1511">
        <v>124</v>
      </c>
      <c r="F61" s="1512">
        <v>107</v>
      </c>
      <c r="G61" s="3282">
        <v>2004</v>
      </c>
      <c r="H61" s="1482">
        <v>4</v>
      </c>
      <c r="I61" s="1482">
        <v>0.33</v>
      </c>
      <c r="J61" s="1482">
        <v>0.5</v>
      </c>
      <c r="K61" s="1482">
        <v>0.5</v>
      </c>
      <c r="L61" s="1483">
        <v>0</v>
      </c>
      <c r="N61" s="1524">
        <f t="shared" ref="N61:O64" si="96">I61/SUM(I$61:I$64)*(B$61/B$65-1)</f>
        <v>1.3391770148526898E-2</v>
      </c>
      <c r="O61" s="1525">
        <f t="shared" si="96"/>
        <v>1.063264221158958E-2</v>
      </c>
      <c r="P61" s="1525">
        <f t="shared" ref="P61:Q64" si="97">K61/SUM(K$61:K$64)*(E$61/E$65-1)</f>
        <v>2.2244466688911134E-2</v>
      </c>
      <c r="Q61" s="1525">
        <f t="shared" si="97"/>
        <v>0</v>
      </c>
      <c r="R61" s="1474"/>
      <c r="S61" s="1475"/>
      <c r="T61" s="1476"/>
      <c r="U61" s="1476"/>
      <c r="V61" s="1476"/>
      <c r="X61" s="1526"/>
      <c r="Y61" s="1526"/>
      <c r="Z61" s="1526"/>
    </row>
    <row r="62" spans="1:26">
      <c r="A62" s="1461" t="s">
        <v>1200</v>
      </c>
      <c r="B62" s="1477">
        <f t="shared" ref="B62:C64" si="98">B63+(B$61-B$65)*I62/SUM(I$61:I$64)</f>
        <v>119.51351351351352</v>
      </c>
      <c r="C62" s="1477">
        <f t="shared" si="98"/>
        <v>120.7878787878788</v>
      </c>
      <c r="D62" s="1477">
        <f t="shared" si="64"/>
        <v>120.7878787878788</v>
      </c>
      <c r="E62" s="1477">
        <f t="shared" ref="E62:F64" si="99">E63+(E$61-E$65)*K62/SUM(K$61:K$64)</f>
        <v>121.5975975975976</v>
      </c>
      <c r="F62" s="1477">
        <f t="shared" si="99"/>
        <v>107</v>
      </c>
      <c r="G62" s="3283">
        <v>2004</v>
      </c>
      <c r="H62" s="1487">
        <v>3</v>
      </c>
      <c r="I62" s="1487">
        <v>0.56000000000000005</v>
      </c>
      <c r="J62" s="1487">
        <v>0.8</v>
      </c>
      <c r="K62" s="1487">
        <v>0.83</v>
      </c>
      <c r="L62" s="1488">
        <v>0.06</v>
      </c>
      <c r="N62" s="1524">
        <f t="shared" si="96"/>
        <v>2.2725428130833527E-2</v>
      </c>
      <c r="O62" s="1525">
        <f t="shared" si="96"/>
        <v>1.7012227538543329E-2</v>
      </c>
      <c r="P62" s="1525">
        <f t="shared" si="97"/>
        <v>3.6925814703592477E-2</v>
      </c>
      <c r="Q62" s="1525">
        <f t="shared" si="97"/>
        <v>2.8846153846153744E-2</v>
      </c>
      <c r="R62" s="1474"/>
      <c r="S62" s="1472"/>
      <c r="T62" s="1473"/>
      <c r="U62" s="1473"/>
      <c r="V62" s="1473"/>
      <c r="X62" s="1526"/>
      <c r="Y62" s="1526"/>
      <c r="Z62" s="1526"/>
    </row>
    <row r="63" spans="1:26">
      <c r="A63" s="1461" t="s">
        <v>1201</v>
      </c>
      <c r="B63" s="1477">
        <f t="shared" si="98"/>
        <v>116.99099099099099</v>
      </c>
      <c r="C63" s="1477">
        <f t="shared" si="98"/>
        <v>118.84848484848486</v>
      </c>
      <c r="D63" s="1477">
        <f t="shared" si="64"/>
        <v>118.84848484848486</v>
      </c>
      <c r="E63" s="1477">
        <f t="shared" si="99"/>
        <v>117.60960960960961</v>
      </c>
      <c r="F63" s="1477">
        <f t="shared" si="99"/>
        <v>104</v>
      </c>
      <c r="G63" s="3283">
        <v>2004</v>
      </c>
      <c r="H63" s="1465">
        <v>2</v>
      </c>
      <c r="I63" s="1465">
        <v>1</v>
      </c>
      <c r="J63" s="1465">
        <v>1.5</v>
      </c>
      <c r="K63" s="1465">
        <v>1.5</v>
      </c>
      <c r="L63" s="1479">
        <v>0</v>
      </c>
      <c r="N63" s="1524">
        <f t="shared" si="96"/>
        <v>4.0581121662202721E-2</v>
      </c>
      <c r="O63" s="1525">
        <f t="shared" si="96"/>
        <v>3.1897926634768738E-2</v>
      </c>
      <c r="P63" s="1525">
        <f t="shared" si="97"/>
        <v>6.6733400066733395E-2</v>
      </c>
      <c r="Q63" s="1525">
        <f t="shared" si="97"/>
        <v>0</v>
      </c>
      <c r="R63" s="1474"/>
      <c r="S63" s="1472"/>
      <c r="T63" s="1473"/>
      <c r="U63" s="1473"/>
      <c r="V63" s="1473"/>
      <c r="X63" s="1526"/>
      <c r="Y63" s="1526"/>
      <c r="Z63" s="1526"/>
    </row>
    <row r="64" spans="1:26" s="1517" customFormat="1" ht="13.5" thickBot="1">
      <c r="A64" s="1461" t="s">
        <v>1202</v>
      </c>
      <c r="B64" s="1514">
        <f t="shared" si="98"/>
        <v>112.48648648648648</v>
      </c>
      <c r="C64" s="1514">
        <f t="shared" si="98"/>
        <v>115.21212121212122</v>
      </c>
      <c r="D64" s="1514">
        <f t="shared" si="64"/>
        <v>115.21212121212122</v>
      </c>
      <c r="E64" s="1514">
        <f t="shared" si="99"/>
        <v>110.4024024024024</v>
      </c>
      <c r="F64" s="1514">
        <f t="shared" si="99"/>
        <v>104</v>
      </c>
      <c r="G64" s="3284">
        <v>2004</v>
      </c>
      <c r="H64" s="1515">
        <v>1</v>
      </c>
      <c r="I64" s="1515">
        <v>0.33</v>
      </c>
      <c r="J64" s="1515">
        <v>0.5</v>
      </c>
      <c r="K64" s="1515">
        <v>0.5</v>
      </c>
      <c r="L64" s="1516">
        <v>0</v>
      </c>
      <c r="N64" s="1529">
        <f t="shared" si="96"/>
        <v>1.3391770148526898E-2</v>
      </c>
      <c r="O64" s="1530">
        <f t="shared" si="96"/>
        <v>1.063264221158958E-2</v>
      </c>
      <c r="P64" s="1530">
        <f t="shared" si="97"/>
        <v>2.2244466688911134E-2</v>
      </c>
      <c r="Q64" s="1530">
        <f t="shared" si="97"/>
        <v>0</v>
      </c>
      <c r="R64" s="1520"/>
      <c r="S64" s="1518">
        <f>B64/B65-1</f>
        <v>1.3391770148526883E-2</v>
      </c>
      <c r="T64" s="1519">
        <f>C64/C65-1</f>
        <v>1.063264221158966E-2</v>
      </c>
      <c r="U64" s="1519">
        <f>E64/E65-1</f>
        <v>2.2244466688911224E-2</v>
      </c>
      <c r="V64" s="1519">
        <f>F64/F65-1</f>
        <v>0</v>
      </c>
      <c r="X64" s="1531"/>
      <c r="Y64" s="1531"/>
      <c r="Z64" s="1531"/>
    </row>
    <row r="65" spans="1:26" ht="13.5" thickBot="1">
      <c r="A65" s="1461" t="s">
        <v>1203</v>
      </c>
      <c r="B65" s="1532">
        <v>111</v>
      </c>
      <c r="C65" s="1532">
        <v>114</v>
      </c>
      <c r="D65" s="1532">
        <f t="shared" si="64"/>
        <v>114</v>
      </c>
      <c r="E65" s="1532">
        <v>108</v>
      </c>
      <c r="F65" s="1533">
        <v>104</v>
      </c>
      <c r="G65" s="3282">
        <v>2003</v>
      </c>
      <c r="H65" s="1522">
        <v>4</v>
      </c>
      <c r="I65" s="1534"/>
      <c r="J65" s="1534"/>
      <c r="K65" s="1534"/>
      <c r="L65" s="1534"/>
      <c r="N65" s="1535"/>
      <c r="O65" s="1534"/>
      <c r="P65" s="1534"/>
      <c r="Q65" s="1534"/>
      <c r="S65" s="1535"/>
      <c r="T65" s="1534"/>
      <c r="U65" s="1534"/>
      <c r="V65" s="1534"/>
      <c r="X65" s="1526"/>
      <c r="Y65" s="1526"/>
      <c r="Z65" s="1526"/>
    </row>
    <row r="66" spans="1:26">
      <c r="A66" s="1461" t="s">
        <v>1204</v>
      </c>
      <c r="B66" s="1536">
        <f t="shared" ref="B66:C68" si="100">B67+(B$65-B$69)/4</f>
        <v>109.75</v>
      </c>
      <c r="C66" s="1536">
        <f t="shared" si="100"/>
        <v>112.25</v>
      </c>
      <c r="D66" s="1536">
        <f t="shared" si="64"/>
        <v>112.25</v>
      </c>
      <c r="E66" s="1536">
        <f t="shared" ref="E66:F68" si="101">E67+(E$65-E$69)/4</f>
        <v>107.25</v>
      </c>
      <c r="F66" s="1536">
        <f t="shared" si="101"/>
        <v>103.5</v>
      </c>
      <c r="G66" s="3283">
        <v>2003</v>
      </c>
      <c r="H66" s="1487">
        <v>3</v>
      </c>
      <c r="I66" s="1534"/>
      <c r="J66" s="1534"/>
      <c r="K66" s="1534"/>
      <c r="L66" s="1534"/>
      <c r="X66" s="1526"/>
      <c r="Y66" s="1526"/>
      <c r="Z66" s="1526"/>
    </row>
    <row r="67" spans="1:26">
      <c r="A67" s="1461" t="s">
        <v>1205</v>
      </c>
      <c r="B67" s="1536">
        <f t="shared" si="100"/>
        <v>108.5</v>
      </c>
      <c r="C67" s="1536">
        <f t="shared" si="100"/>
        <v>110.5</v>
      </c>
      <c r="D67" s="1536">
        <f t="shared" si="64"/>
        <v>110.5</v>
      </c>
      <c r="E67" s="1536">
        <f t="shared" si="101"/>
        <v>106.5</v>
      </c>
      <c r="F67" s="1536">
        <f t="shared" si="101"/>
        <v>103</v>
      </c>
      <c r="G67" s="3283">
        <v>2003</v>
      </c>
      <c r="H67" s="1465">
        <v>2</v>
      </c>
      <c r="I67" s="1534"/>
      <c r="J67" s="1534"/>
      <c r="K67" s="1534"/>
      <c r="L67" s="1534"/>
      <c r="X67" s="1526"/>
      <c r="Y67" s="1526"/>
      <c r="Z67" s="1526"/>
    </row>
    <row r="68" spans="1:26" ht="13.5" thickBot="1">
      <c r="A68" s="1461" t="s">
        <v>1206</v>
      </c>
      <c r="B68" s="1536">
        <f t="shared" si="100"/>
        <v>107.25</v>
      </c>
      <c r="C68" s="1536">
        <f t="shared" si="100"/>
        <v>108.75</v>
      </c>
      <c r="D68" s="1536">
        <f t="shared" si="64"/>
        <v>108.75</v>
      </c>
      <c r="E68" s="1536">
        <f t="shared" si="101"/>
        <v>105.75</v>
      </c>
      <c r="F68" s="1536">
        <f t="shared" si="101"/>
        <v>102.5</v>
      </c>
      <c r="G68" s="3284">
        <v>2003</v>
      </c>
      <c r="H68" s="1537">
        <v>1</v>
      </c>
      <c r="I68" s="1534"/>
      <c r="J68" s="1534"/>
      <c r="K68" s="1534"/>
      <c r="L68" s="1534"/>
      <c r="S68" s="1472"/>
      <c r="T68" s="1473"/>
      <c r="U68" s="1473"/>
      <c r="X68" s="1526"/>
      <c r="Y68" s="1526"/>
      <c r="Z68" s="1526"/>
    </row>
    <row r="69" spans="1:26" ht="13.5" thickBot="1">
      <c r="A69" s="1461" t="s">
        <v>1207</v>
      </c>
      <c r="B69" s="1538">
        <v>106</v>
      </c>
      <c r="C69" s="1538">
        <v>107</v>
      </c>
      <c r="D69" s="1538">
        <f t="shared" si="64"/>
        <v>107</v>
      </c>
      <c r="E69" s="1538">
        <v>105</v>
      </c>
      <c r="F69" s="1539">
        <v>102</v>
      </c>
      <c r="G69" s="3282">
        <v>2002</v>
      </c>
      <c r="H69" s="1482">
        <v>4</v>
      </c>
      <c r="I69" s="1534"/>
      <c r="J69" s="1534"/>
      <c r="K69" s="1534"/>
      <c r="L69" s="1534"/>
      <c r="N69" s="1535"/>
      <c r="O69" s="1534"/>
      <c r="P69" s="1534"/>
      <c r="Q69" s="1534"/>
      <c r="S69" s="1535"/>
      <c r="T69" s="1534"/>
      <c r="U69" s="1534"/>
      <c r="V69" s="1534"/>
      <c r="X69" s="1526"/>
      <c r="Y69" s="1526"/>
      <c r="Z69" s="1526"/>
    </row>
    <row r="70" spans="1:26">
      <c r="A70" s="1461" t="s">
        <v>1208</v>
      </c>
      <c r="B70" s="1536">
        <f t="shared" ref="B70:C72" si="102">B71+(B$69-B$73)/4</f>
        <v>105</v>
      </c>
      <c r="C70" s="1536">
        <f t="shared" si="102"/>
        <v>106</v>
      </c>
      <c r="D70" s="1536">
        <f t="shared" si="64"/>
        <v>106</v>
      </c>
      <c r="E70" s="1536">
        <f t="shared" ref="E70:F72" si="103">E71+(E$69-E$73)/4</f>
        <v>104.5</v>
      </c>
      <c r="F70" s="1536">
        <f t="shared" si="103"/>
        <v>101.5</v>
      </c>
      <c r="G70" s="3283">
        <v>2002</v>
      </c>
      <c r="H70" s="1487">
        <v>3</v>
      </c>
      <c r="I70" s="1534"/>
      <c r="J70" s="1534"/>
      <c r="K70" s="1534"/>
      <c r="L70" s="1534"/>
      <c r="X70" s="1526"/>
      <c r="Y70" s="1526"/>
      <c r="Z70" s="1526"/>
    </row>
    <row r="71" spans="1:26">
      <c r="A71" s="1461" t="s">
        <v>1209</v>
      </c>
      <c r="B71" s="1536">
        <f t="shared" si="102"/>
        <v>104</v>
      </c>
      <c r="C71" s="1536">
        <f t="shared" si="102"/>
        <v>105</v>
      </c>
      <c r="D71" s="1536">
        <f t="shared" si="64"/>
        <v>105</v>
      </c>
      <c r="E71" s="1536">
        <f t="shared" si="103"/>
        <v>104</v>
      </c>
      <c r="F71" s="1536">
        <f t="shared" si="103"/>
        <v>101</v>
      </c>
      <c r="G71" s="3283">
        <v>2002</v>
      </c>
      <c r="H71" s="1465">
        <v>2</v>
      </c>
      <c r="I71" s="1534"/>
      <c r="J71" s="1534"/>
      <c r="K71" s="1534"/>
      <c r="L71" s="1534"/>
      <c r="X71" s="1526"/>
      <c r="Y71" s="1526"/>
      <c r="Z71" s="1526"/>
    </row>
    <row r="72" spans="1:26" s="1498" customFormat="1" ht="13.5" thickBot="1">
      <c r="A72" s="1494" t="s">
        <v>1210</v>
      </c>
      <c r="B72" s="1540">
        <f t="shared" si="102"/>
        <v>103</v>
      </c>
      <c r="C72" s="1540">
        <f t="shared" si="102"/>
        <v>104</v>
      </c>
      <c r="D72" s="1540">
        <f t="shared" si="64"/>
        <v>104</v>
      </c>
      <c r="E72" s="1540">
        <f t="shared" si="103"/>
        <v>103.5</v>
      </c>
      <c r="F72" s="1540">
        <f t="shared" si="103"/>
        <v>100.5</v>
      </c>
      <c r="G72" s="3284">
        <v>2002</v>
      </c>
      <c r="H72" s="1541">
        <v>1</v>
      </c>
      <c r="I72" s="1542"/>
      <c r="J72" s="1542"/>
      <c r="K72" s="1542"/>
      <c r="L72" s="1542"/>
      <c r="N72" s="1543"/>
      <c r="S72" s="1543"/>
      <c r="X72" s="1544"/>
      <c r="Y72" s="1544"/>
      <c r="Z72" s="1544"/>
    </row>
    <row r="73" spans="1:26" ht="13.5" thickBot="1">
      <c r="B73" s="1545">
        <v>102</v>
      </c>
      <c r="C73" s="1546">
        <v>103</v>
      </c>
      <c r="D73" s="1546">
        <f t="shared" si="64"/>
        <v>103</v>
      </c>
      <c r="E73" s="1546">
        <v>103</v>
      </c>
      <c r="F73" s="1547">
        <v>100</v>
      </c>
      <c r="I73" s="1534"/>
      <c r="J73" s="1534"/>
      <c r="K73" s="1534"/>
      <c r="L73" s="1534"/>
      <c r="N73" s="1535"/>
      <c r="O73" s="1534"/>
      <c r="P73" s="1534"/>
      <c r="Q73" s="1534"/>
      <c r="S73" s="1535"/>
      <c r="T73" s="1534"/>
      <c r="U73" s="1534"/>
      <c r="V73" s="1534"/>
      <c r="X73" s="1476"/>
      <c r="Y73" s="1476"/>
      <c r="Z73" s="1476"/>
    </row>
    <row r="75" spans="1:26" s="1549" customFormat="1">
      <c r="A75" s="1548" t="s">
        <v>1211</v>
      </c>
      <c r="G75" s="1550"/>
      <c r="N75" s="1550"/>
      <c r="S75" s="1550"/>
    </row>
    <row r="76" spans="1:26" s="1549" customFormat="1">
      <c r="A76" s="1549" t="s">
        <v>1212</v>
      </c>
      <c r="G76" s="1550"/>
      <c r="N76" s="1550"/>
      <c r="S76" s="1550"/>
    </row>
    <row r="77" spans="1:26" s="1549" customFormat="1">
      <c r="A77" s="1549" t="s">
        <v>1213</v>
      </c>
      <c r="G77" s="1550"/>
      <c r="I77" s="1551"/>
      <c r="J77" s="1551"/>
      <c r="K77" s="1551"/>
      <c r="L77" s="1551"/>
      <c r="N77" s="1552"/>
      <c r="O77" s="1551"/>
      <c r="P77" s="1551"/>
      <c r="Q77" s="1551"/>
      <c r="S77" s="1552"/>
      <c r="T77" s="1551"/>
      <c r="U77" s="1551"/>
      <c r="V77" s="1551"/>
    </row>
    <row r="78" spans="1:26" s="1549" customFormat="1">
      <c r="A78" s="1549" t="s">
        <v>1214</v>
      </c>
      <c r="G78" s="1550"/>
      <c r="N78" s="1550"/>
      <c r="S78" s="1550"/>
    </row>
    <row r="85" spans="7:22" ht="13.5" thickBot="1"/>
    <row r="86" spans="7:22">
      <c r="G86" s="1471"/>
      <c r="S86" s="1553" t="s">
        <v>1215</v>
      </c>
      <c r="T86" s="1554" t="s">
        <v>1216</v>
      </c>
      <c r="U86" s="1554" t="s">
        <v>1217</v>
      </c>
      <c r="V86" s="1554" t="s">
        <v>1218</v>
      </c>
    </row>
    <row r="87" spans="7:22">
      <c r="G87" s="1471"/>
      <c r="N87" s="1475"/>
      <c r="O87" s="1476"/>
      <c r="P87" s="1476"/>
      <c r="Q87" s="1476"/>
      <c r="S87" s="1555">
        <v>2006</v>
      </c>
      <c r="T87" s="1556">
        <v>15.1</v>
      </c>
      <c r="U87" s="1556">
        <v>7.43</v>
      </c>
      <c r="V87" s="1556">
        <v>26.26</v>
      </c>
    </row>
    <row r="88" spans="7:22">
      <c r="G88" s="1471"/>
      <c r="N88" s="1475"/>
      <c r="O88" s="1476"/>
      <c r="P88" s="1476"/>
      <c r="Q88" s="1476"/>
      <c r="S88" s="1557">
        <v>2005</v>
      </c>
      <c r="T88" s="1558">
        <v>13.9</v>
      </c>
      <c r="U88" s="1558">
        <v>7.49</v>
      </c>
      <c r="V88" s="1558">
        <v>24.92</v>
      </c>
    </row>
    <row r="89" spans="7:22">
      <c r="G89" s="1471"/>
      <c r="N89" s="1475"/>
      <c r="O89" s="1476"/>
      <c r="P89" s="1476"/>
      <c r="Q89" s="1476"/>
      <c r="S89" s="1555">
        <v>2004</v>
      </c>
      <c r="T89" s="1556">
        <v>9.48</v>
      </c>
      <c r="U89" s="1556">
        <v>7.2</v>
      </c>
      <c r="V89" s="1556">
        <v>14.68</v>
      </c>
    </row>
    <row r="90" spans="7:22">
      <c r="G90" s="1471"/>
      <c r="N90" s="1475"/>
      <c r="O90" s="1476"/>
      <c r="P90" s="1476"/>
      <c r="Q90" s="1476"/>
      <c r="S90" s="1557">
        <v>2003</v>
      </c>
      <c r="T90" s="1558">
        <v>4.5</v>
      </c>
      <c r="U90" s="1558">
        <v>6.12</v>
      </c>
      <c r="V90" s="1558">
        <v>2.34</v>
      </c>
    </row>
    <row r="91" spans="7:22" ht="13.5" thickBot="1">
      <c r="G91" s="1471"/>
      <c r="N91" s="1475"/>
      <c r="O91" s="1476"/>
      <c r="P91" s="1476"/>
      <c r="Q91" s="1476"/>
      <c r="S91" s="1559">
        <v>2002</v>
      </c>
      <c r="T91" s="1560">
        <v>3.59</v>
      </c>
      <c r="U91" s="1560">
        <v>4.54</v>
      </c>
      <c r="V91" s="1560">
        <v>2.5499999999999998</v>
      </c>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31" sqref="C31"/>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3"/>
    <col min="46" max="16384" width="9" style="138"/>
  </cols>
  <sheetData>
    <row r="1" spans="1:45" ht="14.25" customHeight="1" thickBot="1">
      <c r="A1" s="154"/>
      <c r="B1" s="1205" t="s">
        <v>3012</v>
      </c>
      <c r="C1" s="3291" t="s">
        <v>3013</v>
      </c>
      <c r="D1" s="3292"/>
      <c r="E1" s="3292"/>
      <c r="F1" s="3292"/>
      <c r="G1" s="3292"/>
      <c r="H1" s="3292"/>
      <c r="I1" s="3292"/>
      <c r="J1" s="3292"/>
      <c r="K1" s="3292"/>
      <c r="L1" s="3292"/>
      <c r="M1" s="3292"/>
      <c r="N1" s="3292"/>
      <c r="O1" s="3292"/>
      <c r="P1" s="3292"/>
      <c r="Q1" s="3292"/>
      <c r="R1" s="3292"/>
      <c r="S1" s="3293"/>
      <c r="T1" s="1205" t="s">
        <v>3014</v>
      </c>
    </row>
    <row r="2" spans="1:45" s="705" customFormat="1" ht="38.25">
      <c r="A2" s="1206"/>
      <c r="B2" s="3306" t="s">
        <v>3015</v>
      </c>
      <c r="C2" s="702" t="str">
        <f t="shared" ref="C2:L2" si="0">C3&amp;"(含)"&amp;"-"&amp;D3</f>
        <v>0(含)-200</v>
      </c>
      <c r="D2" s="703" t="str">
        <f t="shared" si="0"/>
        <v>200(含)-400</v>
      </c>
      <c r="E2" s="703" t="str">
        <f t="shared" si="0"/>
        <v>400(含)-600</v>
      </c>
      <c r="F2" s="703" t="str">
        <f t="shared" si="0"/>
        <v>600(含)-800</v>
      </c>
      <c r="G2" s="703" t="str">
        <f t="shared" si="0"/>
        <v>800(含)-1000</v>
      </c>
      <c r="H2" s="703" t="str">
        <f t="shared" si="0"/>
        <v>1000(含)-1200</v>
      </c>
      <c r="I2" s="703" t="str">
        <f t="shared" si="0"/>
        <v>1200(含)-1400</v>
      </c>
      <c r="J2" s="703" t="str">
        <f t="shared" si="0"/>
        <v>1400(含)-1600</v>
      </c>
      <c r="K2" s="703" t="str">
        <f t="shared" si="0"/>
        <v>1600(含)-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v>0</v>
      </c>
      <c r="D3" s="708">
        <v>200</v>
      </c>
      <c r="E3" s="708">
        <v>400</v>
      </c>
      <c r="F3" s="1704">
        <v>600</v>
      </c>
      <c r="G3" s="1704">
        <v>800</v>
      </c>
      <c r="H3" s="1704">
        <v>1000</v>
      </c>
      <c r="I3" s="1704">
        <v>1200</v>
      </c>
      <c r="J3" s="1704">
        <v>1400</v>
      </c>
      <c r="K3" s="1704">
        <v>1600</v>
      </c>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v>100</v>
      </c>
      <c r="D4" s="1212">
        <v>102</v>
      </c>
      <c r="E4" s="1212">
        <v>104</v>
      </c>
      <c r="F4" s="1708">
        <v>106</v>
      </c>
      <c r="G4" s="1708">
        <v>108</v>
      </c>
      <c r="H4" s="1708">
        <v>110</v>
      </c>
      <c r="I4" s="1708">
        <v>112</v>
      </c>
      <c r="J4" s="1708">
        <v>114</v>
      </c>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6"/>
      <c r="B5" s="1769" t="s">
        <v>3016</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6"/>
      <c r="B7" s="1770" t="s">
        <v>3017</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6"/>
      <c r="B9" s="1770" t="s">
        <v>3018</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6"/>
      <c r="B11" s="1769" t="s">
        <v>3019</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6"/>
      <c r="B13" s="1769" t="s">
        <v>3020</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6"/>
      <c r="B15" s="1769" t="s">
        <v>3021</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3022</v>
      </c>
      <c r="B17" s="2915" t="s">
        <v>3023</v>
      </c>
      <c r="C17" s="2963" t="s">
        <v>3108</v>
      </c>
      <c r="D17" s="2964" t="s">
        <v>3109</v>
      </c>
      <c r="E17" s="2964" t="s">
        <v>3110</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7"/>
      <c r="B19" s="167"/>
      <c r="C19" s="167"/>
      <c r="D19" s="2916" t="s">
        <v>3024</v>
      </c>
      <c r="E19" s="1792"/>
      <c r="F19" s="1792"/>
      <c r="G19" s="1792"/>
      <c r="H19" s="1280"/>
      <c r="I19" s="167"/>
      <c r="J19" s="167"/>
      <c r="K19" s="167"/>
      <c r="L19" s="167"/>
      <c r="M19" s="167"/>
      <c r="N19" s="167"/>
      <c r="O19" s="167"/>
      <c r="P19" s="167"/>
      <c r="Q19" s="167"/>
      <c r="R19" s="786"/>
      <c r="S19" s="137"/>
    </row>
    <row r="20" spans="1:45" ht="16.5" thickBot="1">
      <c r="A20" s="713" t="s">
        <v>3025</v>
      </c>
      <c r="B20" s="337">
        <f ca="1">IF(D20="——",S22,S22-F20)</f>
        <v>18408</v>
      </c>
      <c r="C20" s="167"/>
      <c r="D20" s="2917" t="s">
        <v>70</v>
      </c>
      <c r="E20" s="1793"/>
      <c r="F20" s="1205" t="e">
        <f ca="1">SUMIF(INDIRECT("'"&amp;H20&amp;"'"&amp;"!A:A"),"承租人权益价值",INDIRECT("'"&amp;H20&amp;"'"&amp;"!c:c"))</f>
        <v>#REF!</v>
      </c>
      <c r="G20" s="1205" t="s">
        <v>3026</v>
      </c>
      <c r="H20" s="2918"/>
      <c r="I20" s="167"/>
      <c r="J20" s="167"/>
      <c r="K20" s="167"/>
      <c r="L20" s="167"/>
      <c r="M20" s="167"/>
      <c r="N20" s="167"/>
      <c r="O20" s="167"/>
      <c r="P20" s="167"/>
      <c r="Q20" s="167"/>
      <c r="R20" s="786"/>
      <c r="S20" s="137"/>
    </row>
    <row r="21" spans="1:45" ht="15.75">
      <c r="A21" s="713" t="s">
        <v>3027</v>
      </c>
      <c r="B21" s="337">
        <f ca="1">R22</f>
        <v>16816</v>
      </c>
      <c r="C21" s="167"/>
      <c r="D21" s="167"/>
      <c r="E21" s="167"/>
      <c r="F21" s="167"/>
      <c r="G21" s="167"/>
      <c r="H21" s="167"/>
      <c r="I21" s="167"/>
      <c r="J21" s="167"/>
      <c r="K21" s="167"/>
      <c r="L21" s="167"/>
      <c r="M21" s="167"/>
      <c r="N21" s="167"/>
      <c r="O21" s="167"/>
      <c r="P21" s="167"/>
      <c r="Q21" s="167"/>
      <c r="R21" s="786"/>
      <c r="S21" s="137"/>
    </row>
    <row r="22" spans="1:45">
      <c r="A22" s="360" t="s">
        <v>3028</v>
      </c>
      <c r="B22" s="23">
        <f>SUM(B24:B10000)</f>
        <v>10946.920000000013</v>
      </c>
      <c r="C22" s="3072" t="s">
        <v>33</v>
      </c>
      <c r="D22" s="3073"/>
      <c r="E22" s="3073"/>
      <c r="F22" s="3073"/>
      <c r="G22" s="3073"/>
      <c r="H22" s="3073"/>
      <c r="I22" s="3073"/>
      <c r="J22" s="3073"/>
      <c r="K22" s="3073"/>
      <c r="L22" s="3073"/>
      <c r="M22" s="3073"/>
      <c r="N22" s="3073"/>
      <c r="O22" s="3073"/>
      <c r="P22" s="3073"/>
      <c r="Q22" s="3290"/>
      <c r="R22" s="714">
        <f ca="1">ROUND(S22*10000/B22,0)</f>
        <v>16816</v>
      </c>
      <c r="S22" s="23">
        <f ca="1">SUM(S24:S10000)</f>
        <v>18408</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5" t="s">
        <v>3032</v>
      </c>
      <c r="S23" s="11" t="s">
        <v>3033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62" t="s">
        <v>3100</v>
      </c>
      <c r="B24" s="716">
        <f>Sheet1!A27</f>
        <v>1368.3300000000163</v>
      </c>
      <c r="C24" s="717">
        <v>1</v>
      </c>
      <c r="D24" s="718"/>
      <c r="E24" s="717">
        <v>1</v>
      </c>
      <c r="F24" s="718"/>
      <c r="G24" s="717">
        <v>1</v>
      </c>
      <c r="H24" s="718"/>
      <c r="I24" s="717">
        <v>1</v>
      </c>
      <c r="J24" s="718"/>
      <c r="K24" s="717">
        <v>1</v>
      </c>
      <c r="L24" s="718"/>
      <c r="M24" s="717">
        <v>1</v>
      </c>
      <c r="N24" s="718"/>
      <c r="O24" s="717">
        <v>1</v>
      </c>
      <c r="P24" s="718"/>
      <c r="Q24" s="717">
        <v>1</v>
      </c>
      <c r="R24" s="719">
        <f ca="1">结果表!G20</f>
        <v>16816</v>
      </c>
      <c r="S24" s="717">
        <f t="shared" ref="S24:S54" ca="1" si="11">ROUND(R24*B24/10000,0)</f>
        <v>2301</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t="s">
        <v>3101</v>
      </c>
      <c r="B25" s="58">
        <f>Sheet1!A26</f>
        <v>1368.37</v>
      </c>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 ca="1">IF(B25="",0,ROUND($R$24*C25*E25*G25*I25*K25*M25*O25*Q25,0))</f>
        <v>16816</v>
      </c>
      <c r="S25" s="360">
        <f t="shared" ca="1" si="11"/>
        <v>2301</v>
      </c>
    </row>
    <row r="26" spans="1:45">
      <c r="A26" s="158" t="s">
        <v>3102</v>
      </c>
      <c r="B26" s="58">
        <v>1368.37</v>
      </c>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ca="1" si="20">IF(B26="",0,ROUND($R$24*C26*E26*G26*I26*K26*M26*O26*Q26,0))</f>
        <v>16816</v>
      </c>
      <c r="S26" s="360">
        <f t="shared" ca="1" si="11"/>
        <v>2301</v>
      </c>
    </row>
    <row r="27" spans="1:45">
      <c r="A27" s="158" t="s">
        <v>3103</v>
      </c>
      <c r="B27" s="58">
        <v>1368.37</v>
      </c>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ca="1" si="20"/>
        <v>16816</v>
      </c>
      <c r="S27" s="360">
        <f t="shared" ca="1" si="11"/>
        <v>2301</v>
      </c>
    </row>
    <row r="28" spans="1:45">
      <c r="A28" s="158" t="s">
        <v>3104</v>
      </c>
      <c r="B28" s="58">
        <v>1368.37</v>
      </c>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ca="1" si="20"/>
        <v>16816</v>
      </c>
      <c r="S28" s="360">
        <f t="shared" ca="1" si="11"/>
        <v>2301</v>
      </c>
    </row>
    <row r="29" spans="1:45">
      <c r="A29" s="158" t="s">
        <v>3105</v>
      </c>
      <c r="B29" s="58">
        <v>1368.37</v>
      </c>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ca="1" si="20"/>
        <v>16816</v>
      </c>
      <c r="S29" s="360">
        <f t="shared" ca="1" si="11"/>
        <v>2301</v>
      </c>
    </row>
    <row r="30" spans="1:45">
      <c r="A30" s="158" t="s">
        <v>3106</v>
      </c>
      <c r="B30" s="58">
        <v>1368.37</v>
      </c>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ca="1" si="20"/>
        <v>16816</v>
      </c>
      <c r="S30" s="360">
        <f t="shared" ca="1" si="11"/>
        <v>2301</v>
      </c>
    </row>
    <row r="31" spans="1:45">
      <c r="A31" s="158" t="s">
        <v>3107</v>
      </c>
      <c r="B31" s="58">
        <v>1368.37</v>
      </c>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ca="1" si="20"/>
        <v>16816</v>
      </c>
      <c r="S31" s="360">
        <f t="shared" ca="1" si="11"/>
        <v>2301</v>
      </c>
    </row>
    <row r="32" spans="1:45">
      <c r="A32" s="158"/>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60">
        <f t="shared" si="11"/>
        <v>0</v>
      </c>
    </row>
    <row r="33" spans="1:19">
      <c r="A33" s="158"/>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60">
        <f t="shared" si="11"/>
        <v>0</v>
      </c>
    </row>
    <row r="34" spans="1:19">
      <c r="A34" s="158"/>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60">
        <f t="shared" si="11"/>
        <v>0</v>
      </c>
    </row>
    <row r="35" spans="1:19">
      <c r="A35" s="158"/>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60">
        <f t="shared" si="11"/>
        <v>0</v>
      </c>
    </row>
    <row r="36" spans="1:19">
      <c r="A36" s="158"/>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60">
        <f t="shared" si="11"/>
        <v>0</v>
      </c>
    </row>
    <row r="37" spans="1:19">
      <c r="A37" s="158"/>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60">
        <f t="shared" si="11"/>
        <v>0</v>
      </c>
    </row>
    <row r="38" spans="1:19">
      <c r="A38" s="158"/>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60">
        <f t="shared" si="11"/>
        <v>0</v>
      </c>
    </row>
    <row r="39" spans="1:19">
      <c r="A39" s="158"/>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60">
        <f t="shared" si="11"/>
        <v>0</v>
      </c>
    </row>
    <row r="40" spans="1:19">
      <c r="A40" s="158"/>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60">
        <f t="shared" si="11"/>
        <v>0</v>
      </c>
    </row>
    <row r="41" spans="1:19">
      <c r="A41" s="158"/>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60">
        <f t="shared" si="11"/>
        <v>0</v>
      </c>
    </row>
    <row r="42" spans="1:19">
      <c r="A42" s="158"/>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60">
        <f t="shared" si="11"/>
        <v>0</v>
      </c>
    </row>
    <row r="43" spans="1:19">
      <c r="A43" s="158"/>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60">
        <f t="shared" si="11"/>
        <v>0</v>
      </c>
    </row>
    <row r="44" spans="1:19">
      <c r="A44" s="158"/>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60">
        <f t="shared" si="11"/>
        <v>0</v>
      </c>
    </row>
    <row r="45" spans="1:19">
      <c r="A45" s="158"/>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60">
        <f t="shared" si="11"/>
        <v>0</v>
      </c>
    </row>
    <row r="46" spans="1:19">
      <c r="A46" s="158"/>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60">
        <f t="shared" si="11"/>
        <v>0</v>
      </c>
    </row>
    <row r="47" spans="1:19">
      <c r="A47" s="158"/>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60">
        <f t="shared" si="11"/>
        <v>0</v>
      </c>
    </row>
    <row r="48" spans="1:19">
      <c r="A48" s="158"/>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60">
        <f t="shared" si="11"/>
        <v>0</v>
      </c>
    </row>
    <row r="49" spans="1:19">
      <c r="A49" s="158"/>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60">
        <f t="shared" si="11"/>
        <v>0</v>
      </c>
    </row>
    <row r="50" spans="1:19">
      <c r="A50" s="158"/>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60">
        <f t="shared" si="11"/>
        <v>0</v>
      </c>
    </row>
    <row r="51" spans="1:19">
      <c r="A51" s="158"/>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60">
        <f t="shared" si="11"/>
        <v>0</v>
      </c>
    </row>
    <row r="52" spans="1:19">
      <c r="A52" s="158"/>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60">
        <f t="shared" si="11"/>
        <v>0</v>
      </c>
    </row>
    <row r="53" spans="1:19">
      <c r="A53" s="158"/>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60">
        <f t="shared" si="11"/>
        <v>0</v>
      </c>
    </row>
    <row r="54" spans="1:19">
      <c r="A54" s="158"/>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60">
        <f t="shared" si="11"/>
        <v>0</v>
      </c>
    </row>
    <row r="55" spans="1:19">
      <c r="A55" s="158"/>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60">
        <f t="shared" ref="S55:S77" si="21">ROUND(R55*B55/10000,0)</f>
        <v>0</v>
      </c>
    </row>
    <row r="56" spans="1:19">
      <c r="A56" s="158"/>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60">
        <f t="shared" si="21"/>
        <v>0</v>
      </c>
    </row>
    <row r="57" spans="1:19">
      <c r="A57" s="158"/>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60">
        <f t="shared" si="21"/>
        <v>0</v>
      </c>
    </row>
    <row r="58" spans="1:19">
      <c r="A58" s="158"/>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60">
        <f t="shared" si="21"/>
        <v>0</v>
      </c>
    </row>
    <row r="59" spans="1:19">
      <c r="A59" s="158"/>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60">
        <f t="shared" si="21"/>
        <v>0</v>
      </c>
    </row>
    <row r="60" spans="1:19">
      <c r="A60" s="158"/>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60">
        <f t="shared" si="21"/>
        <v>0</v>
      </c>
    </row>
    <row r="61" spans="1:19">
      <c r="A61" s="158"/>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60">
        <f t="shared" si="21"/>
        <v>0</v>
      </c>
    </row>
    <row r="62" spans="1:19">
      <c r="A62" s="158"/>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60">
        <f t="shared" si="21"/>
        <v>0</v>
      </c>
    </row>
    <row r="63" spans="1:19">
      <c r="A63" s="158"/>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60">
        <f t="shared" si="21"/>
        <v>0</v>
      </c>
    </row>
    <row r="64" spans="1:19">
      <c r="A64" s="158"/>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60">
        <f t="shared" si="21"/>
        <v>0</v>
      </c>
    </row>
    <row r="65" spans="1:19">
      <c r="A65" s="158"/>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60">
        <f t="shared" si="21"/>
        <v>0</v>
      </c>
    </row>
    <row r="66" spans="1:19">
      <c r="A66" s="158"/>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60">
        <f t="shared" si="21"/>
        <v>0</v>
      </c>
    </row>
    <row r="67" spans="1:19">
      <c r="A67" s="158"/>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60">
        <f t="shared" si="21"/>
        <v>0</v>
      </c>
    </row>
    <row r="68" spans="1:19">
      <c r="A68" s="158"/>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60">
        <f t="shared" si="21"/>
        <v>0</v>
      </c>
    </row>
    <row r="69" spans="1:19">
      <c r="A69" s="158"/>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60">
        <f t="shared" si="21"/>
        <v>0</v>
      </c>
    </row>
    <row r="70" spans="1:19">
      <c r="A70" s="158"/>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60">
        <f t="shared" si="21"/>
        <v>0</v>
      </c>
    </row>
    <row r="71" spans="1:19">
      <c r="A71" s="158"/>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60">
        <f t="shared" si="21"/>
        <v>0</v>
      </c>
    </row>
    <row r="72" spans="1:19">
      <c r="A72" s="158"/>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60">
        <f t="shared" si="21"/>
        <v>0</v>
      </c>
    </row>
    <row r="73" spans="1:19">
      <c r="A73" s="158"/>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60">
        <f t="shared" si="21"/>
        <v>0</v>
      </c>
    </row>
    <row r="74" spans="1:19">
      <c r="A74" s="158"/>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60">
        <f t="shared" si="21"/>
        <v>0</v>
      </c>
    </row>
    <row r="75" spans="1:19">
      <c r="A75" s="158"/>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60">
        <f t="shared" si="21"/>
        <v>0</v>
      </c>
    </row>
    <row r="76" spans="1:19">
      <c r="A76" s="158"/>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60">
        <f t="shared" si="21"/>
        <v>0</v>
      </c>
    </row>
    <row r="77" spans="1:19">
      <c r="A77" s="158"/>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60">
        <f t="shared" si="21"/>
        <v>0</v>
      </c>
    </row>
    <row r="78" spans="1:19">
      <c r="A78" s="158"/>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60">
        <f t="shared" ref="S78:S122" si="22">ROUND(R78*B78/10000,0)</f>
        <v>0</v>
      </c>
    </row>
    <row r="79" spans="1:19">
      <c r="A79" s="158"/>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60">
        <f t="shared" si="22"/>
        <v>0</v>
      </c>
    </row>
    <row r="80" spans="1:19">
      <c r="A80" s="158"/>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60">
        <f t="shared" si="22"/>
        <v>0</v>
      </c>
    </row>
    <row r="81" spans="1:19">
      <c r="A81" s="158"/>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60">
        <f t="shared" si="22"/>
        <v>0</v>
      </c>
    </row>
    <row r="82" spans="1:19">
      <c r="A82" s="158"/>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60">
        <f t="shared" si="22"/>
        <v>0</v>
      </c>
    </row>
    <row r="83" spans="1:19">
      <c r="A83" s="158"/>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60">
        <f t="shared" si="22"/>
        <v>0</v>
      </c>
    </row>
    <row r="84" spans="1:19">
      <c r="A84" s="158"/>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60">
        <f t="shared" si="22"/>
        <v>0</v>
      </c>
    </row>
    <row r="85" spans="1:19">
      <c r="A85" s="158"/>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60">
        <f t="shared" si="22"/>
        <v>0</v>
      </c>
    </row>
    <row r="86" spans="1:19">
      <c r="A86" s="158"/>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60">
        <f t="shared" si="22"/>
        <v>0</v>
      </c>
    </row>
    <row r="87" spans="1:19">
      <c r="A87" s="158"/>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60">
        <f t="shared" si="22"/>
        <v>0</v>
      </c>
    </row>
    <row r="88" spans="1:19">
      <c r="A88" s="158"/>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60">
        <f t="shared" si="22"/>
        <v>0</v>
      </c>
    </row>
    <row r="89" spans="1:19">
      <c r="A89" s="158"/>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60">
        <f t="shared" si="22"/>
        <v>0</v>
      </c>
    </row>
    <row r="90" spans="1:19">
      <c r="A90" s="158"/>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0">
        <f t="shared" si="22"/>
        <v>0</v>
      </c>
    </row>
    <row r="91" spans="1:19">
      <c r="A91" s="158"/>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60">
        <f t="shared" si="22"/>
        <v>0</v>
      </c>
    </row>
    <row r="92" spans="1:19">
      <c r="A92" s="158"/>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60">
        <f t="shared" si="22"/>
        <v>0</v>
      </c>
    </row>
    <row r="93" spans="1:19">
      <c r="A93" s="158"/>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60">
        <f t="shared" si="22"/>
        <v>0</v>
      </c>
    </row>
    <row r="94" spans="1:19">
      <c r="A94" s="158"/>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60">
        <f t="shared" si="22"/>
        <v>0</v>
      </c>
    </row>
    <row r="95" spans="1:19">
      <c r="A95" s="158"/>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60">
        <f t="shared" si="22"/>
        <v>0</v>
      </c>
    </row>
    <row r="96" spans="1:19">
      <c r="A96" s="158"/>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60">
        <f t="shared" si="22"/>
        <v>0</v>
      </c>
    </row>
    <row r="97" spans="1:19">
      <c r="A97" s="158"/>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60">
        <f t="shared" si="22"/>
        <v>0</v>
      </c>
    </row>
    <row r="98" spans="1:19">
      <c r="A98" s="158"/>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60">
        <f t="shared" si="22"/>
        <v>0</v>
      </c>
    </row>
    <row r="99" spans="1:19">
      <c r="A99" s="158"/>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60">
        <f t="shared" si="22"/>
        <v>0</v>
      </c>
    </row>
    <row r="100" spans="1:19">
      <c r="A100" s="158"/>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60">
        <f t="shared" si="22"/>
        <v>0</v>
      </c>
    </row>
    <row r="101" spans="1:19">
      <c r="A101" s="158"/>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60">
        <f t="shared" si="22"/>
        <v>0</v>
      </c>
    </row>
    <row r="102" spans="1:19">
      <c r="A102" s="158"/>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60">
        <f t="shared" si="22"/>
        <v>0</v>
      </c>
    </row>
    <row r="103" spans="1:19">
      <c r="A103" s="158"/>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60">
        <f t="shared" si="22"/>
        <v>0</v>
      </c>
    </row>
    <row r="104" spans="1:19">
      <c r="A104" s="158"/>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60">
        <f t="shared" si="22"/>
        <v>0</v>
      </c>
    </row>
    <row r="105" spans="1:19">
      <c r="A105" s="158"/>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60">
        <f t="shared" si="22"/>
        <v>0</v>
      </c>
    </row>
    <row r="106" spans="1:19">
      <c r="A106" s="158"/>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60">
        <f t="shared" si="22"/>
        <v>0</v>
      </c>
    </row>
    <row r="107" spans="1:19">
      <c r="A107" s="158"/>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60">
        <f t="shared" si="22"/>
        <v>0</v>
      </c>
    </row>
    <row r="108" spans="1:19">
      <c r="A108" s="158"/>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60">
        <f t="shared" si="22"/>
        <v>0</v>
      </c>
    </row>
    <row r="109" spans="1:19">
      <c r="A109" s="158"/>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60">
        <f t="shared" si="22"/>
        <v>0</v>
      </c>
    </row>
    <row r="110" spans="1:19">
      <c r="A110" s="158"/>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60">
        <f t="shared" si="22"/>
        <v>0</v>
      </c>
    </row>
    <row r="111" spans="1:19">
      <c r="A111" s="158"/>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60">
        <f t="shared" si="22"/>
        <v>0</v>
      </c>
    </row>
    <row r="112" spans="1:19">
      <c r="A112" s="158"/>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60">
        <f t="shared" si="22"/>
        <v>0</v>
      </c>
    </row>
    <row r="113" spans="1:19">
      <c r="A113" s="158"/>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60">
        <f t="shared" si="22"/>
        <v>0</v>
      </c>
    </row>
    <row r="114" spans="1:19">
      <c r="A114" s="158"/>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60">
        <f t="shared" si="22"/>
        <v>0</v>
      </c>
    </row>
    <row r="115" spans="1:19">
      <c r="A115" s="158"/>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60">
        <f t="shared" si="22"/>
        <v>0</v>
      </c>
    </row>
    <row r="116" spans="1:19">
      <c r="A116" s="158"/>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60">
        <f t="shared" si="22"/>
        <v>0</v>
      </c>
    </row>
    <row r="117" spans="1:19">
      <c r="A117" s="158"/>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60">
        <f t="shared" si="22"/>
        <v>0</v>
      </c>
    </row>
    <row r="118" spans="1:19">
      <c r="A118" s="158"/>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60">
        <f t="shared" si="22"/>
        <v>0</v>
      </c>
    </row>
    <row r="119" spans="1:19">
      <c r="A119" s="158"/>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60">
        <f t="shared" si="22"/>
        <v>0</v>
      </c>
    </row>
    <row r="120" spans="1:19">
      <c r="A120" s="158"/>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60">
        <f t="shared" si="22"/>
        <v>0</v>
      </c>
    </row>
    <row r="121" spans="1:19">
      <c r="A121" s="158"/>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60">
        <f t="shared" si="22"/>
        <v>0</v>
      </c>
    </row>
    <row r="122" spans="1:19">
      <c r="A122" s="158"/>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60">
        <f t="shared" si="22"/>
        <v>0</v>
      </c>
    </row>
    <row r="123" spans="1:19">
      <c r="A123" s="158"/>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60">
        <f t="shared" ref="S123:S186" si="32">ROUND(R123*B123/10000,0)</f>
        <v>0</v>
      </c>
    </row>
    <row r="124" spans="1:19">
      <c r="A124" s="158"/>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60">
        <f t="shared" si="32"/>
        <v>0</v>
      </c>
    </row>
    <row r="125" spans="1:19">
      <c r="A125" s="158"/>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60">
        <f t="shared" si="32"/>
        <v>0</v>
      </c>
    </row>
    <row r="126" spans="1:19">
      <c r="A126" s="158"/>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60">
        <f t="shared" si="32"/>
        <v>0</v>
      </c>
    </row>
    <row r="127" spans="1:19">
      <c r="A127" s="158"/>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60">
        <f t="shared" si="32"/>
        <v>0</v>
      </c>
    </row>
    <row r="128" spans="1:19">
      <c r="A128" s="158"/>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60">
        <f t="shared" si="32"/>
        <v>0</v>
      </c>
    </row>
    <row r="129" spans="1:19">
      <c r="A129" s="158"/>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60">
        <f t="shared" si="32"/>
        <v>0</v>
      </c>
    </row>
    <row r="130" spans="1:19">
      <c r="A130" s="158"/>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60">
        <f t="shared" si="32"/>
        <v>0</v>
      </c>
    </row>
    <row r="131" spans="1:19">
      <c r="A131" s="158"/>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60">
        <f t="shared" si="32"/>
        <v>0</v>
      </c>
    </row>
    <row r="132" spans="1:19">
      <c r="A132" s="158"/>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60">
        <f t="shared" si="32"/>
        <v>0</v>
      </c>
    </row>
    <row r="133" spans="1:19">
      <c r="A133" s="158"/>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60">
        <f t="shared" si="32"/>
        <v>0</v>
      </c>
    </row>
    <row r="134" spans="1:19">
      <c r="A134" s="158"/>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60">
        <f t="shared" si="32"/>
        <v>0</v>
      </c>
    </row>
    <row r="135" spans="1:19">
      <c r="A135" s="158"/>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60">
        <f t="shared" si="32"/>
        <v>0</v>
      </c>
    </row>
    <row r="136" spans="1:19">
      <c r="A136" s="158"/>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60">
        <f t="shared" si="32"/>
        <v>0</v>
      </c>
    </row>
    <row r="137" spans="1:19">
      <c r="A137" s="158"/>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60">
        <f t="shared" si="32"/>
        <v>0</v>
      </c>
    </row>
    <row r="138" spans="1:19">
      <c r="A138" s="158"/>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60">
        <f t="shared" si="32"/>
        <v>0</v>
      </c>
    </row>
    <row r="139" spans="1:19">
      <c r="A139" s="158"/>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60">
        <f t="shared" si="32"/>
        <v>0</v>
      </c>
    </row>
    <row r="140" spans="1:19">
      <c r="A140" s="158"/>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60">
        <f t="shared" si="32"/>
        <v>0</v>
      </c>
    </row>
    <row r="141" spans="1:19">
      <c r="A141" s="158"/>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60">
        <f t="shared" si="32"/>
        <v>0</v>
      </c>
    </row>
    <row r="142" spans="1:19">
      <c r="A142" s="158"/>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60">
        <f t="shared" si="32"/>
        <v>0</v>
      </c>
    </row>
    <row r="143" spans="1:19">
      <c r="A143" s="158"/>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60">
        <f t="shared" si="32"/>
        <v>0</v>
      </c>
    </row>
    <row r="144" spans="1:19">
      <c r="A144" s="158"/>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60">
        <f t="shared" si="32"/>
        <v>0</v>
      </c>
    </row>
    <row r="145" spans="1:19">
      <c r="A145" s="158"/>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60">
        <f t="shared" si="32"/>
        <v>0</v>
      </c>
    </row>
    <row r="146" spans="1:19">
      <c r="A146" s="158"/>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60">
        <f t="shared" si="32"/>
        <v>0</v>
      </c>
    </row>
    <row r="147" spans="1:19">
      <c r="A147" s="158"/>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60">
        <f t="shared" si="32"/>
        <v>0</v>
      </c>
    </row>
    <row r="148" spans="1:19">
      <c r="A148" s="158"/>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60">
        <f t="shared" si="32"/>
        <v>0</v>
      </c>
    </row>
    <row r="149" spans="1:19">
      <c r="A149" s="158"/>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60">
        <f t="shared" si="32"/>
        <v>0</v>
      </c>
    </row>
    <row r="150" spans="1:19">
      <c r="A150" s="158"/>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60">
        <f t="shared" si="32"/>
        <v>0</v>
      </c>
    </row>
    <row r="151" spans="1:19">
      <c r="A151" s="158"/>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60">
        <f t="shared" si="32"/>
        <v>0</v>
      </c>
    </row>
    <row r="152" spans="1:19">
      <c r="A152" s="158"/>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60">
        <f t="shared" si="32"/>
        <v>0</v>
      </c>
    </row>
    <row r="153" spans="1:19">
      <c r="A153" s="158"/>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60">
        <f t="shared" si="32"/>
        <v>0</v>
      </c>
    </row>
    <row r="154" spans="1:19">
      <c r="A154" s="158"/>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0">
        <f t="shared" si="32"/>
        <v>0</v>
      </c>
    </row>
    <row r="155" spans="1:19">
      <c r="A155" s="158"/>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60">
        <f t="shared" si="32"/>
        <v>0</v>
      </c>
    </row>
    <row r="156" spans="1:19">
      <c r="A156" s="158"/>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60">
        <f t="shared" si="32"/>
        <v>0</v>
      </c>
    </row>
    <row r="157" spans="1:19">
      <c r="A157" s="158"/>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60">
        <f t="shared" si="32"/>
        <v>0</v>
      </c>
    </row>
    <row r="158" spans="1:19">
      <c r="A158" s="158"/>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60">
        <f t="shared" si="32"/>
        <v>0</v>
      </c>
    </row>
    <row r="159" spans="1:19">
      <c r="A159" s="158"/>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60">
        <f t="shared" si="32"/>
        <v>0</v>
      </c>
    </row>
    <row r="160" spans="1:19">
      <c r="A160" s="158"/>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60">
        <f t="shared" si="32"/>
        <v>0</v>
      </c>
    </row>
    <row r="161" spans="1:19">
      <c r="A161" s="158"/>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60">
        <f t="shared" si="32"/>
        <v>0</v>
      </c>
    </row>
    <row r="162" spans="1:19">
      <c r="A162" s="158"/>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60">
        <f t="shared" si="32"/>
        <v>0</v>
      </c>
    </row>
    <row r="163" spans="1:19">
      <c r="A163" s="158"/>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60">
        <f t="shared" si="32"/>
        <v>0</v>
      </c>
    </row>
    <row r="164" spans="1:19">
      <c r="A164" s="158"/>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60">
        <f t="shared" si="32"/>
        <v>0</v>
      </c>
    </row>
    <row r="165" spans="1:19">
      <c r="A165" s="158"/>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60">
        <f t="shared" si="32"/>
        <v>0</v>
      </c>
    </row>
    <row r="166" spans="1:19">
      <c r="A166" s="158"/>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60">
        <f t="shared" si="32"/>
        <v>0</v>
      </c>
    </row>
    <row r="167" spans="1:19">
      <c r="A167" s="158"/>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60">
        <f t="shared" si="32"/>
        <v>0</v>
      </c>
    </row>
    <row r="168" spans="1:19">
      <c r="A168" s="158"/>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60">
        <f t="shared" si="32"/>
        <v>0</v>
      </c>
    </row>
    <row r="169" spans="1:19">
      <c r="A169" s="158"/>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60">
        <f t="shared" si="32"/>
        <v>0</v>
      </c>
    </row>
    <row r="170" spans="1:19">
      <c r="A170" s="158"/>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60">
        <f t="shared" si="32"/>
        <v>0</v>
      </c>
    </row>
    <row r="171" spans="1:19">
      <c r="A171" s="158"/>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60">
        <f t="shared" si="32"/>
        <v>0</v>
      </c>
    </row>
    <row r="172" spans="1:19">
      <c r="A172" s="158"/>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60">
        <f t="shared" si="32"/>
        <v>0</v>
      </c>
    </row>
    <row r="173" spans="1:19">
      <c r="A173" s="158"/>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60">
        <f t="shared" si="32"/>
        <v>0</v>
      </c>
    </row>
    <row r="174" spans="1:19">
      <c r="A174" s="158"/>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60">
        <f t="shared" si="32"/>
        <v>0</v>
      </c>
    </row>
    <row r="175" spans="1:19">
      <c r="A175" s="158"/>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60">
        <f t="shared" si="32"/>
        <v>0</v>
      </c>
    </row>
    <row r="176" spans="1:19">
      <c r="A176" s="158"/>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60">
        <f t="shared" si="32"/>
        <v>0</v>
      </c>
    </row>
    <row r="177" spans="1:19">
      <c r="A177" s="158"/>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60">
        <f t="shared" si="32"/>
        <v>0</v>
      </c>
    </row>
    <row r="178" spans="1:19">
      <c r="A178" s="158"/>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60">
        <f t="shared" si="32"/>
        <v>0</v>
      </c>
    </row>
    <row r="179" spans="1:19">
      <c r="A179" s="158"/>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60">
        <f t="shared" si="32"/>
        <v>0</v>
      </c>
    </row>
    <row r="180" spans="1:19">
      <c r="A180" s="158"/>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60">
        <f t="shared" si="32"/>
        <v>0</v>
      </c>
    </row>
    <row r="181" spans="1:19">
      <c r="A181" s="158"/>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60">
        <f t="shared" si="32"/>
        <v>0</v>
      </c>
    </row>
    <row r="182" spans="1:19">
      <c r="A182" s="158"/>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60">
        <f t="shared" si="32"/>
        <v>0</v>
      </c>
    </row>
    <row r="183" spans="1:19">
      <c r="A183" s="158"/>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60">
        <f t="shared" si="32"/>
        <v>0</v>
      </c>
    </row>
    <row r="184" spans="1:19">
      <c r="A184" s="158"/>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60">
        <f t="shared" si="32"/>
        <v>0</v>
      </c>
    </row>
    <row r="185" spans="1:19">
      <c r="A185" s="158"/>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60">
        <f t="shared" si="32"/>
        <v>0</v>
      </c>
    </row>
    <row r="186" spans="1:19">
      <c r="A186" s="158"/>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60">
        <f t="shared" si="32"/>
        <v>0</v>
      </c>
    </row>
    <row r="187" spans="1:19">
      <c r="A187" s="158"/>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60">
        <f t="shared" ref="S187:S222" si="42">ROUND(R187*B187/10000,0)</f>
        <v>0</v>
      </c>
    </row>
    <row r="188" spans="1:19">
      <c r="A188" s="158"/>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60">
        <f t="shared" si="42"/>
        <v>0</v>
      </c>
    </row>
    <row r="189" spans="1:19">
      <c r="A189" s="158"/>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60">
        <f t="shared" si="42"/>
        <v>0</v>
      </c>
    </row>
    <row r="190" spans="1:19">
      <c r="A190" s="158"/>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60">
        <f t="shared" si="42"/>
        <v>0</v>
      </c>
    </row>
    <row r="191" spans="1:19">
      <c r="A191" s="158"/>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60">
        <f t="shared" si="42"/>
        <v>0</v>
      </c>
    </row>
    <row r="192" spans="1:19">
      <c r="A192" s="158"/>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60">
        <f t="shared" si="42"/>
        <v>0</v>
      </c>
    </row>
    <row r="193" spans="1:19">
      <c r="A193" s="158"/>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60">
        <f t="shared" si="42"/>
        <v>0</v>
      </c>
    </row>
    <row r="194" spans="1:19">
      <c r="A194" s="158"/>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60">
        <f t="shared" si="42"/>
        <v>0</v>
      </c>
    </row>
    <row r="195" spans="1:19">
      <c r="A195" s="158"/>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60">
        <f t="shared" si="42"/>
        <v>0</v>
      </c>
    </row>
    <row r="196" spans="1:19">
      <c r="A196" s="158"/>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60">
        <f t="shared" si="42"/>
        <v>0</v>
      </c>
    </row>
    <row r="197" spans="1:19">
      <c r="A197" s="158"/>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60">
        <f t="shared" si="42"/>
        <v>0</v>
      </c>
    </row>
    <row r="198" spans="1:19">
      <c r="A198" s="158"/>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60">
        <f t="shared" si="42"/>
        <v>0</v>
      </c>
    </row>
    <row r="199" spans="1:19">
      <c r="A199" s="158"/>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60">
        <f t="shared" si="42"/>
        <v>0</v>
      </c>
    </row>
    <row r="200" spans="1:19">
      <c r="A200" s="158"/>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60">
        <f t="shared" si="42"/>
        <v>0</v>
      </c>
    </row>
    <row r="201" spans="1:19">
      <c r="A201" s="158"/>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60">
        <f t="shared" si="42"/>
        <v>0</v>
      </c>
    </row>
    <row r="202" spans="1:19">
      <c r="A202" s="158"/>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60">
        <f t="shared" si="42"/>
        <v>0</v>
      </c>
    </row>
    <row r="203" spans="1:19">
      <c r="A203" s="158"/>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60">
        <f t="shared" si="42"/>
        <v>0</v>
      </c>
    </row>
    <row r="204" spans="1:19">
      <c r="A204" s="158"/>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60">
        <f t="shared" si="42"/>
        <v>0</v>
      </c>
    </row>
    <row r="205" spans="1:19">
      <c r="A205" s="158"/>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60">
        <f t="shared" si="42"/>
        <v>0</v>
      </c>
    </row>
    <row r="206" spans="1:19">
      <c r="A206" s="158"/>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60">
        <f t="shared" si="42"/>
        <v>0</v>
      </c>
    </row>
    <row r="207" spans="1:19">
      <c r="A207" s="158"/>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60">
        <f t="shared" si="42"/>
        <v>0</v>
      </c>
    </row>
    <row r="208" spans="1:19">
      <c r="A208" s="158"/>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60">
        <f t="shared" si="42"/>
        <v>0</v>
      </c>
    </row>
    <row r="209" spans="1:19">
      <c r="A209" s="158"/>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60">
        <f t="shared" si="42"/>
        <v>0</v>
      </c>
    </row>
    <row r="210" spans="1:19">
      <c r="A210" s="158"/>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60">
        <f t="shared" si="42"/>
        <v>0</v>
      </c>
    </row>
    <row r="211" spans="1:19">
      <c r="A211" s="158"/>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60">
        <f t="shared" si="42"/>
        <v>0</v>
      </c>
    </row>
    <row r="212" spans="1:19">
      <c r="A212" s="158"/>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60">
        <f t="shared" si="42"/>
        <v>0</v>
      </c>
    </row>
    <row r="213" spans="1:19">
      <c r="A213" s="158"/>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60">
        <f t="shared" si="42"/>
        <v>0</v>
      </c>
    </row>
    <row r="214" spans="1:19">
      <c r="A214" s="158"/>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60">
        <f t="shared" si="42"/>
        <v>0</v>
      </c>
    </row>
    <row r="215" spans="1:19">
      <c r="A215" s="158"/>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60">
        <f t="shared" si="42"/>
        <v>0</v>
      </c>
    </row>
    <row r="216" spans="1:19">
      <c r="A216" s="158"/>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60">
        <f t="shared" si="42"/>
        <v>0</v>
      </c>
    </row>
    <row r="217" spans="1:19">
      <c r="A217" s="158"/>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60">
        <f t="shared" si="42"/>
        <v>0</v>
      </c>
    </row>
    <row r="218" spans="1:19">
      <c r="A218" s="158"/>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0">
        <f t="shared" si="42"/>
        <v>0</v>
      </c>
    </row>
    <row r="219" spans="1:19">
      <c r="A219" s="158"/>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60">
        <f t="shared" si="42"/>
        <v>0</v>
      </c>
    </row>
    <row r="220" spans="1:19">
      <c r="A220" s="158"/>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60">
        <f t="shared" si="42"/>
        <v>0</v>
      </c>
    </row>
    <row r="221" spans="1:19">
      <c r="A221" s="158"/>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60">
        <f t="shared" si="42"/>
        <v>0</v>
      </c>
    </row>
    <row r="222" spans="1:19">
      <c r="A222" s="158"/>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60">
        <f t="shared" si="42"/>
        <v>0</v>
      </c>
    </row>
    <row r="223" spans="1:19">
      <c r="A223" s="158"/>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60">
        <f t="shared" ref="S223:S286" si="52">ROUND(R223*B223/10000,0)</f>
        <v>0</v>
      </c>
    </row>
    <row r="224" spans="1:19">
      <c r="A224" s="158"/>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60">
        <f t="shared" si="52"/>
        <v>0</v>
      </c>
    </row>
    <row r="225" spans="1:19">
      <c r="A225" s="158"/>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60">
        <f t="shared" si="52"/>
        <v>0</v>
      </c>
    </row>
    <row r="226" spans="1:19">
      <c r="A226" s="158"/>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60">
        <f t="shared" si="52"/>
        <v>0</v>
      </c>
    </row>
    <row r="227" spans="1:19">
      <c r="A227" s="158"/>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60">
        <f t="shared" si="52"/>
        <v>0</v>
      </c>
    </row>
    <row r="228" spans="1:19">
      <c r="A228" s="158"/>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60">
        <f t="shared" si="52"/>
        <v>0</v>
      </c>
    </row>
    <row r="229" spans="1:19">
      <c r="A229" s="158"/>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60">
        <f t="shared" si="52"/>
        <v>0</v>
      </c>
    </row>
    <row r="230" spans="1:19">
      <c r="A230" s="158"/>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60">
        <f t="shared" si="52"/>
        <v>0</v>
      </c>
    </row>
    <row r="231" spans="1:19">
      <c r="A231" s="158"/>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60">
        <f t="shared" si="52"/>
        <v>0</v>
      </c>
    </row>
    <row r="232" spans="1:19">
      <c r="A232" s="158"/>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60">
        <f t="shared" si="52"/>
        <v>0</v>
      </c>
    </row>
    <row r="233" spans="1:19">
      <c r="A233" s="158"/>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60">
        <f t="shared" si="52"/>
        <v>0</v>
      </c>
    </row>
    <row r="234" spans="1:19">
      <c r="A234" s="158"/>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60">
        <f t="shared" si="52"/>
        <v>0</v>
      </c>
    </row>
    <row r="235" spans="1:19">
      <c r="A235" s="158"/>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60">
        <f t="shared" si="52"/>
        <v>0</v>
      </c>
    </row>
    <row r="236" spans="1:19">
      <c r="A236" s="158"/>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60">
        <f t="shared" si="52"/>
        <v>0</v>
      </c>
    </row>
    <row r="237" spans="1:19">
      <c r="A237" s="158"/>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60">
        <f t="shared" si="52"/>
        <v>0</v>
      </c>
    </row>
    <row r="238" spans="1:19">
      <c r="A238" s="158"/>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60">
        <f t="shared" si="52"/>
        <v>0</v>
      </c>
    </row>
    <row r="239" spans="1:19">
      <c r="A239" s="158"/>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60">
        <f t="shared" si="52"/>
        <v>0</v>
      </c>
    </row>
    <row r="240" spans="1:19">
      <c r="A240" s="158"/>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60">
        <f t="shared" si="52"/>
        <v>0</v>
      </c>
    </row>
    <row r="241" spans="1:19">
      <c r="A241" s="158"/>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60">
        <f t="shared" si="52"/>
        <v>0</v>
      </c>
    </row>
    <row r="242" spans="1:19">
      <c r="A242" s="158"/>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60">
        <f t="shared" si="52"/>
        <v>0</v>
      </c>
    </row>
    <row r="243" spans="1:19">
      <c r="A243" s="158"/>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60">
        <f t="shared" si="52"/>
        <v>0</v>
      </c>
    </row>
    <row r="244" spans="1:19">
      <c r="A244" s="158"/>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60">
        <f t="shared" si="52"/>
        <v>0</v>
      </c>
    </row>
    <row r="245" spans="1:19">
      <c r="A245" s="158"/>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60">
        <f t="shared" si="52"/>
        <v>0</v>
      </c>
    </row>
    <row r="246" spans="1:19">
      <c r="A246" s="158"/>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60">
        <f t="shared" si="52"/>
        <v>0</v>
      </c>
    </row>
    <row r="247" spans="1:19">
      <c r="A247" s="158"/>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60">
        <f t="shared" si="52"/>
        <v>0</v>
      </c>
    </row>
    <row r="248" spans="1:19">
      <c r="A248" s="158"/>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60">
        <f t="shared" si="52"/>
        <v>0</v>
      </c>
    </row>
    <row r="249" spans="1:19">
      <c r="A249" s="158"/>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60">
        <f t="shared" si="52"/>
        <v>0</v>
      </c>
    </row>
    <row r="250" spans="1:19">
      <c r="A250" s="158"/>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60">
        <f t="shared" si="52"/>
        <v>0</v>
      </c>
    </row>
    <row r="251" spans="1:19">
      <c r="A251" s="158"/>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60">
        <f t="shared" si="52"/>
        <v>0</v>
      </c>
    </row>
    <row r="252" spans="1:19">
      <c r="A252" s="158"/>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60">
        <f t="shared" si="52"/>
        <v>0</v>
      </c>
    </row>
    <row r="253" spans="1:19">
      <c r="A253" s="158"/>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60">
        <f t="shared" si="52"/>
        <v>0</v>
      </c>
    </row>
    <row r="254" spans="1:19">
      <c r="A254" s="158"/>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60">
        <f t="shared" si="52"/>
        <v>0</v>
      </c>
    </row>
    <row r="255" spans="1:19">
      <c r="A255" s="158"/>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60">
        <f t="shared" si="52"/>
        <v>0</v>
      </c>
    </row>
    <row r="256" spans="1:19">
      <c r="A256" s="158"/>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60">
        <f t="shared" si="52"/>
        <v>0</v>
      </c>
    </row>
    <row r="257" spans="1:19">
      <c r="A257" s="158"/>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60">
        <f t="shared" si="52"/>
        <v>0</v>
      </c>
    </row>
    <row r="258" spans="1:19">
      <c r="A258" s="158"/>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60">
        <f t="shared" si="52"/>
        <v>0</v>
      </c>
    </row>
    <row r="259" spans="1:19">
      <c r="A259" s="158"/>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60">
        <f t="shared" si="52"/>
        <v>0</v>
      </c>
    </row>
    <row r="260" spans="1:19">
      <c r="A260" s="158"/>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60">
        <f t="shared" si="52"/>
        <v>0</v>
      </c>
    </row>
    <row r="261" spans="1:19">
      <c r="A261" s="158"/>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60">
        <f t="shared" si="52"/>
        <v>0</v>
      </c>
    </row>
    <row r="262" spans="1:19">
      <c r="A262" s="158"/>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60">
        <f t="shared" si="52"/>
        <v>0</v>
      </c>
    </row>
    <row r="263" spans="1:19">
      <c r="A263" s="158"/>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60">
        <f t="shared" si="52"/>
        <v>0</v>
      </c>
    </row>
    <row r="264" spans="1:19">
      <c r="A264" s="158"/>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60">
        <f t="shared" si="52"/>
        <v>0</v>
      </c>
    </row>
    <row r="265" spans="1:19">
      <c r="A265" s="158"/>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60">
        <f t="shared" si="52"/>
        <v>0</v>
      </c>
    </row>
    <row r="266" spans="1:19">
      <c r="A266" s="158"/>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60">
        <f t="shared" si="52"/>
        <v>0</v>
      </c>
    </row>
    <row r="267" spans="1:19">
      <c r="A267" s="158"/>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60">
        <f t="shared" si="52"/>
        <v>0</v>
      </c>
    </row>
    <row r="268" spans="1:19">
      <c r="A268" s="158"/>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60">
        <f t="shared" si="52"/>
        <v>0</v>
      </c>
    </row>
    <row r="269" spans="1:19">
      <c r="A269" s="158"/>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60">
        <f t="shared" si="52"/>
        <v>0</v>
      </c>
    </row>
    <row r="270" spans="1:19">
      <c r="A270" s="158"/>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60">
        <f t="shared" si="52"/>
        <v>0</v>
      </c>
    </row>
    <row r="271" spans="1:19">
      <c r="A271" s="158"/>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60">
        <f t="shared" si="52"/>
        <v>0</v>
      </c>
    </row>
    <row r="272" spans="1:19">
      <c r="A272" s="158"/>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60">
        <f t="shared" si="52"/>
        <v>0</v>
      </c>
    </row>
    <row r="273" spans="1:19">
      <c r="A273" s="158"/>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60">
        <f t="shared" si="52"/>
        <v>0</v>
      </c>
    </row>
    <row r="274" spans="1:19">
      <c r="A274" s="158"/>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60">
        <f t="shared" si="52"/>
        <v>0</v>
      </c>
    </row>
    <row r="275" spans="1:19">
      <c r="A275" s="158"/>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60">
        <f t="shared" si="52"/>
        <v>0</v>
      </c>
    </row>
    <row r="276" spans="1:19">
      <c r="A276" s="158"/>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60">
        <f t="shared" si="52"/>
        <v>0</v>
      </c>
    </row>
    <row r="277" spans="1:19">
      <c r="A277" s="158"/>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60">
        <f t="shared" si="52"/>
        <v>0</v>
      </c>
    </row>
    <row r="278" spans="1:19">
      <c r="A278" s="158"/>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60">
        <f t="shared" si="52"/>
        <v>0</v>
      </c>
    </row>
    <row r="279" spans="1:19">
      <c r="A279" s="158"/>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60">
        <f t="shared" si="52"/>
        <v>0</v>
      </c>
    </row>
    <row r="280" spans="1:19">
      <c r="A280" s="158"/>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60">
        <f t="shared" si="52"/>
        <v>0</v>
      </c>
    </row>
    <row r="281" spans="1:19">
      <c r="A281" s="158"/>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60">
        <f t="shared" si="52"/>
        <v>0</v>
      </c>
    </row>
    <row r="282" spans="1:19">
      <c r="A282" s="158"/>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0">
        <f t="shared" si="52"/>
        <v>0</v>
      </c>
    </row>
    <row r="283" spans="1:19">
      <c r="A283" s="158"/>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60">
        <f t="shared" si="52"/>
        <v>0</v>
      </c>
    </row>
    <row r="284" spans="1:19">
      <c r="A284" s="158"/>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60">
        <f t="shared" si="52"/>
        <v>0</v>
      </c>
    </row>
    <row r="285" spans="1:19">
      <c r="A285" s="158"/>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60">
        <f t="shared" si="52"/>
        <v>0</v>
      </c>
    </row>
    <row r="286" spans="1:19">
      <c r="A286" s="158"/>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60">
        <f t="shared" si="52"/>
        <v>0</v>
      </c>
    </row>
    <row r="287" spans="1:19">
      <c r="A287" s="158"/>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60">
        <f t="shared" ref="S287:S320" si="62">ROUND(R287*B287/10000,0)</f>
        <v>0</v>
      </c>
    </row>
    <row r="288" spans="1:19">
      <c r="A288" s="158"/>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60">
        <f t="shared" si="62"/>
        <v>0</v>
      </c>
    </row>
    <row r="289" spans="1:19">
      <c r="A289" s="158"/>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60">
        <f t="shared" si="62"/>
        <v>0</v>
      </c>
    </row>
    <row r="290" spans="1:19">
      <c r="A290" s="158"/>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60">
        <f t="shared" si="62"/>
        <v>0</v>
      </c>
    </row>
    <row r="291" spans="1:19">
      <c r="A291" s="158"/>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60">
        <f t="shared" si="62"/>
        <v>0</v>
      </c>
    </row>
    <row r="292" spans="1:19">
      <c r="A292" s="158"/>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60">
        <f t="shared" si="62"/>
        <v>0</v>
      </c>
    </row>
    <row r="293" spans="1:19">
      <c r="A293" s="158"/>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60">
        <f t="shared" si="62"/>
        <v>0</v>
      </c>
    </row>
    <row r="294" spans="1:19">
      <c r="A294" s="158"/>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60">
        <f t="shared" si="62"/>
        <v>0</v>
      </c>
    </row>
    <row r="295" spans="1:19">
      <c r="A295" s="158"/>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60">
        <f t="shared" si="62"/>
        <v>0</v>
      </c>
    </row>
    <row r="296" spans="1:19">
      <c r="A296" s="158"/>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60">
        <f t="shared" si="62"/>
        <v>0</v>
      </c>
    </row>
    <row r="297" spans="1:19">
      <c r="A297" s="158"/>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60">
        <f t="shared" si="62"/>
        <v>0</v>
      </c>
    </row>
    <row r="298" spans="1:19">
      <c r="A298" s="158"/>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60">
        <f t="shared" si="62"/>
        <v>0</v>
      </c>
    </row>
    <row r="299" spans="1:19">
      <c r="A299" s="158"/>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60">
        <f t="shared" si="62"/>
        <v>0</v>
      </c>
    </row>
    <row r="300" spans="1:19">
      <c r="A300" s="158"/>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60">
        <f t="shared" si="62"/>
        <v>0</v>
      </c>
    </row>
    <row r="301" spans="1:19">
      <c r="A301" s="158"/>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60">
        <f t="shared" si="62"/>
        <v>0</v>
      </c>
    </row>
    <row r="302" spans="1:19">
      <c r="A302" s="158"/>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60">
        <f t="shared" si="62"/>
        <v>0</v>
      </c>
    </row>
    <row r="303" spans="1:19">
      <c r="A303" s="158"/>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60">
        <f t="shared" si="62"/>
        <v>0</v>
      </c>
    </row>
    <row r="304" spans="1:19">
      <c r="A304" s="158"/>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60">
        <f t="shared" si="62"/>
        <v>0</v>
      </c>
    </row>
    <row r="305" spans="1:19">
      <c r="A305" s="158"/>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60">
        <f t="shared" si="62"/>
        <v>0</v>
      </c>
    </row>
    <row r="306" spans="1:19">
      <c r="A306" s="158"/>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60">
        <f t="shared" si="62"/>
        <v>0</v>
      </c>
    </row>
    <row r="307" spans="1:19">
      <c r="A307" s="158"/>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60">
        <f t="shared" si="62"/>
        <v>0</v>
      </c>
    </row>
    <row r="308" spans="1:19">
      <c r="A308" s="158"/>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60">
        <f t="shared" si="62"/>
        <v>0</v>
      </c>
    </row>
    <row r="309" spans="1:19">
      <c r="A309" s="158"/>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60">
        <f t="shared" si="62"/>
        <v>0</v>
      </c>
    </row>
    <row r="310" spans="1:19">
      <c r="A310" s="158"/>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60">
        <f t="shared" si="62"/>
        <v>0</v>
      </c>
    </row>
    <row r="311" spans="1:19">
      <c r="A311" s="158"/>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60">
        <f t="shared" si="62"/>
        <v>0</v>
      </c>
    </row>
    <row r="312" spans="1:19">
      <c r="A312" s="158"/>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60">
        <f t="shared" si="62"/>
        <v>0</v>
      </c>
    </row>
    <row r="313" spans="1:19">
      <c r="A313" s="158"/>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60">
        <f t="shared" si="62"/>
        <v>0</v>
      </c>
    </row>
    <row r="314" spans="1:19">
      <c r="A314" s="158"/>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60">
        <f t="shared" si="62"/>
        <v>0</v>
      </c>
    </row>
    <row r="315" spans="1:19">
      <c r="A315" s="158"/>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60">
        <f t="shared" si="62"/>
        <v>0</v>
      </c>
    </row>
    <row r="316" spans="1:19">
      <c r="A316" s="158"/>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60">
        <f t="shared" si="62"/>
        <v>0</v>
      </c>
    </row>
    <row r="317" spans="1:19">
      <c r="A317" s="158"/>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60">
        <f t="shared" si="62"/>
        <v>0</v>
      </c>
    </row>
    <row r="318" spans="1:19">
      <c r="A318" s="158"/>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60">
        <f t="shared" si="62"/>
        <v>0</v>
      </c>
    </row>
    <row r="319" spans="1:19">
      <c r="A319" s="158"/>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60">
        <f t="shared" si="62"/>
        <v>0</v>
      </c>
    </row>
    <row r="320" spans="1:19">
      <c r="A320" s="158"/>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60">
        <f t="shared" si="62"/>
        <v>0</v>
      </c>
    </row>
    <row r="321" spans="1:19">
      <c r="A321" s="158"/>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60">
        <f t="shared" ref="S321:S384" si="63">ROUND(R321*B321/10000,0)</f>
        <v>0</v>
      </c>
    </row>
    <row r="322" spans="1:19">
      <c r="A322" s="158"/>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60">
        <f t="shared" si="63"/>
        <v>0</v>
      </c>
    </row>
    <row r="323" spans="1:19">
      <c r="A323" s="158"/>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60">
        <f t="shared" si="63"/>
        <v>0</v>
      </c>
    </row>
    <row r="324" spans="1:19">
      <c r="A324" s="158"/>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60">
        <f t="shared" si="63"/>
        <v>0</v>
      </c>
    </row>
    <row r="325" spans="1:19">
      <c r="A325" s="158"/>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60">
        <f t="shared" si="63"/>
        <v>0</v>
      </c>
    </row>
    <row r="326" spans="1:19">
      <c r="A326" s="158"/>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60">
        <f t="shared" si="63"/>
        <v>0</v>
      </c>
    </row>
    <row r="327" spans="1:19">
      <c r="A327" s="158"/>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60">
        <f t="shared" si="63"/>
        <v>0</v>
      </c>
    </row>
    <row r="328" spans="1:19">
      <c r="A328" s="158"/>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60">
        <f t="shared" si="63"/>
        <v>0</v>
      </c>
    </row>
    <row r="329" spans="1:19">
      <c r="A329" s="158"/>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60">
        <f t="shared" si="63"/>
        <v>0</v>
      </c>
    </row>
    <row r="330" spans="1:19">
      <c r="A330" s="158"/>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60">
        <f t="shared" si="63"/>
        <v>0</v>
      </c>
    </row>
    <row r="331" spans="1:19">
      <c r="A331" s="158"/>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60">
        <f t="shared" si="63"/>
        <v>0</v>
      </c>
    </row>
    <row r="332" spans="1:19">
      <c r="A332" s="158"/>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60">
        <f t="shared" si="63"/>
        <v>0</v>
      </c>
    </row>
    <row r="333" spans="1:19">
      <c r="A333" s="158"/>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60">
        <f t="shared" si="63"/>
        <v>0</v>
      </c>
    </row>
    <row r="334" spans="1:19">
      <c r="A334" s="158"/>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60">
        <f t="shared" si="63"/>
        <v>0</v>
      </c>
    </row>
    <row r="335" spans="1:19">
      <c r="A335" s="158"/>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60">
        <f t="shared" si="63"/>
        <v>0</v>
      </c>
    </row>
    <row r="336" spans="1:19">
      <c r="A336" s="158"/>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60">
        <f t="shared" si="63"/>
        <v>0</v>
      </c>
    </row>
    <row r="337" spans="1:19">
      <c r="A337" s="158"/>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60">
        <f t="shared" si="63"/>
        <v>0</v>
      </c>
    </row>
    <row r="338" spans="1:19">
      <c r="A338" s="158"/>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60">
        <f t="shared" si="63"/>
        <v>0</v>
      </c>
    </row>
    <row r="339" spans="1:19">
      <c r="A339" s="158"/>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60">
        <f t="shared" si="63"/>
        <v>0</v>
      </c>
    </row>
    <row r="340" spans="1:19">
      <c r="A340" s="158"/>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60">
        <f t="shared" si="63"/>
        <v>0</v>
      </c>
    </row>
    <row r="341" spans="1:19">
      <c r="A341" s="158"/>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60">
        <f t="shared" si="63"/>
        <v>0</v>
      </c>
    </row>
    <row r="342" spans="1:19">
      <c r="A342" s="158"/>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60">
        <f t="shared" si="63"/>
        <v>0</v>
      </c>
    </row>
    <row r="343" spans="1:19">
      <c r="A343" s="158"/>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60">
        <f t="shared" si="63"/>
        <v>0</v>
      </c>
    </row>
    <row r="344" spans="1:19">
      <c r="A344" s="158"/>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60">
        <f t="shared" si="63"/>
        <v>0</v>
      </c>
    </row>
    <row r="345" spans="1:19">
      <c r="A345" s="158"/>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60">
        <f t="shared" si="63"/>
        <v>0</v>
      </c>
    </row>
    <row r="346" spans="1:19">
      <c r="A346" s="158"/>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0">
        <f t="shared" si="63"/>
        <v>0</v>
      </c>
    </row>
    <row r="347" spans="1:19">
      <c r="A347" s="158"/>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60">
        <f t="shared" si="63"/>
        <v>0</v>
      </c>
    </row>
    <row r="348" spans="1:19">
      <c r="A348" s="158"/>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60">
        <f t="shared" si="63"/>
        <v>0</v>
      </c>
    </row>
    <row r="349" spans="1:19">
      <c r="A349" s="158"/>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60">
        <f t="shared" si="63"/>
        <v>0</v>
      </c>
    </row>
    <row r="350" spans="1:19">
      <c r="A350" s="158"/>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60">
        <f t="shared" si="63"/>
        <v>0</v>
      </c>
    </row>
    <row r="351" spans="1:19">
      <c r="A351" s="158"/>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60">
        <f t="shared" si="63"/>
        <v>0</v>
      </c>
    </row>
    <row r="352" spans="1:19">
      <c r="A352" s="158"/>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60">
        <f t="shared" si="63"/>
        <v>0</v>
      </c>
    </row>
    <row r="353" spans="1:19">
      <c r="A353" s="158"/>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60">
        <f t="shared" si="63"/>
        <v>0</v>
      </c>
    </row>
    <row r="354" spans="1:19">
      <c r="A354" s="158"/>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60">
        <f t="shared" si="63"/>
        <v>0</v>
      </c>
    </row>
    <row r="355" spans="1:19">
      <c r="A355" s="158"/>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60">
        <f t="shared" si="63"/>
        <v>0</v>
      </c>
    </row>
    <row r="356" spans="1:19">
      <c r="A356" s="158"/>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60">
        <f t="shared" si="63"/>
        <v>0</v>
      </c>
    </row>
    <row r="357" spans="1:19">
      <c r="A357" s="158"/>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60">
        <f t="shared" si="63"/>
        <v>0</v>
      </c>
    </row>
    <row r="358" spans="1:19">
      <c r="A358" s="158"/>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60">
        <f t="shared" si="63"/>
        <v>0</v>
      </c>
    </row>
    <row r="359" spans="1:19">
      <c r="A359" s="158"/>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60">
        <f t="shared" si="63"/>
        <v>0</v>
      </c>
    </row>
    <row r="360" spans="1:19">
      <c r="A360" s="158"/>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60">
        <f t="shared" si="63"/>
        <v>0</v>
      </c>
    </row>
    <row r="361" spans="1:19">
      <c r="A361" s="158"/>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60">
        <f t="shared" si="63"/>
        <v>0</v>
      </c>
    </row>
    <row r="362" spans="1:19">
      <c r="A362" s="158"/>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60">
        <f t="shared" si="63"/>
        <v>0</v>
      </c>
    </row>
    <row r="363" spans="1:19">
      <c r="A363" s="158"/>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60">
        <f t="shared" si="63"/>
        <v>0</v>
      </c>
    </row>
    <row r="364" spans="1:19">
      <c r="A364" s="158"/>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60">
        <f t="shared" si="63"/>
        <v>0</v>
      </c>
    </row>
    <row r="365" spans="1:19">
      <c r="A365" s="158"/>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60">
        <f t="shared" si="63"/>
        <v>0</v>
      </c>
    </row>
    <row r="366" spans="1:19">
      <c r="A366" s="158"/>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60">
        <f t="shared" si="63"/>
        <v>0</v>
      </c>
    </row>
    <row r="367" spans="1:19">
      <c r="A367" s="158"/>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60">
        <f t="shared" si="63"/>
        <v>0</v>
      </c>
    </row>
    <row r="368" spans="1:19">
      <c r="A368" s="158"/>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60">
        <f t="shared" si="63"/>
        <v>0</v>
      </c>
    </row>
    <row r="369" spans="1:19">
      <c r="A369" s="158"/>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60">
        <f t="shared" si="63"/>
        <v>0</v>
      </c>
    </row>
    <row r="370" spans="1:19">
      <c r="A370" s="158"/>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60">
        <f t="shared" si="63"/>
        <v>0</v>
      </c>
    </row>
    <row r="371" spans="1:19">
      <c r="A371" s="158"/>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60">
        <f t="shared" si="63"/>
        <v>0</v>
      </c>
    </row>
    <row r="372" spans="1:19">
      <c r="A372" s="158"/>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60">
        <f t="shared" si="63"/>
        <v>0</v>
      </c>
    </row>
    <row r="373" spans="1:19">
      <c r="A373" s="158"/>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60">
        <f t="shared" si="63"/>
        <v>0</v>
      </c>
    </row>
    <row r="374" spans="1:19">
      <c r="A374" s="158"/>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60">
        <f t="shared" si="63"/>
        <v>0</v>
      </c>
    </row>
    <row r="375" spans="1:19">
      <c r="A375" s="158"/>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60">
        <f t="shared" si="63"/>
        <v>0</v>
      </c>
    </row>
    <row r="376" spans="1:19">
      <c r="A376" s="158"/>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60">
        <f t="shared" si="63"/>
        <v>0</v>
      </c>
    </row>
    <row r="377" spans="1:19">
      <c r="A377" s="158"/>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60">
        <f t="shared" si="63"/>
        <v>0</v>
      </c>
    </row>
    <row r="378" spans="1:19">
      <c r="A378" s="158"/>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60">
        <f t="shared" si="63"/>
        <v>0</v>
      </c>
    </row>
    <row r="379" spans="1:19">
      <c r="A379" s="158"/>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60">
        <f t="shared" si="63"/>
        <v>0</v>
      </c>
    </row>
    <row r="380" spans="1:19">
      <c r="A380" s="158"/>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60">
        <f t="shared" si="63"/>
        <v>0</v>
      </c>
    </row>
    <row r="381" spans="1:19">
      <c r="A381" s="158"/>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60">
        <f t="shared" si="63"/>
        <v>0</v>
      </c>
    </row>
    <row r="382" spans="1:19">
      <c r="A382" s="158"/>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60">
        <f t="shared" si="63"/>
        <v>0</v>
      </c>
    </row>
    <row r="383" spans="1:19">
      <c r="A383" s="158"/>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60">
        <f t="shared" si="63"/>
        <v>0</v>
      </c>
    </row>
    <row r="384" spans="1:19">
      <c r="A384" s="158"/>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60">
        <f t="shared" si="63"/>
        <v>0</v>
      </c>
    </row>
    <row r="385" spans="1:19">
      <c r="A385" s="158"/>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60">
        <f t="shared" ref="S385:S422" si="73">ROUND(R385*B385/10000,0)</f>
        <v>0</v>
      </c>
    </row>
    <row r="386" spans="1:19">
      <c r="A386" s="158"/>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60">
        <f t="shared" si="73"/>
        <v>0</v>
      </c>
    </row>
    <row r="387" spans="1:19">
      <c r="A387" s="158"/>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60">
        <f t="shared" si="73"/>
        <v>0</v>
      </c>
    </row>
    <row r="388" spans="1:19">
      <c r="A388" s="158"/>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60">
        <f t="shared" si="73"/>
        <v>0</v>
      </c>
    </row>
    <row r="389" spans="1:19">
      <c r="A389" s="158"/>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60">
        <f t="shared" si="73"/>
        <v>0</v>
      </c>
    </row>
    <row r="390" spans="1:19">
      <c r="A390" s="158"/>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60">
        <f t="shared" si="73"/>
        <v>0</v>
      </c>
    </row>
    <row r="391" spans="1:19">
      <c r="A391" s="158"/>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60">
        <f t="shared" si="73"/>
        <v>0</v>
      </c>
    </row>
    <row r="392" spans="1:19">
      <c r="A392" s="158"/>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60">
        <f t="shared" si="73"/>
        <v>0</v>
      </c>
    </row>
    <row r="393" spans="1:19">
      <c r="A393" s="158"/>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60">
        <f t="shared" si="73"/>
        <v>0</v>
      </c>
    </row>
    <row r="394" spans="1:19">
      <c r="A394" s="158"/>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60">
        <f t="shared" si="73"/>
        <v>0</v>
      </c>
    </row>
    <row r="395" spans="1:19">
      <c r="A395" s="158"/>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60">
        <f t="shared" si="73"/>
        <v>0</v>
      </c>
    </row>
    <row r="396" spans="1:19">
      <c r="A396" s="158"/>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60">
        <f t="shared" si="73"/>
        <v>0</v>
      </c>
    </row>
    <row r="397" spans="1:19">
      <c r="A397" s="158"/>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60">
        <f t="shared" si="73"/>
        <v>0</v>
      </c>
    </row>
    <row r="398" spans="1:19">
      <c r="A398" s="158"/>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60">
        <f t="shared" si="73"/>
        <v>0</v>
      </c>
    </row>
    <row r="399" spans="1:19">
      <c r="A399" s="158"/>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60">
        <f t="shared" si="73"/>
        <v>0</v>
      </c>
    </row>
    <row r="400" spans="1:19">
      <c r="A400" s="158"/>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60">
        <f t="shared" si="73"/>
        <v>0</v>
      </c>
    </row>
    <row r="401" spans="1:19">
      <c r="A401" s="158"/>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60">
        <f t="shared" si="73"/>
        <v>0</v>
      </c>
    </row>
    <row r="402" spans="1:19">
      <c r="A402" s="158"/>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60">
        <f t="shared" si="73"/>
        <v>0</v>
      </c>
    </row>
    <row r="403" spans="1:19">
      <c r="A403" s="158"/>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60">
        <f t="shared" si="73"/>
        <v>0</v>
      </c>
    </row>
    <row r="404" spans="1:19">
      <c r="A404" s="158"/>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60">
        <f t="shared" si="73"/>
        <v>0</v>
      </c>
    </row>
    <row r="405" spans="1:19">
      <c r="A405" s="158"/>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60">
        <f t="shared" si="73"/>
        <v>0</v>
      </c>
    </row>
    <row r="406" spans="1:19">
      <c r="A406" s="158"/>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60">
        <f t="shared" si="73"/>
        <v>0</v>
      </c>
    </row>
    <row r="407" spans="1:19">
      <c r="A407" s="158"/>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60">
        <f t="shared" si="73"/>
        <v>0</v>
      </c>
    </row>
    <row r="408" spans="1:19">
      <c r="A408" s="158"/>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60">
        <f t="shared" si="73"/>
        <v>0</v>
      </c>
    </row>
    <row r="409" spans="1:19">
      <c r="A409" s="158"/>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60">
        <f t="shared" si="73"/>
        <v>0</v>
      </c>
    </row>
    <row r="410" spans="1:19">
      <c r="A410" s="158"/>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0">
        <f t="shared" si="73"/>
        <v>0</v>
      </c>
    </row>
    <row r="411" spans="1:19">
      <c r="A411" s="158"/>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60">
        <f t="shared" si="73"/>
        <v>0</v>
      </c>
    </row>
    <row r="412" spans="1:19">
      <c r="A412" s="158"/>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60">
        <f t="shared" si="73"/>
        <v>0</v>
      </c>
    </row>
    <row r="413" spans="1:19">
      <c r="A413" s="158"/>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60">
        <f t="shared" si="73"/>
        <v>0</v>
      </c>
    </row>
    <row r="414" spans="1:19">
      <c r="A414" s="158"/>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60">
        <f t="shared" si="73"/>
        <v>0</v>
      </c>
    </row>
    <row r="415" spans="1:19">
      <c r="A415" s="158"/>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60">
        <f t="shared" si="73"/>
        <v>0</v>
      </c>
    </row>
    <row r="416" spans="1:19">
      <c r="A416" s="158"/>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60">
        <f t="shared" si="73"/>
        <v>0</v>
      </c>
    </row>
    <row r="417" spans="1:19">
      <c r="A417" s="158"/>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60">
        <f t="shared" si="73"/>
        <v>0</v>
      </c>
    </row>
    <row r="418" spans="1:19">
      <c r="A418" s="158"/>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60">
        <f t="shared" si="73"/>
        <v>0</v>
      </c>
    </row>
    <row r="419" spans="1:19">
      <c r="A419" s="158"/>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60">
        <f t="shared" si="73"/>
        <v>0</v>
      </c>
    </row>
    <row r="420" spans="1:19">
      <c r="A420" s="158"/>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60">
        <f t="shared" si="73"/>
        <v>0</v>
      </c>
    </row>
    <row r="421" spans="1:19">
      <c r="A421" s="158"/>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60">
        <f t="shared" si="73"/>
        <v>0</v>
      </c>
    </row>
    <row r="422" spans="1:19">
      <c r="A422" s="158"/>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60">
        <f t="shared" si="73"/>
        <v>0</v>
      </c>
    </row>
    <row r="423" spans="1:19">
      <c r="A423" s="158"/>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60">
        <f t="shared" ref="S423:S467" si="83">ROUND(R423*B423/10000,0)</f>
        <v>0</v>
      </c>
    </row>
    <row r="424" spans="1:19">
      <c r="A424" s="158"/>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60">
        <f t="shared" si="83"/>
        <v>0</v>
      </c>
    </row>
    <row r="425" spans="1:19">
      <c r="A425" s="158"/>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60">
        <f t="shared" si="83"/>
        <v>0</v>
      </c>
    </row>
    <row r="426" spans="1:19">
      <c r="A426" s="158"/>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60">
        <f t="shared" si="83"/>
        <v>0</v>
      </c>
    </row>
    <row r="427" spans="1:19">
      <c r="A427" s="158"/>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60">
        <f t="shared" si="83"/>
        <v>0</v>
      </c>
    </row>
    <row r="428" spans="1:19">
      <c r="A428" s="158"/>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60">
        <f t="shared" si="83"/>
        <v>0</v>
      </c>
    </row>
    <row r="429" spans="1:19">
      <c r="A429" s="158"/>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60">
        <f t="shared" si="83"/>
        <v>0</v>
      </c>
    </row>
    <row r="430" spans="1:19">
      <c r="A430" s="158"/>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60">
        <f t="shared" si="83"/>
        <v>0</v>
      </c>
    </row>
    <row r="431" spans="1:19">
      <c r="A431" s="158"/>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60">
        <f t="shared" si="83"/>
        <v>0</v>
      </c>
    </row>
    <row r="432" spans="1:19">
      <c r="A432" s="158"/>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60">
        <f t="shared" si="83"/>
        <v>0</v>
      </c>
    </row>
    <row r="433" spans="1:19">
      <c r="A433" s="158"/>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60">
        <f t="shared" si="83"/>
        <v>0</v>
      </c>
    </row>
    <row r="434" spans="1:19">
      <c r="A434" s="158"/>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60">
        <f t="shared" si="83"/>
        <v>0</v>
      </c>
    </row>
    <row r="435" spans="1:19">
      <c r="A435" s="158"/>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60">
        <f t="shared" si="83"/>
        <v>0</v>
      </c>
    </row>
    <row r="436" spans="1:19">
      <c r="A436" s="158"/>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60">
        <f t="shared" si="83"/>
        <v>0</v>
      </c>
    </row>
    <row r="437" spans="1:19">
      <c r="A437" s="158"/>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60">
        <f t="shared" si="83"/>
        <v>0</v>
      </c>
    </row>
    <row r="438" spans="1:19">
      <c r="A438" s="158"/>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60">
        <f t="shared" si="83"/>
        <v>0</v>
      </c>
    </row>
    <row r="439" spans="1:19">
      <c r="A439" s="158"/>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60">
        <f t="shared" si="83"/>
        <v>0</v>
      </c>
    </row>
    <row r="440" spans="1:19">
      <c r="A440" s="158"/>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60">
        <f t="shared" si="83"/>
        <v>0</v>
      </c>
    </row>
    <row r="441" spans="1:19">
      <c r="A441" s="158"/>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60">
        <f t="shared" si="83"/>
        <v>0</v>
      </c>
    </row>
    <row r="442" spans="1:19">
      <c r="A442" s="158"/>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60">
        <f t="shared" si="83"/>
        <v>0</v>
      </c>
    </row>
    <row r="443" spans="1:19">
      <c r="A443" s="158"/>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60">
        <f t="shared" si="83"/>
        <v>0</v>
      </c>
    </row>
    <row r="444" spans="1:19">
      <c r="A444" s="158"/>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60">
        <f t="shared" si="83"/>
        <v>0</v>
      </c>
    </row>
    <row r="445" spans="1:19">
      <c r="A445" s="158"/>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60">
        <f t="shared" si="83"/>
        <v>0</v>
      </c>
    </row>
    <row r="446" spans="1:19">
      <c r="A446" s="158"/>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60">
        <f t="shared" si="83"/>
        <v>0</v>
      </c>
    </row>
    <row r="447" spans="1:19">
      <c r="A447" s="158"/>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60">
        <f t="shared" si="83"/>
        <v>0</v>
      </c>
    </row>
    <row r="448" spans="1:19">
      <c r="A448" s="158"/>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60">
        <f t="shared" si="83"/>
        <v>0</v>
      </c>
    </row>
    <row r="449" spans="1:19">
      <c r="A449" s="158"/>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60">
        <f t="shared" si="83"/>
        <v>0</v>
      </c>
    </row>
    <row r="450" spans="1:19">
      <c r="A450" s="158"/>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60">
        <f t="shared" si="83"/>
        <v>0</v>
      </c>
    </row>
    <row r="451" spans="1:19">
      <c r="A451" s="158"/>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60">
        <f t="shared" si="83"/>
        <v>0</v>
      </c>
    </row>
    <row r="452" spans="1:19">
      <c r="A452" s="158"/>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60">
        <f t="shared" si="83"/>
        <v>0</v>
      </c>
    </row>
    <row r="453" spans="1:19">
      <c r="A453" s="158"/>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60">
        <f t="shared" si="83"/>
        <v>0</v>
      </c>
    </row>
    <row r="454" spans="1:19">
      <c r="A454" s="158"/>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60">
        <f t="shared" si="83"/>
        <v>0</v>
      </c>
    </row>
    <row r="455" spans="1:19">
      <c r="A455" s="158"/>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60">
        <f t="shared" si="83"/>
        <v>0</v>
      </c>
    </row>
    <row r="456" spans="1:19">
      <c r="A456" s="158"/>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60">
        <f t="shared" si="83"/>
        <v>0</v>
      </c>
    </row>
    <row r="457" spans="1:19">
      <c r="A457" s="158"/>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60">
        <f t="shared" si="83"/>
        <v>0</v>
      </c>
    </row>
    <row r="458" spans="1:19">
      <c r="A458" s="158"/>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60">
        <f t="shared" si="83"/>
        <v>0</v>
      </c>
    </row>
    <row r="459" spans="1:19">
      <c r="A459" s="158"/>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60">
        <f t="shared" si="83"/>
        <v>0</v>
      </c>
    </row>
    <row r="460" spans="1:19">
      <c r="A460" s="158"/>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60">
        <f t="shared" si="83"/>
        <v>0</v>
      </c>
    </row>
    <row r="461" spans="1:19">
      <c r="A461" s="158"/>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60">
        <f t="shared" si="83"/>
        <v>0</v>
      </c>
    </row>
    <row r="462" spans="1:19">
      <c r="A462" s="158"/>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60">
        <f t="shared" si="83"/>
        <v>0</v>
      </c>
    </row>
    <row r="463" spans="1:19">
      <c r="A463" s="158"/>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60">
        <f t="shared" si="83"/>
        <v>0</v>
      </c>
    </row>
    <row r="464" spans="1:19">
      <c r="A464" s="158"/>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60">
        <f t="shared" si="83"/>
        <v>0</v>
      </c>
    </row>
    <row r="465" spans="1:19">
      <c r="A465" s="158"/>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60">
        <f t="shared" si="83"/>
        <v>0</v>
      </c>
    </row>
    <row r="466" spans="1:19">
      <c r="A466" s="158"/>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60">
        <f t="shared" si="83"/>
        <v>0</v>
      </c>
    </row>
    <row r="467" spans="1:19">
      <c r="A467" s="158"/>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60">
        <f t="shared" si="83"/>
        <v>0</v>
      </c>
    </row>
    <row r="468" spans="1:19">
      <c r="A468" s="158"/>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60">
        <f t="shared" ref="S468:S497" si="84">ROUND(R468*B468/10000,0)</f>
        <v>0</v>
      </c>
    </row>
    <row r="469" spans="1:19">
      <c r="A469" s="158"/>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60">
        <f t="shared" si="84"/>
        <v>0</v>
      </c>
    </row>
    <row r="470" spans="1:19">
      <c r="A470" s="158"/>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60">
        <f t="shared" si="84"/>
        <v>0</v>
      </c>
    </row>
    <row r="471" spans="1:19">
      <c r="A471" s="158"/>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60">
        <f t="shared" si="84"/>
        <v>0</v>
      </c>
    </row>
    <row r="472" spans="1:19">
      <c r="A472" s="158"/>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60">
        <f t="shared" si="84"/>
        <v>0</v>
      </c>
    </row>
    <row r="473" spans="1:19">
      <c r="A473" s="158"/>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60">
        <f t="shared" si="84"/>
        <v>0</v>
      </c>
    </row>
    <row r="474" spans="1:19">
      <c r="A474" s="158"/>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0">
        <f t="shared" si="84"/>
        <v>0</v>
      </c>
    </row>
    <row r="475" spans="1:19">
      <c r="A475" s="158"/>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60">
        <f t="shared" si="84"/>
        <v>0</v>
      </c>
    </row>
    <row r="476" spans="1:19">
      <c r="A476" s="158"/>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60">
        <f t="shared" si="84"/>
        <v>0</v>
      </c>
    </row>
    <row r="477" spans="1:19">
      <c r="A477" s="158"/>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60">
        <f t="shared" si="84"/>
        <v>0</v>
      </c>
    </row>
    <row r="478" spans="1:19">
      <c r="A478" s="158"/>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60">
        <f t="shared" si="84"/>
        <v>0</v>
      </c>
    </row>
    <row r="479" spans="1:19">
      <c r="A479" s="158"/>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60">
        <f t="shared" si="84"/>
        <v>0</v>
      </c>
    </row>
    <row r="480" spans="1:19">
      <c r="A480" s="158"/>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60">
        <f t="shared" si="84"/>
        <v>0</v>
      </c>
    </row>
    <row r="481" spans="1:19">
      <c r="A481" s="158"/>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60">
        <f t="shared" si="84"/>
        <v>0</v>
      </c>
    </row>
    <row r="482" spans="1:19">
      <c r="A482" s="158"/>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60">
        <f t="shared" si="84"/>
        <v>0</v>
      </c>
    </row>
    <row r="483" spans="1:19">
      <c r="A483" s="158"/>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60">
        <f t="shared" si="84"/>
        <v>0</v>
      </c>
    </row>
    <row r="484" spans="1:19">
      <c r="A484" s="158"/>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60">
        <f t="shared" si="84"/>
        <v>0</v>
      </c>
    </row>
    <row r="485" spans="1:19">
      <c r="A485" s="158"/>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60">
        <f t="shared" si="84"/>
        <v>0</v>
      </c>
    </row>
    <row r="486" spans="1:19">
      <c r="A486" s="158"/>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60">
        <f t="shared" si="84"/>
        <v>0</v>
      </c>
    </row>
    <row r="487" spans="1:19">
      <c r="A487" s="158"/>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60">
        <f t="shared" si="84"/>
        <v>0</v>
      </c>
    </row>
    <row r="488" spans="1:19">
      <c r="A488" s="158"/>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60">
        <f t="shared" si="84"/>
        <v>0</v>
      </c>
    </row>
    <row r="489" spans="1:19">
      <c r="A489" s="158"/>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60">
        <f t="shared" si="84"/>
        <v>0</v>
      </c>
    </row>
    <row r="490" spans="1:19">
      <c r="A490" s="158"/>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60">
        <f t="shared" si="84"/>
        <v>0</v>
      </c>
    </row>
    <row r="491" spans="1:19">
      <c r="A491" s="158"/>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60">
        <f t="shared" si="84"/>
        <v>0</v>
      </c>
    </row>
    <row r="492" spans="1:19">
      <c r="A492" s="158"/>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60">
        <f t="shared" si="84"/>
        <v>0</v>
      </c>
    </row>
    <row r="493" spans="1:19">
      <c r="A493" s="158"/>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60">
        <f t="shared" si="84"/>
        <v>0</v>
      </c>
    </row>
    <row r="494" spans="1:19">
      <c r="A494" s="158"/>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60">
        <f t="shared" si="84"/>
        <v>0</v>
      </c>
    </row>
    <row r="495" spans="1:19">
      <c r="A495" s="158"/>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60">
        <f t="shared" si="84"/>
        <v>0</v>
      </c>
    </row>
    <row r="496" spans="1:19">
      <c r="A496" s="158"/>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60">
        <f t="shared" si="84"/>
        <v>0</v>
      </c>
    </row>
    <row r="497" spans="1:19">
      <c r="A497" s="158"/>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60">
        <f t="shared" si="84"/>
        <v>0</v>
      </c>
    </row>
    <row r="498" spans="1:19">
      <c r="A498" s="158"/>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60">
        <f t="shared" ref="S498:S524" si="94">ROUND(R498*B498/10000,0)</f>
        <v>0</v>
      </c>
    </row>
    <row r="499" spans="1:19">
      <c r="A499" s="158"/>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60">
        <f t="shared" si="94"/>
        <v>0</v>
      </c>
    </row>
    <row r="500" spans="1:19">
      <c r="A500" s="158"/>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60">
        <f t="shared" si="94"/>
        <v>0</v>
      </c>
    </row>
    <row r="501" spans="1:19">
      <c r="A501" s="158"/>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60">
        <f t="shared" si="94"/>
        <v>0</v>
      </c>
    </row>
    <row r="502" spans="1:19">
      <c r="A502" s="158"/>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60">
        <f t="shared" si="94"/>
        <v>0</v>
      </c>
    </row>
    <row r="503" spans="1:19">
      <c r="A503" s="158"/>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60">
        <f t="shared" si="94"/>
        <v>0</v>
      </c>
    </row>
    <row r="504" spans="1:19">
      <c r="A504" s="158"/>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60">
        <f t="shared" si="94"/>
        <v>0</v>
      </c>
    </row>
    <row r="505" spans="1:19">
      <c r="A505" s="158"/>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60">
        <f t="shared" si="94"/>
        <v>0</v>
      </c>
    </row>
    <row r="506" spans="1:19">
      <c r="A506" s="158"/>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60">
        <f t="shared" si="94"/>
        <v>0</v>
      </c>
    </row>
    <row r="507" spans="1:19">
      <c r="A507" s="158"/>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60">
        <f t="shared" si="94"/>
        <v>0</v>
      </c>
    </row>
    <row r="508" spans="1:19">
      <c r="A508" s="158"/>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60">
        <f t="shared" si="94"/>
        <v>0</v>
      </c>
    </row>
    <row r="509" spans="1:19">
      <c r="A509" s="158"/>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60">
        <f t="shared" si="94"/>
        <v>0</v>
      </c>
    </row>
    <row r="510" spans="1:19">
      <c r="A510" s="158"/>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60">
        <f t="shared" si="94"/>
        <v>0</v>
      </c>
    </row>
    <row r="511" spans="1:19">
      <c r="A511" s="158"/>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60">
        <f t="shared" si="94"/>
        <v>0</v>
      </c>
    </row>
    <row r="512" spans="1:19">
      <c r="A512" s="158"/>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60">
        <f t="shared" si="94"/>
        <v>0</v>
      </c>
    </row>
    <row r="513" spans="1:19">
      <c r="A513" s="158"/>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60">
        <f t="shared" si="94"/>
        <v>0</v>
      </c>
    </row>
    <row r="514" spans="1:19">
      <c r="A514" s="158"/>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60">
        <f t="shared" si="94"/>
        <v>0</v>
      </c>
    </row>
    <row r="515" spans="1:19">
      <c r="A515" s="158"/>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60">
        <f t="shared" si="94"/>
        <v>0</v>
      </c>
    </row>
    <row r="516" spans="1:19">
      <c r="A516" s="158"/>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60">
        <f t="shared" si="94"/>
        <v>0</v>
      </c>
    </row>
    <row r="517" spans="1:19">
      <c r="A517" s="158"/>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60">
        <f t="shared" si="94"/>
        <v>0</v>
      </c>
    </row>
    <row r="518" spans="1:19">
      <c r="A518" s="158"/>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60">
        <f t="shared" si="94"/>
        <v>0</v>
      </c>
    </row>
    <row r="519" spans="1:19">
      <c r="A519" s="158"/>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60">
        <f t="shared" si="94"/>
        <v>0</v>
      </c>
    </row>
    <row r="520" spans="1:19">
      <c r="A520" s="158"/>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60">
        <f t="shared" si="94"/>
        <v>0</v>
      </c>
    </row>
    <row r="521" spans="1:19">
      <c r="A521" s="158"/>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60">
        <f t="shared" si="94"/>
        <v>0</v>
      </c>
    </row>
    <row r="522" spans="1:19">
      <c r="A522" s="158"/>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60">
        <f t="shared" si="94"/>
        <v>0</v>
      </c>
    </row>
    <row r="523" spans="1:19">
      <c r="A523" s="158"/>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60">
        <f t="shared" si="94"/>
        <v>0</v>
      </c>
    </row>
    <row r="524" spans="1:19">
      <c r="A524" s="158"/>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估价结果一览表（市场价值不需“结果表-1”）</v>
      </c>
      <c r="B3" s="2977"/>
      <c r="C3" s="2977"/>
      <c r="D3" s="2977"/>
      <c r="E3" s="2977"/>
    </row>
    <row r="4" spans="1:5" ht="19.5" thickBot="1">
      <c r="A4" s="1961"/>
      <c r="B4" s="2975" t="s">
        <v>1630</v>
      </c>
      <c r="C4" s="2975"/>
      <c r="D4" s="2975"/>
      <c r="E4" s="1961"/>
    </row>
    <row r="5" spans="1:5" ht="16.5" thickTop="1">
      <c r="A5" s="1959"/>
      <c r="B5" s="2973" t="s">
        <v>1622</v>
      </c>
      <c r="C5" s="1962" t="s">
        <v>1623</v>
      </c>
      <c r="D5" s="1041">
        <f ca="1">结果表!H101</f>
        <v>2301</v>
      </c>
      <c r="E5" s="1959"/>
    </row>
    <row r="6" spans="1:5" ht="15.75">
      <c r="A6" s="1959"/>
      <c r="B6" s="2973"/>
      <c r="C6" s="1962" t="s">
        <v>1624</v>
      </c>
      <c r="D6" s="1041" t="str">
        <f ca="1">NUMBERSTRING(INT(D5*10000),2)&amp;"元整"</f>
        <v>贰仟叁佰零壹万元整</v>
      </c>
      <c r="E6" s="1959"/>
    </row>
    <row r="7" spans="1:5" ht="15.75">
      <c r="A7" s="1959"/>
      <c r="B7" s="2978"/>
      <c r="C7" s="1963" t="s">
        <v>1625</v>
      </c>
      <c r="D7" s="1042">
        <f ca="1">结果表!H102</f>
        <v>16816</v>
      </c>
      <c r="E7" s="1959"/>
    </row>
    <row r="8" spans="1:5" ht="15.75">
      <c r="A8" s="1959"/>
      <c r="B8" s="2979" t="str">
        <f>结果表!E103</f>
        <v>2.估价师知悉的法定优先受偿款</v>
      </c>
      <c r="C8" s="1964" t="s">
        <v>1626</v>
      </c>
      <c r="D8" s="1042">
        <f>结果表!H103</f>
        <v>0</v>
      </c>
      <c r="E8" s="1959"/>
    </row>
    <row r="9" spans="1:5" ht="15.75">
      <c r="A9" s="1959"/>
      <c r="B9" s="2981"/>
      <c r="C9" s="1962" t="s">
        <v>1624</v>
      </c>
      <c r="D9" s="1041" t="str">
        <f>NUMBERSTRING(INT(D8*10000),2)&amp;"元整"</f>
        <v>零元整</v>
      </c>
      <c r="E9" s="1959"/>
    </row>
    <row r="10" spans="1:5" ht="15">
      <c r="A10" s="1959"/>
      <c r="B10" s="1965" t="s">
        <v>1629</v>
      </c>
      <c r="C10" s="1966" t="s">
        <v>1627</v>
      </c>
      <c r="D10" s="1043">
        <f>结果表!H104</f>
        <v>0</v>
      </c>
      <c r="E10" s="1959"/>
    </row>
    <row r="11" spans="1:5" ht="15">
      <c r="A11" s="1959"/>
      <c r="B11" s="1965" t="s">
        <v>1631</v>
      </c>
      <c r="C11" s="1966" t="s">
        <v>1632</v>
      </c>
      <c r="D11" s="1043">
        <f>结果表!H105</f>
        <v>0</v>
      </c>
      <c r="E11" s="1959"/>
    </row>
    <row r="12" spans="1:5" ht="15">
      <c r="A12" s="1959"/>
      <c r="B12" s="1965" t="s">
        <v>1633</v>
      </c>
      <c r="C12" s="1966" t="s">
        <v>1632</v>
      </c>
      <c r="D12" s="1043">
        <f>结果表!H106</f>
        <v>0</v>
      </c>
      <c r="E12" s="1959"/>
    </row>
    <row r="13" spans="1:5" ht="15.75">
      <c r="A13" s="1959"/>
      <c r="B13" s="2972" t="str">
        <f>结果表!E107</f>
        <v>3.房地产抵押价值</v>
      </c>
      <c r="C13" s="1967" t="s">
        <v>1623</v>
      </c>
      <c r="D13" s="1044">
        <f ca="1">结果表!H107</f>
        <v>2301</v>
      </c>
      <c r="E13" s="1959"/>
    </row>
    <row r="14" spans="1:5" ht="15.75">
      <c r="A14" s="1959"/>
      <c r="B14" s="2973"/>
      <c r="C14" s="1962" t="s">
        <v>1624</v>
      </c>
      <c r="D14" s="1041" t="str">
        <f ca="1">NUMBERSTRING(INT(D13*10000),2)&amp;"元整"</f>
        <v>贰仟叁佰零壹万元整</v>
      </c>
      <c r="E14" s="1959"/>
    </row>
    <row r="15" spans="1:5" ht="15">
      <c r="A15" s="1959"/>
      <c r="B15" s="2978"/>
      <c r="C15" s="1963" t="s">
        <v>1634</v>
      </c>
      <c r="D15" s="1053">
        <f ca="1">结果表!H108</f>
        <v>16816</v>
      </c>
      <c r="E15" s="1959"/>
    </row>
    <row r="16" spans="1:5" ht="15">
      <c r="A16" s="1959"/>
      <c r="B16" s="2979" t="str">
        <f>结果表!E109</f>
        <v>——</v>
      </c>
      <c r="C16" s="1967" t="s">
        <v>1635</v>
      </c>
      <c r="D16" s="1968" t="str">
        <f>结果表!H109</f>
        <v>——</v>
      </c>
      <c r="E16" s="1959"/>
    </row>
    <row r="17" spans="1:5" ht="15.75">
      <c r="A17" s="1959"/>
      <c r="B17" s="2980"/>
      <c r="C17" s="1962" t="s">
        <v>1636</v>
      </c>
      <c r="D17" s="1041" t="e">
        <f>NUMBERSTRING(INT(D16*10000),2)&amp;"元整"</f>
        <v>#VALUE!</v>
      </c>
      <c r="E17" s="1959"/>
    </row>
    <row r="18" spans="1:5" ht="15">
      <c r="A18" s="1959"/>
      <c r="B18" s="2981"/>
      <c r="C18" s="1963" t="s">
        <v>1625</v>
      </c>
      <c r="D18" s="1053" t="str">
        <f>结果表!H110</f>
        <v>——</v>
      </c>
      <c r="E18" s="1959"/>
    </row>
    <row r="19" spans="1:5" ht="15.75">
      <c r="A19" s="1959"/>
      <c r="B19" s="2972" t="str">
        <f>结果表!E111</f>
        <v>——</v>
      </c>
      <c r="C19" s="1967" t="s">
        <v>1623</v>
      </c>
      <c r="D19" s="1042" t="str">
        <f>结果表!H111</f>
        <v>——</v>
      </c>
      <c r="E19" s="1959"/>
    </row>
    <row r="20" spans="1:5" ht="15.75">
      <c r="A20" s="1959"/>
      <c r="B20" s="2973"/>
      <c r="C20" s="1962" t="s">
        <v>1636</v>
      </c>
      <c r="D20" s="1041" t="e">
        <f>NUMBERSTRING(INT(D19*10000),2)&amp;"元整"</f>
        <v>#VALUE!</v>
      </c>
      <c r="E20" s="1959"/>
    </row>
    <row r="21" spans="1:5" ht="15.75" thickBot="1">
      <c r="A21" s="1959"/>
      <c r="B21" s="2974"/>
      <c r="C21" s="1969" t="s">
        <v>1634</v>
      </c>
      <c r="D21" s="1054"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30156</v>
      </c>
      <c r="C2" s="2" t="s">
        <v>133</v>
      </c>
      <c r="D2" s="242"/>
      <c r="E2" s="242"/>
      <c r="F2" s="242"/>
      <c r="G2" s="242"/>
    </row>
    <row r="3" spans="1:7" s="243" customFormat="1" ht="18" customHeight="1" thickBot="1">
      <c r="A3" s="246" t="s">
        <v>85</v>
      </c>
      <c r="B3" s="247">
        <f ca="1">ROUND(B2*10000/'数据-汇总表'!E3,0)</f>
        <v>220385</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0</v>
      </c>
      <c r="D9" s="1033">
        <f>'数据-汇总表'!E5</f>
        <v>0</v>
      </c>
      <c r="E9" s="268">
        <f>'数据-取费表'!B27</f>
        <v>120</v>
      </c>
      <c r="F9" s="264"/>
      <c r="G9" s="269"/>
    </row>
    <row r="10" spans="1:7" s="257" customFormat="1" ht="13.5" customHeight="1">
      <c r="A10" s="951" t="s">
        <v>801</v>
      </c>
      <c r="B10" s="267" t="s">
        <v>94</v>
      </c>
      <c r="C10" s="268">
        <f>ROUND(D10*E10/10000,0)</f>
        <v>16</v>
      </c>
      <c r="D10" s="1033">
        <f>'数据-汇总表'!E6</f>
        <v>1368.3300000000163</v>
      </c>
      <c r="E10" s="268">
        <f>'数据-取费表'!B28</f>
        <v>120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27</v>
      </c>
      <c r="D19" s="1037">
        <f>'数据-汇总表'!E3</f>
        <v>1368.3300000000163</v>
      </c>
      <c r="E19" s="254">
        <f>'数据-取费表'!B31</f>
        <v>200</v>
      </c>
      <c r="F19" s="274"/>
      <c r="G19" s="1" t="s">
        <v>1074</v>
      </c>
    </row>
    <row r="20" spans="1:7" s="257" customFormat="1" ht="13.5" customHeight="1">
      <c r="A20" s="949" t="s">
        <v>1057</v>
      </c>
      <c r="B20" s="253" t="s">
        <v>104</v>
      </c>
      <c r="C20" s="275">
        <f>ROUND((C5+C19)*F20,0)</f>
        <v>413</v>
      </c>
      <c r="D20" s="275"/>
      <c r="E20" s="275"/>
      <c r="F20" s="276">
        <f>'数据-取费表'!B37</f>
        <v>0.02</v>
      </c>
      <c r="G20" s="1289" t="s">
        <v>1068</v>
      </c>
    </row>
    <row r="21" spans="1:7" s="257" customFormat="1" ht="13.5" customHeight="1">
      <c r="A21" s="949" t="s">
        <v>1059</v>
      </c>
      <c r="B21" s="253" t="s">
        <v>105</v>
      </c>
      <c r="C21" s="278">
        <f>F21</f>
        <v>0.02</v>
      </c>
      <c r="D21" s="279" t="s">
        <v>126</v>
      </c>
      <c r="E21" s="275"/>
      <c r="F21" s="276">
        <f>'数据-取费表'!B38</f>
        <v>0.02</v>
      </c>
      <c r="G21" s="277" t="s">
        <v>106</v>
      </c>
    </row>
    <row r="22" spans="1:7" s="257" customFormat="1" ht="13.5" customHeight="1">
      <c r="A22" s="949" t="s">
        <v>786</v>
      </c>
      <c r="B22" s="253" t="s">
        <v>107</v>
      </c>
      <c r="C22" s="1354">
        <f ca="1">ROUND(SUM(C23:C25),0)</f>
        <v>2027</v>
      </c>
      <c r="D22" s="278">
        <f ca="1">C26</f>
        <v>1E-3</v>
      </c>
      <c r="E22" s="279" t="s">
        <v>126</v>
      </c>
      <c r="F22" s="280">
        <f ca="1">'数据-取费表'!B40</f>
        <v>4.7500000000000001E-2</v>
      </c>
      <c r="G22" s="1289" t="str">
        <f>IF('数据-取费表'!B22&lt;=1,"单利计息","复利计息")</f>
        <v>复利计息</v>
      </c>
    </row>
    <row r="23" spans="1:7" s="257" customFormat="1" ht="13.5" customHeight="1">
      <c r="A23" s="952" t="s">
        <v>794</v>
      </c>
      <c r="B23" s="258" t="s">
        <v>1061</v>
      </c>
      <c r="C23" s="1355">
        <f ca="1">ROUND(IF('数据-取费表'!B22&lt;=1,C5*F22*'数据-取费表'!B23,C5*(POWER((1+F22),'数据-取费表'!B23)-1)),0)</f>
        <v>2004</v>
      </c>
      <c r="D23" s="281"/>
      <c r="E23" s="281"/>
      <c r="F23" s="282"/>
      <c r="G23" s="283" t="s">
        <v>108</v>
      </c>
    </row>
    <row r="24" spans="1:7" s="257" customFormat="1" ht="13.5" customHeight="1">
      <c r="A24" s="952" t="s">
        <v>792</v>
      </c>
      <c r="B24" s="258" t="s">
        <v>1056</v>
      </c>
      <c r="C24" s="1355">
        <f ca="1">ROUND(IF('数据-取费表'!B22&lt;=1,C19*F22*('数据-取费表'!B19/2+'数据-取费表'!B21),C19*(POWER((1+F22),('数据-取费表'!B19/2+'数据-取费表'!B21))-1)),0)</f>
        <v>3</v>
      </c>
      <c r="D24" s="281"/>
      <c r="E24" s="281"/>
      <c r="F24" s="282"/>
      <c r="G24" s="283" t="s">
        <v>109</v>
      </c>
    </row>
    <row r="25" spans="1:7" s="257" customFormat="1" ht="24">
      <c r="A25" s="952" t="s">
        <v>793</v>
      </c>
      <c r="B25" s="258" t="s">
        <v>1058</v>
      </c>
      <c r="C25" s="1355">
        <f ca="1">ROUND(IF('数据-取费表'!B22&lt;=1,C20*F22*'数据-取费表'!B23/2,C20*(POWER((1+F22),'数据-取费表'!B23/2)-1)),0)</f>
        <v>20</v>
      </c>
      <c r="D25" s="281"/>
      <c r="E25" s="284"/>
      <c r="F25" s="282"/>
      <c r="G25" s="285" t="s">
        <v>110</v>
      </c>
    </row>
    <row r="26" spans="1:7" s="257" customFormat="1">
      <c r="A26" s="952" t="s">
        <v>795</v>
      </c>
      <c r="B26" s="258" t="s">
        <v>1060</v>
      </c>
      <c r="C26" s="281">
        <f ca="1">ROUND(IF('数据-取费表'!B22&lt;=1,F21*F22*'数据-取费表'!B23/2,F21*(POWER((1+F22),'数据-取费表'!B23/2)-1)),4)</f>
        <v>1E-3</v>
      </c>
      <c r="D26" s="281"/>
      <c r="E26" s="284"/>
      <c r="F26" s="282"/>
      <c r="G26" s="286"/>
    </row>
    <row r="27" spans="1:7" s="257" customFormat="1" ht="24.75">
      <c r="A27" s="949" t="s">
        <v>787</v>
      </c>
      <c r="B27" s="287" t="s">
        <v>112</v>
      </c>
      <c r="C27" s="288">
        <f>C28</f>
        <v>4210</v>
      </c>
      <c r="D27" s="278">
        <f>C29</f>
        <v>4.0000000000000001E-3</v>
      </c>
      <c r="E27" s="279" t="s">
        <v>126</v>
      </c>
      <c r="F27" s="289">
        <f>'数据-取费表'!Q16</f>
        <v>0.2</v>
      </c>
      <c r="G27" s="290" t="s">
        <v>1069</v>
      </c>
    </row>
    <row r="28" spans="1:7" s="257" customFormat="1" ht="13.5" customHeight="1">
      <c r="A28" s="952" t="s">
        <v>794</v>
      </c>
      <c r="B28" s="291" t="s">
        <v>1062</v>
      </c>
      <c r="C28" s="292">
        <f>ROUND((C5+C19+C20)*F27*'数据-取费表'!B21/'数据-取费表'!B20,0)</f>
        <v>4210</v>
      </c>
      <c r="D28" s="278"/>
      <c r="E28" s="279"/>
      <c r="F28" s="289"/>
      <c r="G28" s="290"/>
    </row>
    <row r="29" spans="1:7" s="257" customFormat="1" ht="13.5" customHeight="1">
      <c r="A29" s="952" t="s">
        <v>792</v>
      </c>
      <c r="B29" s="291" t="s">
        <v>1063</v>
      </c>
      <c r="C29" s="281">
        <f>ROUND(C21*F27*'数据-取费表'!B21/'数据-取费表'!B20,4)</f>
        <v>4.0000000000000001E-3</v>
      </c>
      <c r="D29" s="278"/>
      <c r="E29" s="279"/>
      <c r="F29" s="289"/>
      <c r="G29" s="290"/>
    </row>
    <row r="30" spans="1:7" s="257" customFormat="1" ht="13.5" customHeight="1">
      <c r="A30" s="949"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29606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399</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356</v>
      </c>
      <c r="D34" s="260"/>
      <c r="E34" s="263"/>
      <c r="F34" s="300">
        <f>IF('数据-取费表'!B24=0,1,'数据-取费表'!N16)</f>
        <v>1</v>
      </c>
      <c r="G34" s="262" t="s">
        <v>116</v>
      </c>
    </row>
    <row r="35" spans="1:7" ht="13.5" customHeight="1">
      <c r="A35" s="952" t="s">
        <v>796</v>
      </c>
      <c r="B35" s="258" t="s">
        <v>60</v>
      </c>
      <c r="C35" s="263">
        <f>ROUND(C34*F35,0)</f>
        <v>11</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2" t="s">
        <v>798</v>
      </c>
      <c r="B37" s="258" t="s">
        <v>118</v>
      </c>
      <c r="C37" s="292">
        <f>ROUND(E37*D37*F34/10000,0)</f>
        <v>27</v>
      </c>
      <c r="D37" s="260">
        <f>'数据-汇总表'!E3</f>
        <v>1368.3300000000163</v>
      </c>
      <c r="E37" s="292">
        <f>'数据-取费表'!B35</f>
        <v>200</v>
      </c>
      <c r="F37" s="302"/>
      <c r="G37" s="304" t="s">
        <v>119</v>
      </c>
    </row>
    <row r="38" spans="1:7" ht="13.5" customHeight="1">
      <c r="A38" s="952" t="s">
        <v>799</v>
      </c>
      <c r="B38" s="258" t="s">
        <v>63</v>
      </c>
      <c r="C38" s="263">
        <f>ROUND(C34*F38,0)</f>
        <v>5</v>
      </c>
      <c r="D38" s="263"/>
      <c r="E38" s="263"/>
      <c r="F38" s="302">
        <f>'数据-取费表'!B36</f>
        <v>1.4999999999999999E-2</v>
      </c>
      <c r="G38" s="262" t="s">
        <v>117</v>
      </c>
    </row>
    <row r="39" spans="1:7" s="257" customFormat="1" ht="13.5" customHeight="1">
      <c r="A39" s="949" t="s">
        <v>783</v>
      </c>
      <c r="B39" s="253" t="s">
        <v>104</v>
      </c>
      <c r="C39" s="275">
        <f>ROUND(C33*F20,0)</f>
        <v>8</v>
      </c>
      <c r="D39" s="275"/>
      <c r="E39" s="275"/>
      <c r="F39" s="276"/>
      <c r="G39" s="1289" t="s">
        <v>1071</v>
      </c>
    </row>
    <row r="40" spans="1:7" s="257" customFormat="1" ht="13.5" customHeight="1">
      <c r="A40" s="949" t="s">
        <v>784</v>
      </c>
      <c r="B40" s="253" t="s">
        <v>105</v>
      </c>
      <c r="C40" s="305">
        <f>F21</f>
        <v>0.02</v>
      </c>
      <c r="D40" s="279" t="s">
        <v>129</v>
      </c>
      <c r="E40" s="275"/>
      <c r="F40" s="276"/>
      <c r="G40" s="277" t="s">
        <v>120</v>
      </c>
    </row>
    <row r="41" spans="1:7" s="257" customFormat="1" ht="13.5" customHeight="1">
      <c r="A41" s="949" t="s">
        <v>785</v>
      </c>
      <c r="B41" s="253" t="s">
        <v>107</v>
      </c>
      <c r="C41" s="275">
        <f ca="1">ROUND(SUM(C42:C43),0)</f>
        <v>19</v>
      </c>
      <c r="D41" s="278">
        <f ca="1">C44</f>
        <v>1E-3</v>
      </c>
      <c r="E41" s="279" t="s">
        <v>129</v>
      </c>
      <c r="F41" s="280"/>
      <c r="G41" s="1289" t="str">
        <f>IF('数据-取费表'!B22&lt;=1,"单利计息","复利计息")</f>
        <v>复利计息</v>
      </c>
    </row>
    <row r="42" spans="1:7" ht="13.5" customHeight="1">
      <c r="A42" s="952" t="s">
        <v>794</v>
      </c>
      <c r="B42" s="258" t="s">
        <v>1061</v>
      </c>
      <c r="C42" s="281">
        <f ca="1">ROUND(IF('数据-取费表'!B22&lt;=1,C33*F22*'数据-取费表'!B21/2,C33*(POWER((1+F22),'数据-取费表'!B21/2)-1)),0)</f>
        <v>19</v>
      </c>
      <c r="D42" s="281"/>
      <c r="E42" s="281"/>
      <c r="F42" s="282"/>
      <c r="G42" s="3162" t="s">
        <v>121</v>
      </c>
    </row>
    <row r="43" spans="1:7" ht="13.5" customHeight="1">
      <c r="A43" s="952" t="s">
        <v>792</v>
      </c>
      <c r="B43" s="258" t="s">
        <v>1064</v>
      </c>
      <c r="C43" s="281">
        <f ca="1">ROUND(IF('数据-取费表'!B22&lt;=1,C39*F22*'数据-取费表'!B21/2,C39*(POWER((1+F22),'数据-取费表'!B21/2)-1)),0)</f>
        <v>0</v>
      </c>
      <c r="D43" s="281"/>
      <c r="E43" s="281"/>
      <c r="F43" s="282"/>
      <c r="G43" s="3163"/>
    </row>
    <row r="44" spans="1:7" ht="13.5" customHeight="1">
      <c r="A44" s="952" t="s">
        <v>793</v>
      </c>
      <c r="B44" s="258" t="s">
        <v>1066</v>
      </c>
      <c r="C44" s="281">
        <f ca="1">ROUND(IF('数据-取费表'!B22&lt;=1,C40*F22*'数据-取费表'!B21/2,C40*(POWER((1+F22),'数据-取费表'!B21/2)-1)),4)</f>
        <v>1E-3</v>
      </c>
      <c r="D44" s="281"/>
      <c r="E44" s="281"/>
      <c r="F44" s="282"/>
      <c r="G44" s="3164"/>
    </row>
    <row r="45" spans="1:7" s="257" customFormat="1" ht="13.5" customHeight="1">
      <c r="A45" s="949" t="s">
        <v>786</v>
      </c>
      <c r="B45" s="287" t="s">
        <v>112</v>
      </c>
      <c r="C45" s="288">
        <f>C46</f>
        <v>81</v>
      </c>
      <c r="D45" s="278">
        <f>C47</f>
        <v>4.0000000000000001E-3</v>
      </c>
      <c r="E45" s="279" t="s">
        <v>129</v>
      </c>
      <c r="F45" s="289"/>
      <c r="G45" s="290" t="s">
        <v>1072</v>
      </c>
    </row>
    <row r="46" spans="1:7" s="257" customFormat="1" ht="13.5" customHeight="1">
      <c r="A46" s="952" t="s">
        <v>794</v>
      </c>
      <c r="B46" s="291" t="s">
        <v>1065</v>
      </c>
      <c r="C46" s="292">
        <f>ROUND((C33+C39)*F27,0)</f>
        <v>81</v>
      </c>
      <c r="D46" s="306"/>
      <c r="E46" s="279"/>
      <c r="F46" s="289"/>
      <c r="G46" s="290"/>
    </row>
    <row r="47" spans="1:7" s="257" customFormat="1" ht="13.5" customHeight="1">
      <c r="A47" s="952" t="s">
        <v>792</v>
      </c>
      <c r="B47" s="291" t="s">
        <v>1067</v>
      </c>
      <c r="C47" s="281">
        <f>ROUND(C40*F27,4)</f>
        <v>4.0000000000000001E-3</v>
      </c>
      <c r="D47" s="306"/>
      <c r="E47" s="279"/>
      <c r="F47" s="289"/>
      <c r="G47" s="290"/>
    </row>
    <row r="48" spans="1:7" s="257" customFormat="1" ht="13.5" customHeight="1">
      <c r="A48" s="949" t="s">
        <v>787</v>
      </c>
      <c r="B48" s="253" t="s">
        <v>122</v>
      </c>
      <c r="C48" s="305">
        <f>F30</f>
        <v>5.6000000000000001E-2</v>
      </c>
      <c r="D48" s="279" t="s">
        <v>130</v>
      </c>
      <c r="E48" s="275"/>
      <c r="F48" s="280"/>
      <c r="G48" s="277" t="s">
        <v>123</v>
      </c>
    </row>
    <row r="49" spans="1:7" ht="16.5" customHeight="1">
      <c r="A49" s="949" t="s">
        <v>788</v>
      </c>
      <c r="B49" s="253" t="s">
        <v>131</v>
      </c>
      <c r="C49" s="275">
        <f ca="1">ROUND((C33+C39+C41+C45)/(1-C40-D41-D45-C48/(1+'数据-取费表'!B42)),0)</f>
        <v>550</v>
      </c>
      <c r="D49" s="275"/>
      <c r="E49" s="275"/>
      <c r="F49" s="307"/>
      <c r="G49" s="277" t="s">
        <v>1073</v>
      </c>
    </row>
    <row r="50" spans="1:7" s="301" customFormat="1" ht="24">
      <c r="A50" s="949" t="s">
        <v>789</v>
      </c>
      <c r="B50" s="253" t="s">
        <v>124</v>
      </c>
      <c r="C50" s="275"/>
      <c r="D50" s="275"/>
      <c r="E50" s="275"/>
      <c r="F50" s="307">
        <f>IF('数据-取费表'!B24=0,'数据-取费表'!N16,1)</f>
        <v>1</v>
      </c>
      <c r="G50" s="290" t="s">
        <v>125</v>
      </c>
    </row>
    <row r="51" spans="1:7" ht="16.5" customHeight="1">
      <c r="A51" s="949" t="s">
        <v>790</v>
      </c>
      <c r="B51" s="253" t="s">
        <v>132</v>
      </c>
      <c r="C51" s="275">
        <f ca="1">ROUND(C49*F50,0)</f>
        <v>550</v>
      </c>
      <c r="D51" s="275"/>
      <c r="E51" s="275"/>
      <c r="F51" s="307"/>
      <c r="G51" s="277" t="s">
        <v>64</v>
      </c>
    </row>
    <row r="52" spans="1:7" s="251" customFormat="1" ht="16.5" thickBot="1">
      <c r="A52" s="308" t="s">
        <v>65</v>
      </c>
      <c r="B52" s="309"/>
      <c r="C52" s="310">
        <f ca="1">C31+C51</f>
        <v>30156</v>
      </c>
      <c r="D52" s="309"/>
      <c r="E52" s="309"/>
      <c r="F52" s="309"/>
      <c r="G52" s="311"/>
    </row>
    <row r="55" spans="1:7" ht="15">
      <c r="B55" s="313" t="s">
        <v>66</v>
      </c>
      <c r="C55" s="314"/>
    </row>
    <row r="56" spans="1:7">
      <c r="B56" s="316" t="s">
        <v>67</v>
      </c>
      <c r="C56" s="317">
        <f ca="1">ROUND(C51/C52,3)</f>
        <v>1.7999999999999999E-2</v>
      </c>
    </row>
    <row r="57" spans="1:7">
      <c r="B57" s="316" t="s">
        <v>68</v>
      </c>
      <c r="C57" s="318">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94" t="s">
        <v>156</v>
      </c>
      <c r="B1" s="3294"/>
      <c r="C1" s="3294"/>
      <c r="D1" s="3294"/>
      <c r="E1" s="3294"/>
      <c r="F1" s="329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5" t="s">
        <v>169</v>
      </c>
      <c r="B2" s="3295"/>
      <c r="C2" s="3295"/>
      <c r="D2" s="3295"/>
      <c r="E2" s="3295"/>
      <c r="F2" s="329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4" t="s">
        <v>871</v>
      </c>
      <c r="B1" s="3294"/>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43432</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7"/>
  <sheetViews>
    <sheetView workbookViewId="0">
      <selection activeCell="F6" sqref="F6"/>
    </sheetView>
  </sheetViews>
  <sheetFormatPr defaultRowHeight="13.5"/>
  <cols>
    <col min="3" max="3" width="10.25" customWidth="1"/>
  </cols>
  <sheetData>
    <row r="2" spans="1:6">
      <c r="A2">
        <v>31472.47</v>
      </c>
      <c r="B2">
        <v>23</v>
      </c>
      <c r="C2">
        <f>A2/B2</f>
        <v>1368.3682608695653</v>
      </c>
    </row>
    <row r="4" spans="1:6">
      <c r="F4" s="2970" t="s">
        <v>3128</v>
      </c>
    </row>
    <row r="5" spans="1:6">
      <c r="A5">
        <v>1368.37</v>
      </c>
      <c r="C5">
        <f>A27</f>
        <v>1368.3300000000163</v>
      </c>
      <c r="F5">
        <v>589.57000000000005</v>
      </c>
    </row>
    <row r="6" spans="1:6">
      <c r="A6">
        <v>1368.37</v>
      </c>
      <c r="C6">
        <f>A2-C5</f>
        <v>30104.139999999985</v>
      </c>
    </row>
    <row r="7" spans="1:6">
      <c r="A7">
        <v>1368.37</v>
      </c>
    </row>
    <row r="8" spans="1:6">
      <c r="A8">
        <v>1368.37</v>
      </c>
    </row>
    <row r="9" spans="1:6">
      <c r="A9">
        <v>1368.37</v>
      </c>
    </row>
    <row r="10" spans="1:6">
      <c r="A10">
        <v>1368.37</v>
      </c>
    </row>
    <row r="11" spans="1:6">
      <c r="A11">
        <v>1368.37</v>
      </c>
    </row>
    <row r="12" spans="1:6">
      <c r="A12">
        <v>1368.37</v>
      </c>
    </row>
    <row r="13" spans="1:6">
      <c r="A13">
        <v>1368.37</v>
      </c>
    </row>
    <row r="14" spans="1:6">
      <c r="A14">
        <v>1368.37</v>
      </c>
    </row>
    <row r="15" spans="1:6">
      <c r="A15">
        <v>1368.37</v>
      </c>
    </row>
    <row r="16" spans="1:6">
      <c r="A16">
        <v>1368.37</v>
      </c>
    </row>
    <row r="17" spans="1:1">
      <c r="A17">
        <v>1368.37</v>
      </c>
    </row>
    <row r="18" spans="1:1">
      <c r="A18">
        <v>1368.37</v>
      </c>
    </row>
    <row r="19" spans="1:1">
      <c r="A19">
        <v>1368.37</v>
      </c>
    </row>
    <row r="20" spans="1:1">
      <c r="A20">
        <v>1368.37</v>
      </c>
    </row>
    <row r="21" spans="1:1">
      <c r="A21">
        <v>1368.37</v>
      </c>
    </row>
    <row r="22" spans="1:1">
      <c r="A22">
        <v>1368.37</v>
      </c>
    </row>
    <row r="23" spans="1:1">
      <c r="A23">
        <v>1368.37</v>
      </c>
    </row>
    <row r="24" spans="1:1">
      <c r="A24">
        <v>1368.37</v>
      </c>
    </row>
    <row r="25" spans="1:1">
      <c r="A25">
        <v>1368.37</v>
      </c>
    </row>
    <row r="26" spans="1:1">
      <c r="A26">
        <v>1368.37</v>
      </c>
    </row>
    <row r="27" spans="1:1">
      <c r="A27">
        <f>A2-SUM(A5:A26)</f>
        <v>1368.3300000000163</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82" t="str">
        <f>IF(项目基本情况!B9="房地产市场价值","估价结果一览表","结果表-2")</f>
        <v>估价结果一览表</v>
      </c>
      <c r="B1" s="2982"/>
      <c r="C1" s="2982"/>
      <c r="D1" s="2982"/>
      <c r="E1" s="2982"/>
      <c r="F1" s="2982"/>
      <c r="G1" s="2982"/>
      <c r="H1" s="2982"/>
      <c r="I1" s="2982"/>
    </row>
    <row r="2" spans="1:9" ht="30" customHeight="1" thickTop="1">
      <c r="A2" s="2983" t="s">
        <v>1641</v>
      </c>
      <c r="B2" s="2983" t="s">
        <v>1642</v>
      </c>
      <c r="C2" s="2983" t="s">
        <v>1643</v>
      </c>
      <c r="D2" s="2983" t="str">
        <f>结果表!D116</f>
        <v>出让国有建设用地使用权价值</v>
      </c>
      <c r="E2" s="2983"/>
      <c r="F2" s="2983" t="str">
        <f>结果表!F116</f>
        <v>在建建筑物价值</v>
      </c>
      <c r="G2" s="2983"/>
      <c r="H2" s="2983" t="str">
        <f>IF(项目基本情况!B9="房地产市场价值","房地产市场价值","房地产价值")</f>
        <v>房地产市场价值</v>
      </c>
      <c r="I2" s="2983"/>
    </row>
    <row r="3" spans="1:9" ht="15">
      <c r="A3" s="2984"/>
      <c r="B3" s="2984"/>
      <c r="C3" s="2984"/>
      <c r="D3" s="1045" t="s">
        <v>1638</v>
      </c>
      <c r="E3" s="1045" t="s">
        <v>1644</v>
      </c>
      <c r="F3" s="1045" t="s">
        <v>1638</v>
      </c>
      <c r="G3" s="1045" t="s">
        <v>1639</v>
      </c>
      <c r="H3" s="1045" t="s">
        <v>1638</v>
      </c>
      <c r="I3" s="1045" t="s">
        <v>1639</v>
      </c>
    </row>
    <row r="4" spans="1:9" ht="30">
      <c r="A4" s="1973" t="str">
        <f>项目基本情况!S2</f>
        <v>湖北省武汉市江岸区解放大道与张公堤路交叉口处房地产</v>
      </c>
      <c r="B4" s="1045">
        <f>项目基本情况!C17</f>
        <v>1368.3300000000163</v>
      </c>
      <c r="C4" s="1045">
        <f>项目基本情况!C18</f>
        <v>73.69</v>
      </c>
      <c r="D4" s="1045">
        <f ca="1">结果表!D118</f>
        <v>1176</v>
      </c>
      <c r="E4" s="1045">
        <f ca="1">结果表!E118</f>
        <v>8594</v>
      </c>
      <c r="F4" s="1045">
        <f ca="1">结果表!F118</f>
        <v>1125</v>
      </c>
      <c r="G4" s="1045">
        <f ca="1">结果表!G118</f>
        <v>8222</v>
      </c>
      <c r="H4" s="1045">
        <f ca="1">结果表!H118</f>
        <v>2301</v>
      </c>
      <c r="I4" s="1045">
        <f ca="1">结果表!I118</f>
        <v>16816</v>
      </c>
    </row>
    <row r="5" spans="1:9" ht="30" customHeight="1">
      <c r="A5" s="2984" t="s">
        <v>1640</v>
      </c>
      <c r="B5" s="2984"/>
      <c r="C5" s="2984"/>
      <c r="D5" s="2985" t="str">
        <f ca="1">结果表!D119</f>
        <v>壹仟壹佰柒拾陆万元整</v>
      </c>
      <c r="E5" s="2985"/>
      <c r="F5" s="2985" t="str">
        <f ca="1">结果表!F119</f>
        <v>壹仟壹佰贰拾伍万元整</v>
      </c>
      <c r="G5" s="2985"/>
      <c r="H5" s="2985" t="str">
        <f ca="1">结果表!H119</f>
        <v>贰仟叁佰零壹万元整</v>
      </c>
      <c r="I5" s="2985"/>
    </row>
    <row r="6" spans="1:9" ht="15.75">
      <c r="A6" s="2986" t="str">
        <f>结果表!A120</f>
        <v/>
      </c>
      <c r="B6" s="2986"/>
      <c r="C6" s="2986"/>
      <c r="D6" s="2986">
        <f>结果表!D120</f>
        <v>0</v>
      </c>
      <c r="E6" s="2986"/>
      <c r="F6" s="2986"/>
      <c r="G6" s="2986"/>
      <c r="H6" s="2986"/>
      <c r="I6" s="2986"/>
    </row>
    <row r="7" spans="1:9" ht="15">
      <c r="A7" s="2984" t="s">
        <v>1640</v>
      </c>
      <c r="B7" s="2984"/>
      <c r="C7" s="2984"/>
      <c r="D7" s="2987" t="str">
        <f>结果表!D121</f>
        <v>零元整</v>
      </c>
      <c r="E7" s="2988"/>
      <c r="F7" s="2988"/>
      <c r="G7" s="2988"/>
      <c r="H7" s="2988"/>
      <c r="I7" s="2989"/>
    </row>
    <row r="8" spans="1:9" ht="15.75">
      <c r="A8" s="2986" t="str">
        <f>结果表!A122</f>
        <v/>
      </c>
      <c r="B8" s="2986"/>
      <c r="C8" s="2986"/>
      <c r="D8" s="2986">
        <f ca="1">结果表!D122</f>
        <v>2301</v>
      </c>
      <c r="E8" s="2986"/>
      <c r="F8" s="2986"/>
      <c r="G8" s="2986"/>
      <c r="H8" s="2986"/>
      <c r="I8" s="2986"/>
    </row>
    <row r="9" spans="1:9" ht="15">
      <c r="A9" s="2984" t="s">
        <v>1640</v>
      </c>
      <c r="B9" s="2984"/>
      <c r="C9" s="2984"/>
      <c r="D9" s="2985" t="str">
        <f ca="1">结果表!D123</f>
        <v>贰仟叁佰零壹万元整</v>
      </c>
      <c r="E9" s="2985"/>
      <c r="F9" s="2985"/>
      <c r="G9" s="2985"/>
      <c r="H9" s="2985"/>
      <c r="I9" s="2985"/>
    </row>
    <row r="10" spans="1:9" ht="15.75">
      <c r="A10" s="2986" t="str">
        <f>结果表!A124</f>
        <v/>
      </c>
      <c r="B10" s="2986"/>
      <c r="C10" s="2986"/>
      <c r="D10" s="2986" t="str">
        <f>结果表!D124</f>
        <v>——</v>
      </c>
      <c r="E10" s="2986"/>
      <c r="F10" s="2986"/>
      <c r="G10" s="2986"/>
      <c r="H10" s="2986"/>
      <c r="I10" s="2986"/>
    </row>
    <row r="11" spans="1:9" ht="15">
      <c r="A11" s="2984" t="s">
        <v>1640</v>
      </c>
      <c r="B11" s="2984"/>
      <c r="C11" s="2984"/>
      <c r="D11" s="2985" t="e">
        <f>结果表!D125</f>
        <v>#VALUE!</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75" thickBot="1">
      <c r="A13" s="2990" t="s">
        <v>1640</v>
      </c>
      <c r="B13" s="2990"/>
      <c r="C13" s="2990"/>
      <c r="D13" s="2991" t="e">
        <f>结果表!D127</f>
        <v>#VALUE!</v>
      </c>
      <c r="E13" s="2991"/>
      <c r="F13" s="2991"/>
      <c r="G13" s="2991"/>
      <c r="H13" s="2991"/>
      <c r="I13" s="2991"/>
    </row>
    <row r="14" spans="1:9" ht="15" thickTop="1">
      <c r="A14" s="2992" t="s">
        <v>1645</v>
      </c>
      <c r="B14" s="2992"/>
      <c r="C14" s="2992"/>
      <c r="D14" s="2992"/>
      <c r="E14" s="2992"/>
      <c r="F14" s="2992"/>
      <c r="G14" s="2992"/>
      <c r="H14" s="2992"/>
      <c r="I14" s="2992"/>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2993" t="s">
        <v>1662</v>
      </c>
      <c r="B1" s="2993"/>
      <c r="C1" s="2993"/>
      <c r="D1" s="2993"/>
    </row>
    <row r="2" spans="1:4" ht="18">
      <c r="A2" s="2994" t="s">
        <v>1646</v>
      </c>
      <c r="B2" s="2994"/>
      <c r="C2" s="2994"/>
      <c r="D2" s="2994"/>
    </row>
    <row r="3" spans="1:4" ht="18.75">
      <c r="A3" s="1977" t="s">
        <v>1647</v>
      </c>
      <c r="B3" s="1977" t="s">
        <v>1648</v>
      </c>
      <c r="C3" s="1977" t="s">
        <v>1649</v>
      </c>
      <c r="D3" s="1977" t="s">
        <v>1650</v>
      </c>
    </row>
    <row r="4" spans="1:4" ht="56.25" customHeight="1">
      <c r="A4" s="1978" t="str">
        <f>项目基本情况!B4</f>
        <v>王鹏</v>
      </c>
      <c r="B4" s="1979">
        <f ca="1">项目基本情况!C4</f>
        <v>1120050019</v>
      </c>
      <c r="C4" s="1980"/>
      <c r="D4" s="1981" t="s">
        <v>1651</v>
      </c>
    </row>
    <row r="5" spans="1:4" ht="56.25" customHeight="1">
      <c r="A5" s="1978" t="str">
        <f>项目基本情况!D4</f>
        <v>郑燚</v>
      </c>
      <c r="B5" s="1979">
        <f ca="1">项目基本情况!E4</f>
        <v>1120070131</v>
      </c>
      <c r="C5" s="1982"/>
      <c r="D5" s="1981" t="s">
        <v>1651</v>
      </c>
    </row>
    <row r="6" spans="1:4" ht="18">
      <c r="A6" s="2994" t="s">
        <v>1652</v>
      </c>
      <c r="B6" s="2994"/>
      <c r="C6" s="2994"/>
      <c r="D6" s="2994"/>
    </row>
    <row r="7" spans="1:4" ht="18.75">
      <c r="A7" s="1977" t="s">
        <v>1647</v>
      </c>
      <c r="B7" s="1979" t="s">
        <v>1653</v>
      </c>
      <c r="C7" s="1977" t="s">
        <v>1649</v>
      </c>
      <c r="D7" s="1977" t="s">
        <v>1650</v>
      </c>
    </row>
    <row r="8" spans="1:4" ht="56.25" customHeight="1">
      <c r="A8" s="1983" t="s">
        <v>869</v>
      </c>
      <c r="B8" s="1983" t="s">
        <v>1</v>
      </c>
      <c r="C8" s="1980"/>
      <c r="D8" s="1981" t="s">
        <v>1651</v>
      </c>
    </row>
    <row r="9" spans="1:4">
      <c r="A9" s="726"/>
      <c r="B9" s="726"/>
      <c r="C9" s="726"/>
      <c r="D9" s="726"/>
    </row>
    <row r="10" spans="1:4" ht="18.75">
      <c r="A10" s="1984" t="s">
        <v>1654</v>
      </c>
      <c r="B10" s="726"/>
      <c r="C10" s="726"/>
      <c r="D10" s="726"/>
    </row>
    <row r="11" spans="1:4" ht="30" customHeight="1">
      <c r="A11" s="2995" t="s">
        <v>1655</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7"/>
      <c r="C12" s="2997"/>
      <c r="D12" s="2997"/>
    </row>
    <row r="13" spans="1:4" ht="30" customHeight="1">
      <c r="A13" s="2996" t="str">
        <f>IF(项目基本情况!B8="抵押","3.抵押双方在办理抵押登记手续时，应使用本公司出具的正式《房地产评估报告》，特提醒报告使用者注意。","——")</f>
        <v>——</v>
      </c>
      <c r="B13" s="2997"/>
      <c r="C13" s="2997"/>
      <c r="D13" s="2997"/>
    </row>
    <row r="14" spans="1:4" ht="15.75" customHeight="1">
      <c r="A14" s="2996" t="str">
        <f>IF(项目基本情况!B8="抵押","4.本次评估估价师所知悉的法定优先受偿款情况说明如下：","——")</f>
        <v>——</v>
      </c>
      <c r="B14" s="2997"/>
      <c r="C14" s="2997"/>
      <c r="D14" s="2997"/>
    </row>
    <row r="15" spans="1:4" ht="42" customHeight="1">
      <c r="A15" s="2996" t="str">
        <f>IF(项目基本情况!B8="抵押","（1）"&amp;CONCATENATE(项目基本情况!L20,项目基本情况!L21,项目基本情况!L22),"——")</f>
        <v>——</v>
      </c>
      <c r="B15" s="2996"/>
      <c r="C15" s="2996"/>
      <c r="D15" s="2996"/>
    </row>
    <row r="16" spans="1:4" ht="30" customHeight="1">
      <c r="A16" s="2999" t="s">
        <v>1656</v>
      </c>
      <c r="B16" s="2999"/>
      <c r="C16" s="2999"/>
      <c r="D16" s="2999"/>
    </row>
    <row r="17" spans="1:4" ht="144" customHeight="1">
      <c r="A17" s="2999" t="s">
        <v>1657</v>
      </c>
      <c r="B17" s="2999"/>
      <c r="C17" s="2999"/>
      <c r="D17" s="2999"/>
    </row>
    <row r="18" spans="1:4" ht="15.75" customHeight="1">
      <c r="A18" s="2996" t="str">
        <f>IF(项目基本情况!B8="抵押",结果表!K120,"——")</f>
        <v>——</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1658</v>
      </c>
      <c r="B22" s="3001"/>
      <c r="C22" s="3001"/>
      <c r="D22" s="3001"/>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07" t="s">
        <v>1669</v>
      </c>
      <c r="B15" s="3002" t="s">
        <v>136</v>
      </c>
      <c r="C15" s="3003"/>
    </row>
    <row r="16" spans="1:7" ht="13.5">
      <c r="A16" s="3008"/>
      <c r="B16" s="3002" t="s">
        <v>69</v>
      </c>
      <c r="C16" s="3003"/>
    </row>
    <row r="17" spans="1:3" ht="13.5">
      <c r="A17" s="3008"/>
      <c r="B17" s="3005" t="s">
        <v>1670</v>
      </c>
      <c r="C17" s="2000" t="s">
        <v>1669</v>
      </c>
    </row>
    <row r="18" spans="1:3" ht="13.5">
      <c r="A18" s="3008"/>
      <c r="B18" s="3005"/>
      <c r="C18" s="2000" t="s">
        <v>1671</v>
      </c>
    </row>
    <row r="19" spans="1:3" ht="13.5">
      <c r="A19" s="3008"/>
      <c r="B19" s="3005"/>
      <c r="C19" s="2000" t="s">
        <v>1672</v>
      </c>
    </row>
    <row r="20" spans="1:3" ht="13.5">
      <c r="A20" s="3009"/>
      <c r="B20" s="3004" t="s">
        <v>1673</v>
      </c>
      <c r="C20" s="3003"/>
    </row>
    <row r="21" spans="1:3" ht="13.5">
      <c r="A21" s="2001" t="s">
        <v>1674</v>
      </c>
      <c r="B21" s="2002"/>
      <c r="C21" s="2003"/>
    </row>
    <row r="22" spans="1:3" ht="13.5">
      <c r="A22" s="3006" t="s">
        <v>1675</v>
      </c>
      <c r="B22" s="3004" t="s">
        <v>1676</v>
      </c>
      <c r="C22" s="3003"/>
    </row>
    <row r="23" spans="1:3" ht="13.5">
      <c r="A23" s="3006"/>
      <c r="B23" s="3004" t="s">
        <v>1677</v>
      </c>
      <c r="C23" s="3003"/>
    </row>
    <row r="24" spans="1:3" ht="13.5">
      <c r="A24" s="3006"/>
      <c r="B24" s="3004" t="s">
        <v>1678</v>
      </c>
      <c r="C24" s="3003"/>
    </row>
    <row r="25" spans="1:3" ht="13.5">
      <c r="A25" s="3006"/>
      <c r="B25" s="3005" t="s">
        <v>1679</v>
      </c>
      <c r="C25" s="2000" t="s">
        <v>1680</v>
      </c>
    </row>
    <row r="26" spans="1:3" ht="13.5">
      <c r="A26" s="3006"/>
      <c r="B26" s="3005"/>
      <c r="C26" s="2000" t="s">
        <v>1681</v>
      </c>
    </row>
    <row r="27" spans="1:3" ht="13.5">
      <c r="A27" s="3006"/>
      <c r="B27" s="3005"/>
      <c r="C27" s="2000" t="s">
        <v>1682</v>
      </c>
    </row>
    <row r="28" spans="1:3" ht="13.5">
      <c r="A28" s="3006"/>
      <c r="B28" s="3005"/>
      <c r="C28" s="2000" t="s">
        <v>1683</v>
      </c>
    </row>
    <row r="29" spans="1:3" ht="13.5">
      <c r="A29" s="3006"/>
      <c r="B29" s="3005"/>
      <c r="C29" s="2000" t="s">
        <v>1684</v>
      </c>
    </row>
    <row r="30" spans="1:3" ht="13.5">
      <c r="A30" s="3006"/>
      <c r="B30" s="3005"/>
      <c r="C30" s="2000" t="s">
        <v>1685</v>
      </c>
    </row>
    <row r="31" spans="1:3" ht="13.5">
      <c r="A31" s="3006"/>
      <c r="B31" s="3005"/>
      <c r="C31" s="2000" t="s">
        <v>1686</v>
      </c>
    </row>
    <row r="32" spans="1:3" ht="13.5">
      <c r="A32" s="3006"/>
      <c r="B32" s="3005"/>
      <c r="C32" s="2000" t="s">
        <v>1687</v>
      </c>
    </row>
    <row r="33" spans="1:3" ht="13.5">
      <c r="A33" s="3006"/>
      <c r="B33" s="3005"/>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43437</v>
      </c>
      <c r="C2" s="1020" t="s">
        <v>826</v>
      </c>
      <c r="D2" s="1020"/>
    </row>
    <row r="3" spans="1:6" ht="24" customHeight="1">
      <c r="A3" s="1021" t="s">
        <v>827</v>
      </c>
      <c r="B3" s="1022" t="s">
        <v>828</v>
      </c>
      <c r="C3" s="2343" t="s">
        <v>829</v>
      </c>
      <c r="D3" s="2346" t="s">
        <v>830</v>
      </c>
      <c r="E3" s="1023" t="s">
        <v>831</v>
      </c>
      <c r="F3" s="1022" t="s">
        <v>829</v>
      </c>
    </row>
    <row r="4" spans="1:6" ht="24" customHeight="1">
      <c r="A4" s="1702" t="s">
        <v>832</v>
      </c>
      <c r="B4" s="1023">
        <f ca="1">IF(C4&lt;B2,"已过期",1119970066)</f>
        <v>1119970066</v>
      </c>
      <c r="C4" s="2344">
        <v>43849</v>
      </c>
      <c r="D4" s="2347" t="s">
        <v>832</v>
      </c>
      <c r="E4" s="1023">
        <f ca="1">IF(F4&lt;B2,"已过期",96010014)</f>
        <v>96010014</v>
      </c>
      <c r="F4" s="1031">
        <v>47118</v>
      </c>
    </row>
    <row r="5" spans="1:6" ht="24" customHeight="1">
      <c r="A5" s="1702" t="s">
        <v>833</v>
      </c>
      <c r="B5" s="1023">
        <f ca="1">IF(C5&lt;B2,"已过期",1119970074)</f>
        <v>1119970074</v>
      </c>
      <c r="C5" s="2344">
        <v>43849</v>
      </c>
      <c r="D5" s="2347" t="s">
        <v>833</v>
      </c>
      <c r="E5" s="1023">
        <f ca="1">IF(F5&lt;B2,"已过期",2002110027)</f>
        <v>2002110027</v>
      </c>
      <c r="F5" s="1031">
        <v>46752</v>
      </c>
    </row>
    <row r="6" spans="1:6" ht="24" customHeight="1">
      <c r="A6" s="1702" t="s">
        <v>834</v>
      </c>
      <c r="B6" s="1023">
        <f ca="1">IF(C6&lt;B2,"已过期",1119970111)</f>
        <v>1119970111</v>
      </c>
      <c r="C6" s="2344">
        <v>43849</v>
      </c>
      <c r="D6" s="2347" t="s">
        <v>834</v>
      </c>
      <c r="E6" s="1023">
        <f ca="1">IF(F6&lt;B2,"已过期",94010078)</f>
        <v>94010078</v>
      </c>
      <c r="F6" s="1031">
        <v>46387</v>
      </c>
    </row>
    <row r="7" spans="1:6" ht="24" customHeight="1">
      <c r="A7" s="1702" t="s">
        <v>835</v>
      </c>
      <c r="B7" s="1023">
        <f ca="1">IF(C7&lt;B2,"已过期",1120050019)</f>
        <v>1120050019</v>
      </c>
      <c r="C7" s="2344">
        <v>44395</v>
      </c>
      <c r="D7" s="2347" t="s">
        <v>835</v>
      </c>
      <c r="E7" s="1023">
        <f ca="1">IF(F7&lt;B2,"已过期",2002110030)</f>
        <v>2002110030</v>
      </c>
      <c r="F7" s="1031">
        <v>46387</v>
      </c>
    </row>
    <row r="8" spans="1:6" ht="24" customHeight="1">
      <c r="A8" s="1702" t="s">
        <v>836</v>
      </c>
      <c r="B8" s="1023">
        <f ca="1">IF(C8&lt;B2,"已过期",1120000080)</f>
        <v>1120000080</v>
      </c>
      <c r="C8" s="2344">
        <v>43849</v>
      </c>
      <c r="D8" s="2347" t="s">
        <v>836</v>
      </c>
      <c r="E8" s="1023">
        <f ca="1">IF(F8&lt;B2,"已过期",2000110082)</f>
        <v>2000110082</v>
      </c>
      <c r="F8" s="1031">
        <v>46387</v>
      </c>
    </row>
    <row r="9" spans="1:6" ht="24" customHeight="1">
      <c r="A9" s="1702" t="s">
        <v>837</v>
      </c>
      <c r="B9" s="1023">
        <f ca="1">IF(C9&lt;B2,"已过期",1419970001)</f>
        <v>1419970001</v>
      </c>
      <c r="C9" s="2344">
        <v>43867</v>
      </c>
      <c r="D9" s="2347" t="s">
        <v>837</v>
      </c>
      <c r="E9" s="1023">
        <f ca="1">IF(F9&lt;B2,"已过期",2002110125)</f>
        <v>2002110125</v>
      </c>
      <c r="F9" s="1031">
        <v>47118</v>
      </c>
    </row>
    <row r="10" spans="1:6" ht="24" customHeight="1">
      <c r="A10" s="1702" t="s">
        <v>838</v>
      </c>
      <c r="B10" s="1023">
        <f ca="1">IF(C10&lt;B2,"已过期",1120060040)</f>
        <v>1120060040</v>
      </c>
      <c r="C10" s="2344">
        <v>43483</v>
      </c>
      <c r="D10" s="2347" t="s">
        <v>838</v>
      </c>
      <c r="E10" s="1023">
        <f ca="1">IF(F10&lt;B2,"已过期",2004110096)</f>
        <v>2004110096</v>
      </c>
      <c r="F10" s="1031">
        <v>47118</v>
      </c>
    </row>
    <row r="11" spans="1:6" ht="24" customHeight="1">
      <c r="A11" s="1702" t="s">
        <v>839</v>
      </c>
      <c r="B11" s="1023">
        <f ca="1">IF(C11&lt;B2,"已过期",1120100036)</f>
        <v>1120100036</v>
      </c>
      <c r="C11" s="2344">
        <v>43622</v>
      </c>
      <c r="D11" s="2347" t="s">
        <v>839</v>
      </c>
      <c r="E11" s="1023">
        <f ca="1">IF(F11&lt;B2,"已过期",2010110070)</f>
        <v>2010110070</v>
      </c>
      <c r="F11" s="1031">
        <v>47907</v>
      </c>
    </row>
    <row r="12" spans="1:6" ht="24" customHeight="1">
      <c r="A12" s="1702" t="s">
        <v>3049</v>
      </c>
      <c r="B12" s="1023">
        <v>1120110054</v>
      </c>
      <c r="C12" s="2938">
        <v>43937</v>
      </c>
      <c r="D12" s="1702" t="s">
        <v>3049</v>
      </c>
      <c r="E12" s="1023">
        <v>2008110060</v>
      </c>
      <c r="F12" s="1031">
        <v>47177</v>
      </c>
    </row>
    <row r="13" spans="1:6" ht="24" customHeight="1">
      <c r="A13" s="1702" t="s">
        <v>840</v>
      </c>
      <c r="B13" s="1023">
        <f ca="1">IF(C13&lt;B2,"已过期",1120070131)</f>
        <v>1120070131</v>
      </c>
      <c r="C13" s="2344">
        <v>43814</v>
      </c>
      <c r="D13" s="2347" t="s">
        <v>840</v>
      </c>
      <c r="E13" s="1023">
        <v>2014110011</v>
      </c>
      <c r="F13" s="1031">
        <v>49302</v>
      </c>
    </row>
    <row r="14" spans="1:6" ht="24" customHeight="1">
      <c r="A14" s="1702" t="s">
        <v>841</v>
      </c>
      <c r="B14" s="1023">
        <f ca="1">IF(C14&lt;B2,"已过期",1120130020)</f>
        <v>1120130020</v>
      </c>
      <c r="C14" s="2344">
        <v>43622</v>
      </c>
      <c r="D14" s="2347"/>
      <c r="E14" s="1023"/>
      <c r="F14" s="1023"/>
    </row>
    <row r="15" spans="1:6" ht="24" customHeight="1">
      <c r="A15" s="1703" t="s">
        <v>1149</v>
      </c>
      <c r="B15" s="1023">
        <v>1120070085</v>
      </c>
      <c r="C15" s="2344">
        <v>43814</v>
      </c>
      <c r="D15" s="2348" t="s">
        <v>1149</v>
      </c>
      <c r="E15" s="1023">
        <v>2004110128</v>
      </c>
      <c r="F15" s="1024">
        <v>47118</v>
      </c>
    </row>
    <row r="16" spans="1:6" ht="24" customHeight="1">
      <c r="A16" s="1702" t="s">
        <v>842</v>
      </c>
      <c r="B16" s="1023">
        <f ca="1">IF(C16&lt;B2,"已过期",1120140022)</f>
        <v>1120140022</v>
      </c>
      <c r="C16" s="2344">
        <v>44029</v>
      </c>
      <c r="D16" s="2347" t="s">
        <v>842</v>
      </c>
      <c r="E16" s="1023">
        <f ca="1">IF(F16&lt;B2,"已过期",2008110059)</f>
        <v>2008110059</v>
      </c>
      <c r="F16" s="1031">
        <v>47177</v>
      </c>
    </row>
    <row r="17" spans="1:7" ht="24" customHeight="1">
      <c r="A17" s="1702"/>
      <c r="B17" s="1023"/>
      <c r="C17" s="2344"/>
      <c r="D17" s="2347"/>
      <c r="E17" s="1023"/>
      <c r="F17" s="1031"/>
    </row>
    <row r="18" spans="1:7" ht="24" customHeight="1">
      <c r="A18" s="1702"/>
      <c r="B18" s="1023"/>
      <c r="C18" s="2344"/>
      <c r="D18" s="2347"/>
      <c r="E18" s="1023"/>
      <c r="F18" s="1031"/>
    </row>
    <row r="19" spans="1:7" ht="24" customHeight="1">
      <c r="A19" s="1702"/>
      <c r="B19" s="1023"/>
      <c r="C19" s="2344"/>
      <c r="D19" s="2347"/>
      <c r="E19" s="1023"/>
      <c r="F19" s="1023"/>
    </row>
    <row r="20" spans="1:7" ht="24" customHeight="1">
      <c r="A20" s="1702"/>
      <c r="B20" s="1023"/>
      <c r="C20" s="2344"/>
      <c r="D20" s="2347"/>
      <c r="E20" s="1023"/>
      <c r="F20" s="1023"/>
    </row>
    <row r="21" spans="1:7" ht="24" customHeight="1">
      <c r="A21" s="1702"/>
      <c r="B21" s="1023"/>
      <c r="C21" s="2344"/>
      <c r="D21" s="2347" t="s">
        <v>843</v>
      </c>
      <c r="E21" s="1023">
        <f ca="1">IF(F21&lt;B2,"已过期",2011110090)</f>
        <v>2011110090</v>
      </c>
      <c r="F21" s="1031">
        <v>48302</v>
      </c>
    </row>
    <row r="22" spans="1:7" ht="24" customHeight="1">
      <c r="A22" s="1702" t="s">
        <v>844</v>
      </c>
      <c r="B22" s="1023">
        <f ca="1">IF(C22&lt;B2,"已过期",1120020033)</f>
        <v>1120020033</v>
      </c>
      <c r="C22" s="2938">
        <v>44339</v>
      </c>
      <c r="D22" s="2347" t="s">
        <v>844</v>
      </c>
      <c r="E22" s="1023">
        <f ca="1">IF(F22&lt;B2,"已过期",2000110137)</f>
        <v>2000110137</v>
      </c>
      <c r="F22" s="1031">
        <v>46387</v>
      </c>
    </row>
    <row r="23" spans="1:7" ht="24" customHeight="1">
      <c r="A23" s="1702" t="s">
        <v>845</v>
      </c>
      <c r="B23" s="1023">
        <f ca="1">IF(C23&lt;B2,"已过期",1120130048)</f>
        <v>1120130048</v>
      </c>
      <c r="C23" s="2344">
        <v>43686</v>
      </c>
      <c r="D23" s="2347"/>
      <c r="E23" s="1023"/>
      <c r="F23" s="1023"/>
    </row>
    <row r="24" spans="1:7" s="1025" customFormat="1" ht="24" customHeight="1">
      <c r="A24" s="1703" t="s">
        <v>1333</v>
      </c>
      <c r="B24" s="1703" t="s">
        <v>1333</v>
      </c>
      <c r="C24" s="2345" t="s">
        <v>1333</v>
      </c>
      <c r="D24" s="2348" t="s">
        <v>1333</v>
      </c>
      <c r="E24" s="1703" t="s">
        <v>1333</v>
      </c>
      <c r="F24" s="1703" t="s">
        <v>1333</v>
      </c>
    </row>
    <row r="25" spans="1:7" ht="24" customHeight="1">
      <c r="A25" s="3010" t="s">
        <v>846</v>
      </c>
      <c r="B25" s="3010"/>
      <c r="C25" s="3010"/>
      <c r="D25" s="3010"/>
      <c r="E25" s="3010"/>
      <c r="F25" s="3010"/>
      <c r="G25" s="3010"/>
    </row>
    <row r="26" spans="1:7" s="1026" customFormat="1" ht="24" customHeight="1">
      <c r="A26" s="3011" t="s">
        <v>847</v>
      </c>
      <c r="B26" s="3011"/>
      <c r="C26" s="3012"/>
      <c r="D26" s="3013" t="s">
        <v>848</v>
      </c>
      <c r="E26" s="3011"/>
      <c r="F26" s="3011"/>
    </row>
    <row r="27" spans="1:7" s="1028" customFormat="1" ht="24" customHeight="1">
      <c r="A27" s="1027" t="s">
        <v>849</v>
      </c>
      <c r="B27" s="1022" t="s">
        <v>850</v>
      </c>
      <c r="C27" s="2343" t="s">
        <v>851</v>
      </c>
      <c r="D27" s="2351" t="s">
        <v>849</v>
      </c>
      <c r="E27" s="1022" t="s">
        <v>850</v>
      </c>
      <c r="F27" s="1022" t="s">
        <v>851</v>
      </c>
    </row>
    <row r="28" spans="1:7" s="1028" customFormat="1" ht="24" customHeight="1">
      <c r="A28" s="1029" t="s">
        <v>852</v>
      </c>
      <c r="B28" s="1030" t="s">
        <v>853</v>
      </c>
      <c r="C28" s="2349">
        <v>43725</v>
      </c>
      <c r="D28" s="2352" t="s">
        <v>854</v>
      </c>
      <c r="E28" s="1029" t="s">
        <v>855</v>
      </c>
      <c r="F28" s="1059">
        <v>44377</v>
      </c>
    </row>
    <row r="29" spans="1:7" s="1028" customFormat="1" ht="24" customHeight="1">
      <c r="A29" s="1029"/>
      <c r="B29" s="1029"/>
      <c r="C29" s="2350"/>
      <c r="D29" s="2352"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2018-12-03T07:30:15Z</dcterms:modified>
</cp:coreProperties>
</file>