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成本逼近法" sheetId="11"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sheetId="12" r:id="rId31"/>
    <sheet name="不动产收益法-商业" sheetId="15" state="hidden" r:id="rId32"/>
    <sheet name="不动产收益法-办公" sheetId="69" r:id="rId33"/>
    <sheet name="不动产收益法-车库" sheetId="70"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state="hidden"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0" i="46" l="1"/>
  <c r="AH5" i="59"/>
  <c r="AG5" i="59"/>
  <c r="AF5" i="59"/>
  <c r="AE5" i="59"/>
  <c r="AD5" i="59"/>
  <c r="AB5" i="59"/>
  <c r="AA5" i="59"/>
  <c r="Y5" i="59"/>
  <c r="Z5" i="59" s="1"/>
  <c r="X5" i="59"/>
  <c r="D38" i="46" l="1"/>
  <c r="K14" i="3" l="1"/>
  <c r="K15" i="3"/>
  <c r="K16" i="3"/>
  <c r="K17" i="3"/>
  <c r="K18" i="3"/>
  <c r="K13" i="3"/>
  <c r="E38" i="9"/>
  <c r="C38" i="9"/>
  <c r="C37" i="9"/>
  <c r="B38" i="9"/>
  <c r="B37" i="9"/>
  <c r="E37" i="9" l="1"/>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22" i="6"/>
  <c r="O14" i="3"/>
  <c r="O15" i="3"/>
  <c r="O16" i="3"/>
  <c r="O17" i="3"/>
  <c r="O18" i="3"/>
  <c r="O19" i="3"/>
  <c r="O13" i="3"/>
  <c r="L9" i="68"/>
  <c r="L8" i="68"/>
  <c r="L7" i="68"/>
  <c r="L6" i="68"/>
  <c r="L5" i="68"/>
  <c r="N11" i="68"/>
  <c r="L4" i="68"/>
  <c r="L3" i="68"/>
  <c r="D23" i="72" l="1"/>
  <c r="P62" i="72"/>
  <c r="I48" i="39"/>
  <c r="G48" i="39"/>
  <c r="E48" i="39"/>
  <c r="I40" i="39"/>
  <c r="G40" i="39"/>
  <c r="E40" i="39"/>
  <c r="C40" i="39"/>
  <c r="I13" i="39"/>
  <c r="G13" i="39"/>
  <c r="E13" i="39"/>
  <c r="I9" i="39"/>
  <c r="G9" i="39"/>
  <c r="E9" i="39"/>
  <c r="I7" i="39"/>
  <c r="G7" i="39"/>
  <c r="E7" i="39"/>
  <c r="F1" i="46" l="1"/>
  <c r="Q73" i="70" l="1"/>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1" i="68"/>
  <c r="M11" i="68"/>
  <c r="AN19" i="3"/>
  <c r="AN18" i="3"/>
  <c r="AN17" i="3"/>
  <c r="AN16" i="3"/>
  <c r="AN15" i="3"/>
  <c r="AN14" i="3"/>
  <c r="I6" i="68"/>
  <c r="I4" i="68"/>
  <c r="I3" i="68"/>
  <c r="H11" i="68"/>
  <c r="I11" i="68" l="1"/>
  <c r="L11" i="68"/>
  <c r="O11" i="68" s="1"/>
  <c r="AN13" i="3"/>
  <c r="E11" i="68"/>
  <c r="D11" i="68"/>
  <c r="C11" i="68"/>
  <c r="N5" i="59" l="1"/>
  <c r="Q5" i="59"/>
  <c r="P5" i="59"/>
  <c r="O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0" i="67"/>
  <c r="B14" i="67"/>
  <c r="B12" i="67"/>
  <c r="E8" i="67"/>
  <c r="F11" i="67"/>
  <c r="F13" i="67"/>
  <c r="E12" i="67"/>
  <c r="E9" i="67"/>
  <c r="E11" i="67"/>
  <c r="B11" i="67"/>
  <c r="F8" i="67"/>
  <c r="F10" i="67"/>
  <c r="E14" i="67"/>
  <c r="E10" i="67"/>
  <c r="B8" i="67"/>
  <c r="F14" i="67"/>
  <c r="F9" i="67"/>
  <c r="F12" i="67"/>
  <c r="E13" i="67"/>
  <c r="B13"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6" i="59" l="1"/>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I3" i="65"/>
  <c r="N4" i="65"/>
  <c r="N5" i="65"/>
  <c r="N6" i="65"/>
  <c r="C4" i="65" l="1"/>
  <c r="B39" i="1" s="1"/>
  <c r="J7" i="65"/>
  <c r="I4" i="65"/>
  <c r="J5" i="65"/>
  <c r="J4" i="65"/>
  <c r="I6" i="65"/>
  <c r="I7" i="65"/>
  <c r="J6" i="65"/>
  <c r="I5" i="65"/>
  <c r="J3"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F9" i="59" s="1"/>
  <c r="P9" i="59"/>
  <c r="E9" i="59" s="1"/>
  <c r="O9" i="59"/>
  <c r="C9" i="59" s="1"/>
  <c r="N9" i="59"/>
  <c r="B9" i="59" s="1"/>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AB16" i="59"/>
  <c r="Y17" i="59"/>
  <c r="Z17" i="59" s="1"/>
  <c r="AB17" i="59"/>
  <c r="C15" i="59"/>
  <c r="Y14" i="59"/>
  <c r="Z14" i="59" s="1"/>
  <c r="F15" i="59"/>
  <c r="AB14" i="59"/>
  <c r="B19" i="59"/>
  <c r="B20" i="59" s="1"/>
  <c r="B21" i="59" s="1"/>
  <c r="S21" i="59" s="1"/>
  <c r="X18" i="59"/>
  <c r="E19" i="59"/>
  <c r="E20" i="59" s="1"/>
  <c r="E21" i="59" s="1"/>
  <c r="U21" i="59" s="1"/>
  <c r="AA18" i="59"/>
  <c r="S9" i="59"/>
  <c r="B8" i="59"/>
  <c r="B7" i="59" s="1"/>
  <c r="B6" i="59" s="1"/>
  <c r="B5" i="59" s="1"/>
  <c r="U9" i="59"/>
  <c r="E8" i="59"/>
  <c r="E7" i="59" s="1"/>
  <c r="E6" i="59" s="1"/>
  <c r="E5" i="59" s="1"/>
  <c r="B11" i="59"/>
  <c r="X10" i="59"/>
  <c r="C11" i="59"/>
  <c r="Y10" i="59"/>
  <c r="Z10" i="59" s="1"/>
  <c r="F11" i="59"/>
  <c r="AB10" i="59"/>
  <c r="B15" i="59"/>
  <c r="B16" i="59" s="1"/>
  <c r="B17" i="59" s="1"/>
  <c r="S17" i="59" s="1"/>
  <c r="X14" i="59"/>
  <c r="E15" i="59"/>
  <c r="E16" i="59" s="1"/>
  <c r="E17" i="59" s="1"/>
  <c r="U17" i="59" s="1"/>
  <c r="AA14" i="59"/>
  <c r="C19" i="59"/>
  <c r="Y18" i="59"/>
  <c r="Z18" i="59" s="1"/>
  <c r="F19" i="59"/>
  <c r="AB18" i="59"/>
  <c r="D9" i="59"/>
  <c r="T9" i="59"/>
  <c r="C8" i="59"/>
  <c r="V9" i="59"/>
  <c r="F8" i="59"/>
  <c r="F7" i="59" s="1"/>
  <c r="F6" i="59" s="1"/>
  <c r="F5" i="59" s="1"/>
  <c r="X6" i="59"/>
  <c r="X7" i="59"/>
  <c r="X8" i="59"/>
  <c r="X9" i="59"/>
  <c r="AA6" i="59"/>
  <c r="AA7" i="59"/>
  <c r="AA8" i="59"/>
  <c r="AA9" i="59"/>
  <c r="Y6" i="59"/>
  <c r="Z6" i="59" s="1"/>
  <c r="Y7" i="59"/>
  <c r="Z7" i="59" s="1"/>
  <c r="Y8" i="59"/>
  <c r="Z8" i="59" s="1"/>
  <c r="Y9" i="59"/>
  <c r="Z9" i="59" s="1"/>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D8" i="59" l="1"/>
  <c r="C7" i="59"/>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7" i="59" l="1"/>
  <c r="C6" i="59"/>
  <c r="T41" i="59"/>
  <c r="D41" i="59"/>
  <c r="T13" i="59"/>
  <c r="D13" i="59"/>
  <c r="T21" i="59"/>
  <c r="D21" i="59"/>
  <c r="M19" i="46" s="1"/>
  <c r="T25" i="59"/>
  <c r="D25" i="59"/>
  <c r="T33" i="59"/>
  <c r="D33" i="59"/>
  <c r="T37" i="59"/>
  <c r="D37" i="59"/>
  <c r="T45" i="59"/>
  <c r="D45" i="59"/>
  <c r="T17" i="59"/>
  <c r="D17" i="59"/>
  <c r="O47" i="59"/>
  <c r="D47" i="59"/>
  <c r="O46" i="59"/>
  <c r="D6" i="59" l="1"/>
  <c r="C5" i="59"/>
  <c r="D5"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G20" i="46" s="1"/>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L48" i="72"/>
  <c r="F8" i="72"/>
  <c r="F26" i="72"/>
  <c r="F37" i="72"/>
  <c r="M9" i="72"/>
  <c r="F6" i="72"/>
  <c r="F7" i="72"/>
  <c r="M28" i="72"/>
  <c r="E2" i="65"/>
  <c r="M23" i="72"/>
  <c r="M29" i="72"/>
  <c r="J15" i="72"/>
  <c r="M8" i="72"/>
  <c r="F9" i="72"/>
  <c r="F36" i="72"/>
  <c r="J36" i="72"/>
  <c r="M26" i="72"/>
  <c r="F42" i="72"/>
  <c r="F43" i="72"/>
  <c r="M6" i="72"/>
  <c r="F38" i="72"/>
  <c r="F40" i="72"/>
  <c r="F13" i="72"/>
  <c r="M27" i="72"/>
  <c r="L47" i="72"/>
  <c r="M24" i="72"/>
  <c r="M22" i="72"/>
  <c r="F16" i="72"/>
  <c r="F29" i="39" l="1"/>
  <c r="AA29" i="39" s="1"/>
  <c r="F50" i="72"/>
  <c r="L59" i="72"/>
  <c r="L58" i="72"/>
  <c r="F65" i="72"/>
  <c r="F64" i="72"/>
  <c r="Q72" i="72"/>
  <c r="L56" i="72"/>
  <c r="L60" i="72"/>
  <c r="J57" i="72"/>
  <c r="J55" i="72" s="1"/>
  <c r="J58" i="72" s="1"/>
  <c r="Q51" i="72" s="1"/>
  <c r="J53" i="72"/>
  <c r="J59" i="72"/>
  <c r="L57" i="72"/>
  <c r="I54" i="72"/>
  <c r="J60" i="72"/>
  <c r="Q49" i="72" s="1"/>
  <c r="C27" i="72"/>
  <c r="F63" i="72"/>
  <c r="F67" i="72"/>
  <c r="F49" i="72"/>
  <c r="M7" i="72"/>
  <c r="J6" i="72" s="1"/>
  <c r="J5" i="72" s="1"/>
  <c r="C6" i="72"/>
  <c r="C10" i="72"/>
  <c r="F70" i="72"/>
  <c r="M9" i="1"/>
  <c r="O9" i="1" s="1"/>
  <c r="P9" i="1" s="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C52" i="15"/>
  <c r="A4" i="64"/>
  <c r="A4" i="51"/>
  <c r="B6" i="63" s="1"/>
  <c r="C51" i="10"/>
  <c r="H71" i="46"/>
  <c r="H76" i="46"/>
  <c r="I100" i="46"/>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11" i="44"/>
  <c r="F40" i="44"/>
  <c r="F28" i="44"/>
  <c r="L48" i="15"/>
  <c r="M8" i="44"/>
  <c r="M29" i="15"/>
  <c r="J15" i="15"/>
  <c r="M28" i="44"/>
  <c r="F37" i="15"/>
  <c r="M24" i="15"/>
  <c r="M6" i="15"/>
  <c r="F39" i="44"/>
  <c r="F11" i="44"/>
  <c r="L48" i="44"/>
  <c r="F16" i="15"/>
  <c r="M10" i="44"/>
  <c r="F13" i="15"/>
  <c r="F18" i="44"/>
  <c r="M8" i="15"/>
  <c r="F43" i="44"/>
  <c r="F43" i="15"/>
  <c r="M23" i="15"/>
  <c r="L49" i="44"/>
  <c r="M26" i="15"/>
  <c r="F38" i="44"/>
  <c r="F9" i="15"/>
  <c r="F38" i="15"/>
  <c r="M26" i="44"/>
  <c r="M28" i="15"/>
  <c r="M31" i="44"/>
  <c r="M9" i="15"/>
  <c r="M25" i="44"/>
  <c r="M24" i="44"/>
  <c r="F8" i="44"/>
  <c r="F15" i="44"/>
  <c r="F10" i="44"/>
  <c r="F6" i="15"/>
  <c r="F9" i="44"/>
  <c r="L47" i="15"/>
  <c r="J36" i="15"/>
  <c r="F45" i="44"/>
  <c r="M30" i="44"/>
  <c r="F26" i="15"/>
  <c r="C16" i="72"/>
  <c r="F36" i="15"/>
  <c r="F42" i="15"/>
  <c r="F40" i="15"/>
  <c r="M22" i="15"/>
  <c r="F7" i="15"/>
  <c r="F8" i="15"/>
  <c r="C48" i="72" l="1"/>
  <c r="C47" i="72" s="1"/>
  <c r="C59" i="72" s="1"/>
  <c r="Q53" i="72"/>
  <c r="F1" i="72"/>
  <c r="Q67" i="72"/>
  <c r="Q58" i="72"/>
  <c r="Q62" i="72"/>
  <c r="Q75" i="72"/>
  <c r="L46" i="72"/>
  <c r="Q61" i="72"/>
  <c r="Q74" i="72"/>
  <c r="C5" i="72"/>
  <c r="C38" i="72" s="1"/>
  <c r="J26" i="72"/>
  <c r="J18" i="72"/>
  <c r="J24" i="72"/>
  <c r="C65" i="72"/>
  <c r="C24" i="72"/>
  <c r="C19" i="46"/>
  <c r="C36" i="46" s="1"/>
  <c r="E36" i="46" s="1"/>
  <c r="AB24" i="36"/>
  <c r="U24" i="36"/>
  <c r="AC23" i="36"/>
  <c r="W23" i="36"/>
  <c r="K8" i="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E394"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A17" i="51"/>
  <c r="B13" i="63" s="1"/>
  <c r="E348" i="3"/>
  <c r="E58" i="39"/>
  <c r="E53" i="40"/>
  <c r="F27" i="6"/>
  <c r="D29" i="46" s="1"/>
  <c r="D1" i="46" s="1"/>
  <c r="E5" i="6"/>
  <c r="O6" i="1"/>
  <c r="P6" i="1" s="1"/>
  <c r="C15" i="12" s="1"/>
  <c r="E537" i="3"/>
  <c r="E452" i="3"/>
  <c r="E292" i="3"/>
  <c r="E60" i="3"/>
  <c r="E178" i="3"/>
  <c r="E48" i="3"/>
  <c r="E455" i="3"/>
  <c r="C8" i="44"/>
  <c r="M9" i="44"/>
  <c r="C29" i="44"/>
  <c r="E232" i="3"/>
  <c r="E507" i="3"/>
  <c r="AT6" i="3"/>
  <c r="E429" i="3"/>
  <c r="E372" i="3"/>
  <c r="E154" i="3"/>
  <c r="E309" i="3"/>
  <c r="E74" i="3"/>
  <c r="E224" i="3"/>
  <c r="E66" i="3"/>
  <c r="E24" i="3"/>
  <c r="E508" i="3"/>
  <c r="E403" i="3"/>
  <c r="E217" i="3"/>
  <c r="E177" i="3"/>
  <c r="E307" i="3"/>
  <c r="E90" i="3"/>
  <c r="E210" i="3"/>
  <c r="E106" i="3"/>
  <c r="E169" i="3"/>
  <c r="E226" i="3"/>
  <c r="E163" i="3"/>
  <c r="E351" i="3"/>
  <c r="AL6" i="3"/>
  <c r="E368" i="3"/>
  <c r="E510" i="3"/>
  <c r="E504" i="3"/>
  <c r="E406" i="3"/>
  <c r="E244" i="3"/>
  <c r="E137" i="3"/>
  <c r="E301" i="3"/>
  <c r="E484" i="3"/>
  <c r="E356"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7" i="70"/>
  <c r="L48" i="70"/>
  <c r="M27" i="70"/>
  <c r="M8" i="69"/>
  <c r="F26" i="69"/>
  <c r="J36" i="69"/>
  <c r="J36" i="70"/>
  <c r="F7" i="69"/>
  <c r="F16" i="69"/>
  <c r="M22" i="69"/>
  <c r="M6" i="69"/>
  <c r="F8" i="70"/>
  <c r="F6" i="70"/>
  <c r="F43" i="69"/>
  <c r="F6" i="69"/>
  <c r="M28" i="70"/>
  <c r="M29" i="70"/>
  <c r="M26" i="70"/>
  <c r="L47" i="69"/>
  <c r="C16" i="15"/>
  <c r="F37" i="70"/>
  <c r="F9" i="70"/>
  <c r="M27" i="69"/>
  <c r="F38" i="69"/>
  <c r="AE9" i="1"/>
  <c r="M26" i="69"/>
  <c r="C18" i="44"/>
  <c r="M9" i="70"/>
  <c r="M8" i="70"/>
  <c r="J15" i="70"/>
  <c r="M22" i="70"/>
  <c r="F40" i="69"/>
  <c r="M28" i="69"/>
  <c r="F16" i="70"/>
  <c r="M9" i="69"/>
  <c r="F9" i="69"/>
  <c r="M24" i="69"/>
  <c r="F8" i="69"/>
  <c r="F43" i="70"/>
  <c r="F13" i="69"/>
  <c r="M6" i="70"/>
  <c r="M29" i="69"/>
  <c r="F36" i="70"/>
  <c r="F38" i="70"/>
  <c r="F42" i="70"/>
  <c r="F13" i="70"/>
  <c r="M23" i="70"/>
  <c r="F36" i="69"/>
  <c r="F42" i="69"/>
  <c r="J15" i="69"/>
  <c r="AE6" i="1"/>
  <c r="L48" i="69"/>
  <c r="F37" i="69"/>
  <c r="F26" i="70"/>
  <c r="F40" i="70"/>
  <c r="L47" i="70"/>
  <c r="M24" i="70"/>
  <c r="M23" i="69"/>
  <c r="C33" i="46" l="1"/>
  <c r="G33" i="46" s="1"/>
  <c r="I33" i="46" s="1"/>
  <c r="T16" i="46"/>
  <c r="V16" i="46" s="1"/>
  <c r="C34" i="46"/>
  <c r="E34" i="46" s="1"/>
  <c r="T9" i="46"/>
  <c r="V9" i="46" s="1"/>
  <c r="T12" i="46"/>
  <c r="V12" i="46" s="1"/>
  <c r="C35" i="46"/>
  <c r="E35" i="46" s="1"/>
  <c r="E282" i="3"/>
  <c r="E481" i="3"/>
  <c r="E326" i="3"/>
  <c r="E382" i="3"/>
  <c r="E240" i="3"/>
  <c r="E71" i="3"/>
  <c r="E488" i="3"/>
  <c r="E227" i="3"/>
  <c r="E516" i="3"/>
  <c r="E572" i="3"/>
  <c r="E522" i="3"/>
  <c r="E342" i="3"/>
  <c r="E364" i="3"/>
  <c r="E378" i="3"/>
  <c r="E118" i="3"/>
  <c r="E14" i="3"/>
  <c r="E339" i="3"/>
  <c r="E153" i="3"/>
  <c r="E432" i="3"/>
  <c r="E260" i="3"/>
  <c r="E436" i="3"/>
  <c r="E173" i="3"/>
  <c r="E493" i="3"/>
  <c r="E271" i="3"/>
  <c r="E76" i="3"/>
  <c r="E123" i="3"/>
  <c r="E121" i="3"/>
  <c r="E448" i="3"/>
  <c r="E243" i="3"/>
  <c r="E465" i="3"/>
  <c r="E116" i="3"/>
  <c r="L6" i="3"/>
  <c r="E275" i="3"/>
  <c r="E189" i="3"/>
  <c r="E438" i="3"/>
  <c r="J6" i="3"/>
  <c r="E75" i="3"/>
  <c r="E426" i="3"/>
  <c r="E343" i="3"/>
  <c r="E54" i="3"/>
  <c r="E253" i="3"/>
  <c r="E375" i="3"/>
  <c r="E250" i="3"/>
  <c r="E114" i="3"/>
  <c r="E93" i="3"/>
  <c r="E55" i="3"/>
  <c r="E570" i="3"/>
  <c r="E409" i="3"/>
  <c r="E187" i="3"/>
  <c r="E225" i="3"/>
  <c r="E199" i="3"/>
  <c r="E423" i="3"/>
  <c r="E435" i="3"/>
  <c r="E32" i="3"/>
  <c r="E547" i="3"/>
  <c r="E447" i="3"/>
  <c r="E33" i="3"/>
  <c r="Q6" i="3"/>
  <c r="E119" i="3"/>
  <c r="E500" i="3"/>
  <c r="E97" i="3"/>
  <c r="AE6" i="3"/>
  <c r="E533" i="3"/>
  <c r="E37" i="3"/>
  <c r="E303" i="3"/>
  <c r="E467" i="3"/>
  <c r="E67" i="3"/>
  <c r="E214" i="3"/>
  <c r="E486" i="3"/>
  <c r="E543" i="3"/>
  <c r="E264" i="3"/>
  <c r="E369" i="3"/>
  <c r="V6" i="3"/>
  <c r="E105" i="3"/>
  <c r="AG6" i="3"/>
  <c r="E505" i="3"/>
  <c r="E419" i="3"/>
  <c r="E302" i="3"/>
  <c r="E386" i="3"/>
  <c r="E287" i="3"/>
  <c r="E188" i="3"/>
  <c r="E306" i="3"/>
  <c r="E180"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M8" i="1"/>
  <c r="O8" i="1" s="1"/>
  <c r="P8" i="1" s="1"/>
  <c r="H16" i="1"/>
  <c r="AP16" i="1"/>
  <c r="F22" i="11" s="1"/>
  <c r="E413"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M29" i="44"/>
  <c r="F46" i="44"/>
  <c r="M27" i="15"/>
  <c r="L52" i="44"/>
  <c r="C16" i="69"/>
  <c r="F41" i="15"/>
  <c r="C16" i="70"/>
  <c r="G35" i="46" l="1"/>
  <c r="I35" i="46" s="1"/>
  <c r="AC6" i="3"/>
  <c r="B70" i="63"/>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AE8" i="1"/>
  <c r="F41" i="72"/>
  <c r="C17" i="72"/>
  <c r="F7" i="67"/>
  <c r="C17" i="70"/>
  <c r="AE7" i="1"/>
  <c r="C19" i="44"/>
  <c r="C17" i="15"/>
  <c r="C17" i="69"/>
  <c r="C27" i="46" l="1"/>
  <c r="C38" i="70"/>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0"/>
  <c r="E7" i="67"/>
  <c r="F41" i="69"/>
  <c r="B7" i="67"/>
  <c r="C14" i="69"/>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72"/>
  <c r="F35" i="72"/>
  <c r="C14" i="70"/>
  <c r="C14" i="15"/>
  <c r="C14" i="72"/>
  <c r="C16" i="44"/>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5" i="69"/>
  <c r="M21" i="69"/>
  <c r="F37" i="44"/>
  <c r="M23" i="44"/>
  <c r="F35" i="70"/>
  <c r="M21" i="70"/>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72" l="1"/>
  <c r="J13" i="72"/>
  <c r="J23" i="72" s="1"/>
  <c r="J16" i="72" s="1"/>
  <c r="J25" i="72" s="1"/>
  <c r="C55" i="72"/>
  <c r="C64" i="72" s="1"/>
  <c r="C57" i="72" s="1"/>
  <c r="C66" i="72" s="1"/>
  <c r="C67" i="72" s="1"/>
  <c r="Q71" i="72"/>
  <c r="C30" i="72"/>
  <c r="C39" i="72" s="1"/>
  <c r="Q70"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Q69" i="72" l="1"/>
  <c r="C40" i="72"/>
  <c r="Q66" i="72" s="1"/>
  <c r="Q76" i="72" s="1"/>
  <c r="J39" i="72"/>
  <c r="J40" i="72" s="1"/>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J42" i="72"/>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K19" i="9" s="1"/>
  <c r="B4" i="12"/>
  <c r="B5" i="12"/>
  <c r="B3" i="12"/>
  <c r="D7" i="66"/>
  <c r="C7" i="66"/>
  <c r="C21" i="9"/>
  <c r="D20" i="9"/>
  <c r="D21" i="9"/>
  <c r="C20"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<sst xmlns="http://schemas.openxmlformats.org/spreadsheetml/2006/main" count="8340" uniqueCount="3191">
  <si>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</si>
  <si>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</si>
  <si>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</si>
  <si>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</si>
  <si>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</si>
  <si>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</si>
  <si>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</si>
  <si>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</si>
  <si>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</si>
  <si>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</si>
  <si>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</si>
  <si>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</si>
  <si>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</si>
  <si>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</si>
  <si>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</si>
  <si>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</si>
  <si>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</si>
  <si>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</si>
  <si>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</si>
  <si>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</si>
  <si>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</si>
  <si>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</si>
  <si>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</si>
  <si>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</si>
  <si>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</si>
  <si>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</si>
  <si>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</si>
  <si>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</si>
  <si>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</si>
  <si>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</si>
  <si>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</si>
  <si>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</si>
  <si>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</si>
  <si>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</si>
  <si>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</si>
  <si>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</si>
  <si>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</si>
  <si>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</si>
  <si>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</si>
  <si>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</si>
  <si>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</si>
  <si>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</si>
  <si>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</si>
  <si>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</si>
  <si>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</si>
  <si>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</si>
  <si>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</si>
  <si>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</si>
  <si>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</si>
  <si>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</si>
  <si>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</si>
  <si>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</si>
  <si>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</si>
  <si>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</si>
  <si>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</si>
  <si>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</si>
  <si>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</si>
  <si>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</si>
  <si>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</si>
  <si>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</si>
  <si>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</si>
  <si>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</si>
  <si>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</si>
  <si>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</si>
  <si>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</si>
  <si>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</si>
  <si>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</si>
  <si>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</si>
  <si>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</si>
  <si>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</si>
  <si>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</si>
  <si>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</si>
  <si>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</si>
  <si>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</si>
  <si>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</si>
  <si>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</si>
  <si>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</si>
  <si>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</si>
  <si>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</si>
  <si>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</si>
  <si>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</si>
  <si>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</si>
  <si>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</si>
  <si>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</si>
  <si>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</si>
  <si>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</si>
  <si>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</si>
  <si>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</si>
  <si>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</si>
  <si>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</si>
  <si>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</si>
  <si>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</si>
  <si>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</si>
  <si>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</si>
  <si>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</si>
  <si>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</si>
  <si>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</si>
  <si>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</si>
  <si>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</si>
  <si>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</si>
  <si>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</si>
  <si>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</si>
  <si>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</si>
  <si>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</si>
  <si>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</si>
  <si>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</si>
  <si>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</si>
  <si>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</si>
  <si>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</si>
  <si>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</si>
  <si>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</si>
  <si>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</si>
  <si>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</si>
  <si>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</si>
  <si>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</si>
  <si>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</si>
  <si>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</si>
  <si>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</si>
  <si>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</si>
  <si>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</si>
  <si>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</si>
  <si>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</si>
  <si>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</si>
  <si>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</si>
  <si>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</si>
  <si>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</si>
  <si>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</si>
  <si>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</si>
  <si>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</si>
  <si>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</si>
  <si>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</si>
  <si>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</si>
  <si>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</si>
  <si>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</si>
  <si>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</si>
  <si>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</si>
  <si>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</si>
  <si>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</si>
  <si>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</si>
  <si>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</si>
  <si>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</si>
  <si>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</si>
  <si>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</si>
  <si>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</si>
  <si>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</si>
  <si>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</si>
  <si>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</si>
  <si>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</si>
  <si>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</si>
  <si>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</si>
  <si>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</si>
  <si>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</si>
  <si>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</si>
  <si>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</si>
  <si>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</si>
  <si>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</si>
  <si>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</si>
  <si>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</si>
  <si>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</si>
  <si>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</si>
  <si>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</si>
  <si>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</si>
  <si>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</si>
  <si>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</si>
  <si>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</si>
  <si>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</si>
  <si>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</si>
  <si>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</si>
  <si>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</si>
  <si>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</si>
  <si>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</si>
  <si>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</si>
  <si>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</si>
  <si>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</si>
  <si>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</si>
  <si>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</si>
  <si>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</si>
  <si>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</si>
  <si>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</si>
  <si>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</si>
  <si>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</si>
  <si>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</si>
  <si>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</si>
  <si>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</si>
  <si>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</si>
  <si>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</si>
  <si>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</si>
  <si>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</si>
  <si>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</si>
  <si>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</si>
  <si>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</si>
  <si>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</si>
  <si>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</si>
  <si>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</si>
  <si>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</si>
  <si>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</si>
  <si>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</si>
  <si>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</si>
  <si>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</si>
  <si>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</si>
  <si>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</si>
  <si>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</si>
  <si>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</si>
  <si>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</si>
  <si>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</si>
  <si>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</si>
  <si>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</si>
  <si>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</si>
  <si>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</si>
  <si>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</si>
  <si>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</si>
  <si>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</si>
  <si>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</si>
  <si>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</si>
  <si>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</si>
  <si>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</si>
  <si>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</si>
  <si>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</si>
  <si>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</si>
  <si>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</si>
  <si>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</si>
  <si>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</si>
  <si>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</si>
  <si>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</si>
  <si>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</si>
  <si>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</si>
  <si>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</si>
  <si>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</si>
  <si>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</si>
  <si>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</si>
  <si>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</si>
  <si>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</si>
  <si>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</si>
  <si>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</si>
  <si>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</si>
  <si>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</si>
  <si>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</si>
  <si>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</si>
  <si>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</si>
  <si>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</si>
  <si>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</si>
  <si>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</si>
  <si>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</si>
  <si>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</si>
  <si>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</si>
  <si>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</si>
  <si>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</si>
  <si>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</si>
  <si>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</si>
  <si>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</si>
  <si>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</si>
  <si>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</si>
  <si>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</si>
  <si>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</si>
  <si>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</si>
  <si>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</si>
  <si>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</si>
  <si>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</si>
  <si>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</si>
  <si>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</si>
  <si>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</si>
  <si>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</si>
  <si>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</si>
  <si>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</si>
  <si>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</si>
  <si>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</si>
  <si>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</si>
  <si>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</si>
  <si>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</si>
  <si>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</si>
  <si>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</si>
  <si>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</si>
  <si>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</si>
  <si>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</si>
  <si>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</si>
  <si>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</si>
  <si>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</si>
  <si>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</si>
  <si>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</si>
  <si>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</si>
  <si>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</si>
  <si>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</si>
  <si>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</si>
  <si>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</si>
  <si>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</si>
  <si>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</si>
  <si>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</si>
  <si>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</si>
  <si>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</si>
  <si>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</si>
  <si>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</si>
  <si>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</si>
  <si>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</si>
  <si>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</si>
  <si>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</si>
  <si>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</si>
  <si>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</si>
  <si>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</si>
  <si>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</si>
  <si>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</si>
  <si>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</si>
  <si>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</si>
  <si>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</si>
  <si>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</si>
  <si>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</si>
  <si>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</si>
  <si>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</si>
  <si>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</si>
  <si>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</si>
  <si>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</si>
  <si>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</si>
  <si>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</si>
  <si>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</si>
  <si>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</si>
  <si>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</si>
  <si>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</si>
  <si>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</si>
  <si>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</si>
  <si>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</si>
  <si>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</si>
  <si>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</si>
  <si>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</si>
  <si>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</si>
  <si>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</si>
  <si>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</si>
  <si>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</si>
  <si>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</si>
  <si>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</si>
  <si>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</si>
  <si>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</si>
  <si>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</si>
  <si>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</si>
  <si>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</si>
  <si>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</si>
  <si>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</si>
  <si>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</si>
  <si>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</si>
  <si>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</si>
  <si>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</si>
  <si>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</si>
  <si>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</si>
  <si>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</si>
  <si>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</si>
  <si>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</si>
  <si>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</si>
  <si>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</si>
  <si>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</si>
  <si>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</si>
  <si>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</si>
  <si>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</si>
  <si>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</si>
  <si>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</si>
  <si>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</si>
  <si>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</si>
  <si>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</si>
  <si>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</si>
  <si>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</si>
  <si>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</si>
  <si>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</si>
  <si>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</si>
  <si>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</si>
  <si>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</si>
  <si>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</si>
  <si>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</si>
  <si>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</si>
  <si>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</si>
  <si>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</si>
  <si>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</si>
  <si>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</si>
  <si>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</si>
  <si>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</si>
  <si>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</si>
  <si>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</si>
  <si>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</si>
  <si>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</si>
  <si>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</si>
  <si>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</si>
  <si>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</si>
  <si>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</si>
  <si>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</si>
  <si>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</si>
  <si>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</si>
  <si>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</si>
  <si>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</si>
  <si>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</si>
  <si>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</si>
  <si>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</si>
  <si>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</si>
  <si>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</si>
  <si>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</si>
  <si>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</si>
  <si>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</si>
  <si>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</si>
  <si>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</si>
  <si>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</si>
  <si>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</si>
  <si>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</si>
  <si>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</si>
  <si>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</si>
  <si>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</si>
  <si>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</si>
  <si>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</si>
  <si>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</si>
  <si>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</si>
  <si>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</si>
  <si>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</si>
  <si>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</si>
  <si>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</si>
  <si>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</si>
  <si>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</si>
  <si>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</si>
  <si>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</si>
  <si>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</si>
  <si>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</si>
  <si>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</si>
  <si>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</si>
  <si>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</si>
  <si>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</si>
  <si>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</si>
  <si>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</si>
  <si>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</si>
  <si>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</si>
  <si>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</si>
  <si>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</si>
  <si>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</si>
  <si>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</si>
  <si>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</si>
  <si>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</si>
  <si>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</si>
  <si>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</si>
  <si>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</si>
  <si>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</si>
  <si>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</si>
  <si>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</si>
  <si>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</si>
  <si>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</si>
  <si>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</si>
  <si>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</si>
  <si>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</si>
  <si>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</si>
  <si>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</si>
  <si>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</si>
  <si>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</si>
  <si>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</si>
  <si>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</si>
  <si>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</si>
  <si>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</si>
  <si>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</si>
  <si>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</si>
  <si>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</si>
  <si>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</si>
  <si>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</si>
  <si>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</si>
  <si>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</si>
  <si>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</si>
  <si>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</si>
  <si>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</si>
  <si>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</si>
  <si>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</si>
  <si>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</si>
  <si>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</si>
  <si>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</si>
  <si>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</si>
  <si>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</si>
  <si>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</si>
  <si>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</si>
  <si>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</si>
  <si>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</si>
  <si>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</si>
  <si>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</si>
  <si>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</si>
  <si>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</si>
  <si>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</si>
  <si>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</si>
  <si>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</si>
  <si>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</si>
  <si>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</si>
  <si>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</si>
  <si>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</si>
  <si>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</si>
  <si>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</si>
  <si>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</si>
  <si>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</si>
  <si>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</si>
  <si>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</si>
  <si>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</si>
  <si>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</si>
  <si>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</si>
  <si>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</si>
  <si>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</si>
  <si>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</si>
  <si>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</si>
  <si>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</si>
  <si>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</si>
  <si>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</si>
  <si>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</si>
  <si>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</si>
  <si>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</si>
  <si>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</si>
  <si>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</si>
  <si>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</si>
  <si>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</si>
  <si>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</si>
  <si>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</si>
  <si>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</si>
  <si>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</si>
  <si>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</si>
  <si>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</si>
  <si>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</si>
  <si>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</si>
  <si>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</si>
  <si>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</si>
  <si>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</si>
  <si>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</si>
  <si>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</si>
  <si>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</si>
  <si>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</si>
  <si>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</si>
  <si>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</si>
  <si>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</si>
  <si>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</si>
  <si>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</si>
  <si>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</si>
  <si>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</si>
  <si>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</si>
  <si>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</si>
  <si>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</si>
  <si>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</si>
  <si>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</si>
  <si>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</si>
  <si>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</si>
  <si>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</si>
  <si>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</si>
  <si>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</si>
  <si>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</si>
  <si>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</si>
  <si>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</si>
  <si>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</si>
  <si>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</si>
  <si>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</si>
  <si>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</si>
  <si>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</si>
  <si>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</si>
  <si>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</si>
  <si>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</si>
  <si>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</si>
  <si>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</si>
  <si>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</si>
  <si>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</si>
  <si>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</si>
  <si>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</si>
  <si>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</si>
  <si>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</si>
  <si>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</si>
  <si>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</si>
  <si>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</si>
  <si>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</si>
  <si>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</si>
  <si>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</si>
  <si>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</si>
  <si>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</si>
  <si>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</si>
  <si>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</si>
  <si>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</si>
  <si>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</si>
  <si>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</si>
  <si>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</si>
  <si>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</si>
  <si>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</si>
  <si>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</si>
  <si>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</si>
  <si>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</si>
  <si>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</si>
  <si>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</si>
  <si>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</si>
  <si>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</si>
  <si>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</si>
  <si>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</si>
  <si>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</si>
  <si>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</si>
  <si>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</si>
  <si>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</si>
  <si>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</si>
  <si>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</si>
  <si>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</si>
  <si>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</si>
  <si>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</si>
  <si>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</si>
  <si>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</si>
  <si>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</si>
  <si>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</si>
  <si>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</si>
  <si>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</si>
  <si>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</si>
  <si>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</si>
  <si>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</si>
  <si>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</si>
  <si>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</si>
  <si>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</si>
  <si>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</si>
  <si>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</si>
  <si>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</si>
  <si>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</si>
  <si>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</si>
  <si>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</si>
  <si>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</si>
  <si>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</si>
  <si>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</si>
  <si>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</si>
  <si>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</si>
  <si>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</si>
  <si>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</si>
  <si>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</si>
  <si>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</si>
  <si>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</si>
  <si>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</si>
  <si>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</si>
  <si>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</si>
  <si>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</si>
  <si>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</si>
  <si>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</si>
  <si>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</si>
  <si>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</si>
  <si>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</si>
  <si>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</si>
  <si>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</si>
  <si>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</si>
  <si>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</si>
  <si>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</si>
  <si>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</si>
  <si>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</si>
  <si>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</si>
  <si>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</si>
  <si>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</si>
  <si>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</si>
  <si>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</si>
  <si>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</si>
  <si>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</si>
  <si>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</si>
  <si>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</si>
  <si>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</si>
  <si>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</si>
  <si>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</si>
  <si>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</si>
  <si>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</si>
  <si>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</si>
  <si>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</si>
  <si>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</si>
  <si>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</si>
  <si>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</si>
  <si>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</si>
  <si>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</si>
  <si>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</si>
  <si>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</si>
  <si>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</si>
  <si>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</si>
  <si>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</si>
  <si>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</si>
  <si>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</si>
  <si>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</si>
  <si>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</si>
  <si>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</si>
  <si>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</si>
  <si>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</si>
  <si>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</si>
  <si>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</si>
  <si>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</si>
  <si>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</si>
  <si>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</si>
  <si>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</si>
  <si>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</si>
  <si>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</si>
  <si>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</si>
  <si>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</si>
  <si>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</si>
  <si>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</si>
  <si>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</si>
  <si>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</si>
  <si>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</si>
  <si>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</si>
  <si>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</si>
  <si>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</si>
  <si>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</si>
  <si>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</si>
  <si>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</si>
  <si>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</si>
  <si>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</si>
  <si>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</si>
  <si>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</si>
  <si>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</si>
  <si>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</si>
  <si>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</si>
  <si>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</si>
  <si>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</si>
  <si>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</si>
  <si>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</si>
  <si>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</si>
  <si>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</si>
  <si>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</si>
  <si>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</si>
  <si>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</si>
  <si>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</si>
  <si>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</si>
  <si>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</si>
  <si>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</si>
  <si>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</si>
  <si>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</si>
  <si>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</si>
  <si>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</si>
  <si>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</si>
  <si>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</si>
  <si>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</si>
  <si>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</si>
  <si>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</si>
  <si>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</si>
  <si>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</si>
  <si>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</si>
  <si>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</si>
  <si>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</si>
  <si>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</si>
  <si>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</si>
  <si>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</si>
  <si>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</si>
  <si>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</si>
  <si>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</si>
  <si>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</si>
  <si>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</si>
  <si>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</si>
  <si>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</si>
  <si>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</si>
  <si>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</si>
  <si>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</si>
  <si>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</si>
  <si>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</si>
  <si>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</si>
  <si>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</si>
  <si>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</si>
  <si>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</si>
  <si>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</si>
  <si>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</si>
  <si>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</si>
  <si>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</si>
  <si>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</si>
  <si>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</si>
  <si>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</si>
  <si>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</si>
  <si>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</si>
  <si>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</si>
  <si>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</si>
  <si>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</si>
  <si>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</si>
  <si>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</si>
  <si>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</si>
  <si>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</si>
  <si>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</si>
  <si>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</si>
  <si>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</si>
  <si>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</si>
  <si>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</si>
  <si>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</si>
  <si>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</si>
  <si>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</si>
  <si>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</si>
  <si>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</si>
  <si>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</si>
  <si>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</si>
  <si>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</si>
  <si>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</si>
  <si>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</si>
  <si>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</si>
  <si>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</si>
  <si>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</si>
  <si>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</si>
  <si>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</si>
  <si>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</si>
  <si>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</si>
  <si>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</si>
  <si>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</si>
  <si>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</si>
  <si>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</si>
  <si>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</si>
  <si>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</si>
  <si>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</si>
  <si>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</si>
  <si>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</si>
  <si>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</si>
  <si>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</si>
  <si>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</si>
  <si>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</si>
  <si>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</si>
  <si>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</si>
  <si>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</si>
  <si>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</si>
  <si>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</si>
  <si>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</si>
  <si>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</si>
  <si>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</si>
  <si>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</si>
  <si>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</si>
  <si>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</si>
  <si>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</si>
  <si>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</si>
  <si>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</si>
  <si>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</si>
  <si>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</si>
  <si>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</si>
  <si>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</si>
  <si>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</si>
  <si>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</si>
  <si>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</si>
  <si>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</si>
  <si>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</si>
  <si>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</si>
  <si>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</si>
  <si>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</si>
  <si>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</si>
  <si>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</si>
  <si>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</si>
  <si>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</si>
  <si>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</si>
  <si>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</si>
  <si>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</si>
  <si>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</si>
  <si>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</si>
  <si>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</si>
  <si>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</si>
  <si>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</si>
  <si>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</si>
  <si>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</si>
  <si>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</si>
  <si>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</si>
  <si>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</si>
  <si>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</si>
  <si>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</si>
  <si>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</si>
  <si>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</si>
  <si>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</si>
  <si>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</si>
  <si>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</si>
  <si>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</si>
  <si>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</si>
  <si>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</si>
  <si>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</si>
  <si>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</si>
  <si>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</si>
  <si>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</si>
  <si>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</si>
  <si>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</si>
  <si>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</si>
  <si>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</si>
  <si>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</si>
  <si>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</si>
  <si>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</si>
  <si>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</si>
  <si>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</si>
  <si>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</si>
  <si>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</si>
  <si>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</si>
  <si>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</si>
  <si>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</si>
  <si>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</si>
  <si>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</si>
  <si>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</si>
  <si>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</si>
  <si>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</si>
  <si>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</si>
  <si>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</si>
  <si>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</si>
  <si>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</si>
  <si>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</si>
  <si>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</si>
  <si>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</si>
  <si>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</si>
  <si>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</si>
  <si>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</si>
  <si>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</si>
  <si>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</si>
  <si>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</si>
  <si>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</si>
  <si>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</si>
  <si>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</si>
  <si>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</si>
  <si>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</si>
  <si>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</si>
  <si>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</si>
  <si>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</si>
  <si>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</si>
  <si>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</si>
  <si>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</si>
  <si>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</si>
  <si>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</si>
  <si>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</si>
  <si>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</si>
  <si>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</si>
  <si>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</si>
  <si>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</si>
  <si>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</si>
  <si>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</si>
  <si>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</si>
  <si>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</si>
  <si>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</si>
  <si>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</si>
  <si>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</si>
  <si>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</si>
  <si>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</si>
  <si>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</si>
  <si>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</si>
  <si>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</si>
  <si>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</si>
  <si>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</si>
  <si>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</si>
  <si>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</si>
  <si>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</si>
  <si>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</si>
  <si>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</si>
  <si>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</si>
  <si>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</si>
  <si>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</si>
  <si>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</si>
  <si>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</si>
  <si>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</si>
  <si>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</si>
  <si>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</si>
  <si>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</si>
  <si>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</si>
  <si>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</si>
  <si>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</si>
  <si>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</si>
  <si>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</si>
  <si>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</si>
  <si>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</si>
  <si>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</si>
  <si>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</si>
  <si>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</si>
  <si>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</si>
  <si>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</si>
  <si>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</si>
  <si>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</si>
  <si>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</si>
  <si>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</si>
  <si>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</si>
  <si>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</si>
  <si>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</si>
  <si>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</si>
  <si>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</si>
  <si>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</si>
  <si>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</si>
  <si>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</si>
  <si>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</si>
  <si>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</si>
  <si>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</si>
  <si>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</si>
  <si>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</si>
  <si>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</si>
  <si>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</si>
  <si>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</si>
  <si>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</si>
  <si>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</si>
  <si>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</si>
  <si>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</si>
  <si>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</si>
  <si>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</si>
  <si>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</si>
  <si>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</si>
  <si>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</si>
  <si>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</si>
  <si>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</si>
  <si>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</si>
  <si>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</si>
  <si>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</si>
  <si>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</si>
  <si>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</si>
  <si>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</si>
  <si>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</si>
  <si>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</si>
  <si>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</si>
  <si>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</si>
  <si>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</si>
  <si>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</si>
  <si>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</si>
  <si>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</si>
  <si>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</si>
  <si>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</si>
  <si>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</si>
  <si>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</si>
  <si>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</si>
  <si>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</si>
  <si>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</si>
  <si>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</si>
  <si>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</si>
  <si>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</si>
  <si>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</si>
  <si>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</si>
  <si>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</si>
  <si>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</si>
  <si>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</si>
  <si>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</si>
  <si>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</si>
  <si>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</si>
  <si>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</si>
  <si>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</si>
  <si>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</si>
  <si>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</si>
  <si>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</si>
  <si>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</si>
  <si>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</si>
  <si>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</si>
  <si>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</si>
  <si>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</si>
  <si>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</si>
  <si>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</si>
  <si>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</si>
  <si>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</si>
  <si>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</si>
  <si>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</si>
  <si>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</si>
  <si>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</si>
  <si>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</si>
  <si>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</si>
  <si>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</si>
  <si>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</si>
  <si>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</si>
  <si>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</si>
  <si>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</si>
  <si>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</si>
  <si>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</si>
  <si>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</si>
  <si>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</si>
  <si>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</si>
  <si>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</si>
  <si>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</si>
  <si>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</si>
  <si>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</si>
  <si>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</si>
  <si>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</si>
  <si>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</si>
  <si>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</si>
  <si>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</si>
  <si>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</si>
  <si>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</si>
  <si>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</si>
  <si>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</si>
  <si>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</si>
  <si>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</si>
  <si>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</si>
  <si>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</si>
  <si>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</si>
  <si>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</si>
  <si>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</si>
  <si>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</si>
  <si>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</si>
  <si>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</si>
  <si>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</si>
  <si>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</si>
  <si>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</si>
  <si>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</si>
  <si>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</si>
  <si>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</si>
  <si>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</si>
  <si>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</si>
  <si>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</si>
  <si>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</si>
  <si>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</si>
  <si>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</si>
  <si>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</si>
  <si>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</si>
  <si>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</si>
  <si>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</si>
  <si>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</si>
  <si>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</si>
  <si>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</si>
  <si>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</si>
  <si>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</si>
  <si>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</si>
  <si>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</si>
  <si>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</si>
  <si>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</si>
  <si>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</si>
  <si>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</si>
  <si>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</si>
  <si>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</si>
  <si>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</si>
  <si>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</si>
  <si>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</si>
  <si>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</si>
  <si>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</si>
  <si>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</si>
  <si>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</si>
  <si>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</si>
  <si>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</si>
  <si>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</si>
  <si>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</si>
  <si>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</si>
  <si>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</si>
  <si>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</si>
  <si>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</si>
  <si>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</si>
  <si>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</si>
  <si>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</si>
  <si>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</si>
  <si>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</si>
  <si>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</si>
  <si>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</si>
  <si>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</si>
  <si>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</si>
  <si>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</si>
  <si>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</si>
  <si>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</si>
  <si>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</si>
  <si>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</si>
  <si>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</si>
  <si>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</si>
  <si>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</si>
  <si>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</si>
  <si>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</si>
  <si>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</si>
  <si>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</si>
  <si>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</si>
  <si>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</si>
  <si>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</si>
  <si>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</si>
  <si>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</si>
  <si>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</si>
  <si>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</si>
  <si>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</si>
  <si>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</si>
  <si>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</si>
  <si>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</si>
  <si>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</si>
  <si>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</si>
  <si>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</si>
  <si>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</si>
  <si>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</si>
  <si>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</si>
  <si>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</si>
  <si>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</si>
  <si>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</si>
  <si>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</si>
  <si>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</si>
  <si>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</si>
  <si>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</si>
  <si>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</si>
  <si>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</si>
  <si>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</si>
  <si>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</si>
  <si>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</si>
  <si>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</si>
  <si>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</si>
  <si>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</si>
  <si>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</si>
  <si>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</si>
  <si>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</si>
  <si>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</si>
  <si>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</si>
  <si>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</si>
  <si>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</si>
  <si>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</si>
  <si>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</si>
  <si>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</si>
  <si>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</si>
  <si>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</si>
  <si>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</si>
  <si>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</si>
  <si>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</si>
  <si>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</si>
  <si>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</si>
  <si>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</si>
  <si>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</si>
  <si>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</si>
  <si>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</si>
  <si>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</si>
  <si>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</si>
  <si>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</si>
  <si>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</si>
  <si>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</si>
  <si>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</si>
  <si>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</si>
  <si>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</si>
  <si>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</si>
  <si>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</si>
  <si>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</si>
  <si>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</si>
  <si>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</si>
  <si>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</si>
  <si>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</si>
  <si>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</si>
  <si>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</si>
  <si>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</si>
  <si>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</si>
  <si>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</si>
  <si>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</si>
  <si>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</si>
  <si>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</si>
  <si>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</si>
  <si>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</si>
  <si>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</si>
  <si>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</si>
  <si>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</si>
  <si>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</si>
  <si>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</si>
  <si>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</si>
  <si>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</si>
  <si>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</si>
  <si>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</si>
  <si>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</si>
  <si>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</si>
  <si>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</si>
  <si>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</si>
  <si>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</si>
  <si>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</si>
  <si>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</si>
  <si>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</si>
  <si>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</si>
  <si>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</si>
  <si>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</si>
  <si>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</si>
  <si>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</si>
  <si>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</si>
  <si>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</si>
  <si>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</si>
  <si>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</si>
  <si>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</si>
  <si>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</si>
  <si>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</si>
  <si>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</si>
  <si>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</si>
  <si>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</si>
  <si>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</si>
  <si>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</si>
  <si>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</si>
  <si>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</si>
  <si>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</si>
  <si>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</si>
  <si>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</si>
  <si>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</si>
  <si>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</si>
  <si>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</si>
  <si>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</si>
  <si>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</si>
  <si>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</si>
  <si>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</si>
  <si>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</si>
  <si>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</si>
  <si>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</si>
  <si>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</si>
  <si>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</si>
  <si>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</si>
  <si>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</si>
  <si>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</si>
  <si>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</si>
  <si>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</si>
  <si>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</si>
  <si>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</si>
  <si>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</si>
  <si>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</si>
  <si>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</si>
  <si>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</si>
  <si>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</si>
  <si>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</si>
  <si>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</si>
  <si>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</si>
  <si>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</si>
  <si>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</si>
  <si>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</si>
  <si>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</si>
  <si>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</si>
  <si>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</si>
  <si>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</si>
  <si>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</si>
  <si>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</si>
  <si>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</si>
  <si>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</si>
  <si>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</si>
  <si>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</si>
  <si>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</si>
  <si>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</si>
  <si>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</si>
  <si>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</si>
  <si>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</si>
  <si>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</si>
  <si>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</si>
  <si>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</si>
  <si>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</si>
  <si>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</si>
  <si>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</si>
  <si>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</si>
  <si>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</si>
  <si>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</si>
  <si>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</si>
  <si>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</si>
  <si>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</si>
  <si>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</si>
  <si>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</si>
  <si>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</si>
  <si>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</si>
  <si>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</si>
  <si>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</si>
  <si>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</si>
  <si>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</si>
  <si>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</si>
  <si>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</si>
  <si>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</si>
  <si>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</si>
  <si>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</si>
  <si>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</si>
  <si>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</si>
  <si>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</si>
  <si>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</si>
  <si>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</si>
  <si>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</si>
  <si>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</si>
  <si>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</si>
  <si>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</si>
  <si>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</si>
  <si>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</si>
  <si>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</si>
  <si>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</si>
  <si>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</si>
  <si>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</si>
  <si>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</si>
  <si>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</si>
  <si>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</si>
  <si>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</si>
  <si>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</si>
  <si>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</si>
  <si>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</si>
  <si>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</si>
  <si>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</si>
  <si>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</si>
  <si>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</si>
  <si>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</si>
  <si>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</si>
  <si>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</si>
  <si>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</si>
  <si>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</si>
  <si>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</si>
  <si>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</si>
  <si>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</si>
  <si>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</si>
  <si>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</si>
  <si>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</si>
  <si>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</si>
  <si>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</si>
  <si>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</si>
  <si>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</si>
  <si>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</si>
  <si>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</si>
  <si>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</si>
  <si>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</si>
  <si>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</si>
  <si>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</si>
  <si>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</si>
  <si>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</si>
  <si>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</si>
  <si>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</si>
  <si>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</si>
  <si>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</si>
  <si>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</si>
  <si>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</si>
  <si>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</si>
  <si>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</si>
  <si>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</si>
  <si>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</si>
  <si>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</si>
  <si>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</si>
  <si>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</si>
  <si>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</si>
  <si>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</si>
  <si>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</si>
  <si>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</si>
  <si>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</si>
  <si>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</si>
  <si>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</si>
  <si>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</si>
  <si>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</si>
  <si>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</si>
  <si>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</si>
  <si>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</si>
  <si>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</si>
  <si>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</si>
  <si>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</si>
  <si>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</si>
  <si>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</si>
  <si>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</si>
  <si>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</si>
  <si>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</si>
  <si>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</si>
  <si>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</si>
  <si>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</si>
  <si>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</si>
  <si>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</si>
  <si>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</si>
  <si>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</si>
  <si>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</si>
  <si>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</si>
  <si>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</si>
  <si>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</si>
  <si>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</si>
  <si>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</si>
  <si>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</si>
  <si>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</si>
  <si>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</si>
  <si>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</si>
  <si>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</si>
  <si>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</si>
  <si>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</si>
  <si>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</si>
  <si>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</si>
  <si>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</si>
  <si>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</si>
  <si>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</si>
  <si>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</si>
  <si>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</si>
  <si>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</si>
  <si>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</si>
  <si>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</si>
  <si>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</si>
  <si>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</si>
  <si>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</si>
  <si>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</si>
  <si>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</si>
  <si>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</si>
  <si>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</si>
  <si>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</si>
  <si>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</si>
  <si>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</si>
  <si>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</si>
  <si>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</si>
  <si>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</si>
  <si>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</si>
  <si>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</si>
  <si>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</si>
  <si>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</si>
  <si>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</si>
  <si>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</si>
  <si>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</si>
  <si>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</si>
  <si>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</si>
  <si>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</si>
  <si>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</si>
  <si>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</si>
  <si>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</si>
  <si>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</si>
  <si>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</si>
  <si>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</si>
  <si>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</si>
  <si>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</si>
  <si>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</si>
  <si>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</si>
  <si>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</si>
  <si>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</si>
  <si>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</si>
  <si>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</si>
  <si>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</si>
  <si>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</si>
  <si>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</si>
  <si>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</si>
  <si>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</si>
  <si>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</si>
  <si>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</si>
  <si>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</si>
  <si>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</si>
  <si>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</si>
  <si>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</si>
  <si>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</si>
  <si>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</si>
  <si>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</si>
  <si>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</si>
  <si>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</si>
  <si>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</si>
  <si>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</si>
  <si>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</si>
  <si>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</si>
  <si>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</si>
  <si>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</si>
  <si>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</si>
  <si>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</si>
  <si>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</si>
  <si>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</si>
  <si>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</si>
  <si>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</si>
  <si>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</si>
  <si>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</si>
  <si>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</si>
  <si>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</si>
  <si>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</si>
  <si>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</si>
  <si>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</si>
  <si>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</si>
  <si>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</si>
  <si>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</si>
  <si>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</si>
  <si>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</si>
  <si>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</si>
  <si>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</si>
  <si>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</si>
  <si>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</si>
  <si>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</si>
  <si>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</si>
  <si>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</si>
  <si>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</si>
  <si>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</si>
  <si>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</si>
  <si>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</si>
  <si>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</si>
  <si>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</si>
  <si>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</si>
  <si>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</si>
  <si>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</si>
  <si>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</si>
  <si>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</si>
  <si>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</si>
  <si>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</si>
  <si>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</si>
  <si>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</si>
  <si>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</si>
  <si>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</si>
  <si>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</si>
  <si>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</si>
  <si>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</si>
  <si>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</si>
  <si>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</si>
  <si>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</si>
  <si>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</si>
  <si>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</si>
  <si>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</si>
  <si>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</si>
  <si>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</si>
  <si>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</si>
  <si>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</si>
  <si>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</si>
  <si>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</si>
  <si>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</si>
  <si>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</si>
  <si>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</si>
  <si>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</si>
  <si>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</si>
  <si>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</si>
  <si>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</si>
  <si>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</si>
  <si>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</si>
  <si>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</si>
  <si>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</si>
  <si>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</si>
  <si>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</si>
  <si>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</si>
  <si>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</si>
  <si>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</si>
  <si>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</si>
  <si>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</si>
  <si>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</si>
  <si>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</si>
  <si>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</si>
  <si>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</si>
  <si>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</si>
  <si>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</si>
  <si>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</si>
  <si>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</si>
  <si>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</si>
  <si>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</si>
  <si>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</si>
  <si>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</si>
  <si>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</si>
  <si>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</si>
  <si>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</si>
  <si>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</si>
  <si>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</si>
  <si>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</si>
  <si>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</si>
  <si>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</si>
  <si>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</si>
  <si>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</si>
  <si>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</si>
  <si>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</si>
  <si>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</si>
  <si>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</si>
  <si>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</si>
  <si>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</si>
  <si>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</si>
  <si>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</si>
  <si>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</si>
  <si>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</si>
  <si>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</si>
  <si>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</si>
  <si>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</si>
  <si>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</si>
  <si>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</si>
  <si>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</si>
  <si>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</si>
  <si>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</si>
  <si>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</si>
  <si>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</si>
  <si>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</si>
  <si>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</si>
  <si>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</si>
  <si>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</si>
  <si>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</si>
  <si>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</si>
  <si>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</si>
  <si>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</si>
  <si>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</si>
  <si>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</si>
  <si>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</si>
  <si>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</si>
  <si>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</si>
  <si>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</si>
  <si>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</si>
  <si>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</si>
  <si>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</si>
  <si>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</si>
  <si>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</si>
  <si>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</si>
  <si>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</si>
  <si>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</si>
  <si>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</si>
  <si>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</si>
  <si>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</si>
  <si>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</si>
  <si>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</si>
  <si>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</si>
  <si>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</si>
  <si>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</si>
  <si>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</si>
  <si>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</si>
  <si>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</si>
  <si>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</si>
  <si>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</si>
  <si>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</si>
  <si>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</si>
  <si>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</si>
  <si>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</si>
  <si>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</si>
  <si>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</si>
  <si>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</si>
  <si>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</si>
  <si>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</si>
  <si>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</si>
  <si>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</si>
  <si>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</si>
  <si>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</si>
  <si>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</si>
  <si>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</si>
  <si>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</si>
  <si>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</si>
  <si>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</si>
  <si>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</si>
  <si>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</si>
  <si>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</si>
  <si>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</si>
  <si>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</si>
  <si>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</si>
  <si>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</si>
  <si>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</si>
  <si>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</si>
  <si>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</si>
  <si>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</si>
  <si>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</si>
  <si>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</si>
  <si>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</si>
  <si>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</si>
  <si>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</si>
  <si>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</si>
  <si>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</si>
  <si>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</si>
  <si>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</si>
  <si>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</si>
  <si>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</si>
  <si>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</si>
  <si>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</si>
  <si>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</si>
  <si>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</si>
  <si>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</si>
  <si>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</si>
  <si>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</si>
  <si>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</si>
  <si>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</si>
  <si>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</si>
  <si>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</si>
  <si>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</si>
  <si>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</si>
  <si>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</si>
  <si>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</si>
  <si>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</si>
  <si>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</si>
  <si>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</si>
  <si>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</si>
  <si>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</si>
  <si>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</si>
  <si>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</si>
  <si>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</si>
  <si>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</si>
  <si>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</si>
  <si>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</si>
  <si>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</si>
  <si>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</si>
  <si>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</si>
  <si>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</si>
  <si>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</si>
  <si>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</si>
  <si>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</si>
  <si>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</si>
  <si>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</si>
  <si>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</si>
  <si>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</si>
  <si>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</si>
  <si>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</si>
  <si>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</si>
  <si>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</si>
  <si>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</si>
  <si>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</si>
  <si>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</si>
  <si>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</si>
  <si>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</si>
  <si>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</si>
  <si>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</si>
  <si>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</si>
  <si>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</si>
  <si>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</si>
  <si>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</si>
  <si>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</si>
  <si>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</si>
  <si>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</si>
  <si>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</si>
  <si>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</si>
  <si>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</si>
  <si>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</si>
  <si>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</si>
  <si>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</si>
  <si>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</si>
  <si>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</si>
  <si>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</si>
  <si>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</si>
  <si>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</si>
  <si>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</si>
  <si>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</si>
  <si>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</si>
  <si>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</si>
  <si>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</si>
  <si>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</si>
  <si>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</si>
  <si>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</si>
  <si>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</si>
  <si>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</si>
  <si>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</si>
  <si>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</si>
  <si>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</si>
  <si>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</si>
  <si>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</si>
  <si>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</si>
  <si>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</si>
  <si>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</si>
  <si>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</si>
  <si>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</si>
  <si>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</si>
  <si>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</si>
  <si>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</si>
  <si>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</si>
  <si>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</si>
  <si>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</si>
  <si>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</si>
  <si>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</si>
  <si>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</si>
  <si>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</si>
  <si>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</si>
  <si>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</si>
  <si>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</si>
  <si>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</si>
  <si>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</si>
  <si>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</si>
  <si>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</si>
  <si>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</si>
  <si>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</si>
  <si>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</si>
  <si>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</si>
  <si>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</si>
  <si>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</si>
  <si>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</si>
  <si>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</si>
  <si>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</si>
  <si>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</si>
  <si>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</si>
  <si>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</si>
  <si>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</si>
  <si>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</si>
  <si>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</si>
  <si>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</si>
  <si>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</si>
  <si>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</si>
  <si>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</si>
  <si>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</si>
  <si>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</si>
  <si>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</si>
  <si>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</si>
  <si>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</si>
  <si>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</si>
  <si>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</si>
  <si>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</si>
  <si>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</si>
  <si>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</si>
  <si>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</si>
  <si>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</si>
  <si>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</si>
  <si>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</si>
  <si>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</si>
  <si>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</si>
  <si>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</si>
  <si>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</si>
  <si>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</si>
  <si>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</si>
  <si>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</si>
  <si>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</si>
  <si>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</si>
  <si>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</si>
  <si>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</si>
  <si>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</si>
  <si>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</si>
  <si>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</si>
  <si>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</si>
  <si>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</si>
  <si>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</si>
  <si>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</si>
  <si>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</si>
  <si>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</si>
  <si>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</si>
  <si>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</si>
  <si>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</si>
  <si>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</si>
  <si>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</si>
  <si>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</si>
  <si>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</si>
  <si>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</si>
  <si>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</si>
  <si>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</si>
  <si>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</si>
  <si>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</si>
  <si>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</si>
  <si>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</si>
  <si>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</si>
  <si>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</si>
  <si>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</si>
  <si>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</si>
  <si>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</si>
  <si>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</si>
  <si>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</si>
  <si>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</si>
  <si>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</si>
  <si>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</si>
  <si>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</si>
  <si>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</si>
  <si>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</si>
  <si>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</si>
  <si>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</si>
  <si>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</si>
  <si>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</si>
  <si>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</si>
  <si>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</si>
  <si>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</si>
  <si>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</si>
  <si>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</si>
  <si>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</si>
  <si>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</si>
  <si>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</si>
  <si>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</si>
  <si>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</si>
  <si>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</si>
  <si>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</si>
  <si>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</si>
  <si>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</si>
  <si>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</si>
  <si>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</si>
  <si>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</si>
  <si>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</si>
  <si>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</si>
  <si>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</si>
  <si>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</si>
  <si>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</si>
  <si>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</si>
  <si>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</si>
  <si>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</si>
  <si>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</si>
  <si>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</si>
  <si>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</si>
  <si>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</si>
  <si>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</si>
  <si>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</si>
  <si>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</si>
  <si>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</si>
  <si>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</si>
  <si>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</si>
  <si>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</si>
  <si>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</si>
  <si>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</si>
  <si>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</si>
  <si>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</si>
  <si>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</si>
  <si>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</si>
  <si>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</si>
  <si>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</si>
  <si>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</si>
  <si>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</si>
  <si>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</si>
  <si>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</si>
  <si>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</si>
  <si>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</si>
  <si>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</si>
  <si>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</si>
  <si>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</si>
  <si>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</si>
  <si>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</si>
  <si>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</si>
  <si>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</si>
  <si>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</si>
  <si>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</si>
  <si>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</si>
  <si>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</si>
  <si>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</si>
  <si>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</si>
  <si>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</si>
  <si>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</si>
  <si>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</si>
  <si>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</si>
  <si>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</si>
  <si>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</si>
  <si>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</si>
  <si>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</si>
  <si>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</si>
  <si>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</si>
  <si>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</si>
  <si>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</si>
  <si>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</si>
  <si>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</si>
  <si>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</si>
  <si>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</si>
  <si>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</si>
  <si>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</si>
  <si>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</si>
  <si>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</si>
  <si>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</si>
  <si>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</si>
  <si>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</si>
  <si>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</si>
  <si>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</si>
  <si>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</si>
  <si>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</si>
  <si>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</si>
  <si>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</si>
  <si>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</si>
  <si>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</si>
  <si>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</si>
  <si>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</si>
  <si>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</si>
  <si>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</si>
  <si>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</si>
  <si>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</si>
  <si>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</si>
  <si>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</si>
  <si>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</si>
  <si>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</si>
  <si>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</si>
  <si>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</si>
  <si>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</si>
  <si>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</si>
  <si>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</si>
  <si>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</si>
  <si>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</si>
  <si>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</si>
  <si>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</si>
  <si>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</si>
  <si>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</si>
  <si>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</si>
  <si>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</si>
  <si>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</si>
  <si>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</si>
  <si>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</si>
  <si>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</si>
  <si>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</si>
  <si>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</si>
  <si>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</si>
  <si>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</si>
  <si>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</si>
  <si>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</si>
  <si>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</si>
  <si>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</si>
  <si>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</si>
  <si>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</si>
  <si>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</si>
  <si>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</si>
  <si>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</si>
  <si>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</si>
  <si>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</si>
  <si>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</si>
  <si>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</si>
  <si>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</si>
  <si>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</si>
  <si>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</si>
  <si>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</si>
  <si>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</si>
  <si>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</si>
  <si>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</si>
  <si>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</si>
  <si>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</si>
  <si>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</si>
  <si>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</si>
  <si>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</si>
  <si>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</si>
  <si>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</si>
  <si>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</si>
  <si>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</si>
  <si>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</si>
  <si>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</si>
  <si>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</si>
  <si>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</si>
  <si>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</si>
  <si>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</si>
  <si>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</si>
  <si>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</si>
  <si>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</si>
  <si>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</si>
  <si>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</si>
  <si>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</si>
  <si>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</si>
  <si>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</si>
  <si>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</si>
  <si>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</si>
  <si>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</si>
  <si>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</si>
  <si>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</si>
  <si>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</si>
  <si>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</si>
  <si>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</si>
  <si>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</si>
  <si>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</si>
  <si>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</si>
  <si>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</si>
  <si>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</si>
  <si>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</si>
  <si>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</si>
  <si>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</si>
  <si>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</si>
  <si>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</si>
  <si>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</si>
  <si>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</si>
  <si>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</si>
  <si>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</si>
  <si>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</si>
  <si>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</si>
  <si>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</si>
  <si>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</si>
  <si>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</si>
  <si>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</si>
  <si>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</si>
  <si>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</si>
  <si>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</si>
  <si>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</si>
  <si>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</si>
  <si>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</si>
  <si>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</si>
  <si>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</si>
  <si>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</si>
  <si>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</si>
  <si>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</si>
  <si>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</si>
  <si>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</si>
  <si>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</si>
  <si>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</si>
  <si>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</si>
  <si>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</si>
  <si>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</si>
  <si>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</si>
  <si>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</si>
  <si>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</si>
  <si>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</si>
  <si>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</si>
  <si>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</si>
  <si>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</si>
  <si>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</si>
  <si>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</si>
  <si>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</si>
  <si>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</si>
  <si>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</si>
  <si>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</si>
  <si>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</si>
  <si>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</si>
  <si>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</si>
  <si>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</si>
  <si>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</si>
  <si>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</si>
  <si>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</si>
  <si>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</si>
  <si>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</si>
  <si>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</si>
  <si>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</si>
  <si>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</si>
  <si>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</si>
  <si>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</si>
  <si>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</si>
  <si>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</si>
  <si>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</si>
  <si>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</si>
  <si>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</si>
  <si>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</si>
  <si>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</si>
  <si>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</si>
  <si>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</si>
  <si>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</si>
  <si>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</si>
  <si>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</si>
  <si>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</si>
  <si>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</si>
  <si>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</si>
  <si>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</si>
  <si>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</si>
  <si>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</si>
  <si>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</si>
  <si>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</si>
  <si>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</si>
  <si>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</si>
  <si>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</si>
  <si>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</si>
  <si>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</si>
  <si>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</si>
  <si>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</si>
  <si>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</si>
  <si>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</si>
  <si>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</si>
  <si>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</si>
  <si>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</si>
  <si>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</si>
  <si>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</si>
  <si>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</si>
  <si>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</si>
  <si>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</si>
  <si>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</si>
  <si>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</si>
  <si>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</si>
  <si>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</si>
  <si>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</si>
  <si>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</si>
  <si>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</si>
  <si>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</si>
  <si>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</si>
  <si>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</si>
  <si>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</si>
  <si>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</si>
  <si>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</si>
  <si>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</si>
  <si>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</si>
  <si>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</si>
  <si>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</si>
  <si>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</si>
  <si>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</si>
  <si>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</si>
  <si>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</si>
  <si>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</si>
  <si>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</si>
  <si>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</si>
  <si>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</si>
  <si>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</si>
  <si>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</si>
  <si>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</si>
  <si>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</si>
  <si>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</si>
  <si>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</si>
  <si>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</si>
  <si>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</si>
  <si>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</si>
  <si>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</si>
  <si>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</si>
  <si>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</si>
  <si>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</si>
  <si>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</si>
  <si>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</si>
  <si>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</si>
  <si>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</si>
  <si>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</si>
  <si>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</si>
  <si>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</si>
  <si>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</si>
  <si>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</si>
  <si>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</si>
  <si>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</si>
  <si>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</si>
  <si>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</si>
  <si>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</si>
  <si>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</si>
  <si>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</si>
  <si>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</si>
  <si>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</si>
  <si>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</si>
  <si>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</si>
  <si>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</si>
  <si>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</si>
  <si>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</si>
  <si>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</si>
  <si>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</si>
  <si>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</si>
  <si>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</si>
  <si>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</si>
  <si>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</si>
  <si>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</si>
  <si>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</si>
  <si>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</si>
  <si>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</si>
  <si>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</si>
  <si>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</si>
  <si>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</si>
  <si>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</si>
  <si>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</si>
  <si>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</si>
  <si>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</si>
  <si>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</si>
  <si>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</si>
  <si>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</si>
  <si>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</si>
  <si>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</si>
  <si>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</si>
  <si>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</si>
  <si>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</si>
  <si>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</si>
  <si>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</si>
  <si>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</si>
  <si>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</si>
  <si>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</si>
  <si>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</si>
  <si>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</si>
  <si>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</si>
  <si>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</si>
  <si>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</si>
  <si>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</si>
  <si>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</si>
  <si>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</si>
  <si>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</si>
  <si>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</si>
  <si>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</si>
  <si>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</si>
  <si>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</si>
  <si>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</si>
  <si>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</si>
  <si>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</si>
  <si>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</si>
  <si>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</si>
  <si>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</si>
  <si>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</si>
  <si>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</si>
  <si>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</si>
  <si>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</si>
  <si>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</si>
  <si>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</si>
  <si>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</si>
  <si>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</si>
  <si>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</si>
  <si>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</si>
  <si>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</si>
  <si>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</si>
  <si>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</si>
  <si>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</si>
  <si>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</si>
  <si>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</si>
  <si>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</si>
  <si>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</si>
  <si>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</si>
  <si>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</si>
  <si>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</si>
  <si>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</si>
  <si>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</si>
  <si>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</si>
  <si>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</si>
  <si>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</si>
  <si>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</si>
  <si>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</si>
  <si>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</si>
  <si>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</si>
  <si>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</si>
  <si>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</si>
  <si>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</si>
  <si>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</si>
  <si>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</si>
  <si>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</si>
  <si>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</si>
  <si>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</si>
  <si>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</si>
  <si>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</si>
  <si>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</si>
  <si>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</si>
  <si>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</si>
  <si>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</si>
  <si>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</si>
  <si>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</si>
  <si>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</si>
  <si>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</si>
  <si>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</si>
  <si>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</si>
  <si>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</si>
  <si>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</si>
  <si>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</si>
  <si>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</si>
  <si>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</si>
  <si>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</si>
  <si>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</si>
  <si>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</si>
  <si>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</si>
  <si>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</si>
  <si>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</si>
  <si>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</si>
  <si>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</si>
  <si>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</si>
  <si>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</si>
  <si>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</si>
  <si>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</si>
  <si>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</si>
  <si>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</si>
  <si>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</si>
  <si>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</si>
  <si>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</si>
  <si>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</si>
  <si>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</si>
  <si>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</si>
  <si>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</si>
  <si>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</si>
  <si>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</si>
  <si>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</si>
  <si>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</si>
  <si>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</si>
  <si>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</si>
  <si>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</si>
  <si>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</si>
  <si>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</si>
  <si>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</si>
  <si>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</si>
  <si>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</si>
  <si>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</si>
  <si>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</si>
  <si>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</si>
  <si>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</si>
  <si>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</si>
  <si>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</si>
  <si>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</si>
  <si>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</si>
  <si>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</si>
  <si>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</si>
  <si>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</si>
  <si>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</si>
  <si>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</si>
  <si>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</si>
  <si>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</si>
  <si>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</si>
  <si>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</si>
  <si>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</si>
  <si>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</si>
  <si>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</si>
  <si>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</si>
  <si>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</si>
  <si>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</si>
  <si>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</si>
  <si>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</si>
  <si>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</si>
  <si>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</si>
  <si>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</si>
  <si>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</si>
  <si>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</si>
  <si>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</si>
  <si>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</si>
  <si>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</si>
  <si>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</si>
  <si>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</si>
  <si>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</si>
  <si>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</si>
  <si>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</si>
  <si>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</si>
  <si>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</si>
  <si>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</si>
  <si>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</si>
  <si>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</si>
  <si>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</si>
  <si>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</si>
  <si>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</si>
  <si>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</si>
  <si>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</si>
  <si>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</si>
  <si>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</si>
  <si>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</si>
  <si>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</si>
  <si>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</si>
  <si>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</si>
  <si>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</si>
  <si>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</si>
  <si>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</si>
  <si>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</si>
  <si>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</si>
  <si>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</si>
  <si>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</si>
  <si>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</si>
  <si>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</si>
  <si>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</si>
  <si>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</si>
  <si>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</si>
  <si>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</si>
  <si>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</si>
  <si>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</si>
  <si>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</si>
  <si>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</si>
  <si>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</si>
  <si>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</si>
  <si>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</si>
  <si>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</si>
  <si>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</si>
  <si>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</si>
  <si>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</si>
  <si>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</si>
  <si>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</si>
  <si>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</si>
  <si>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</si>
  <si>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</si>
  <si>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</si>
  <si>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</si>
  <si>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</si>
  <si>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</si>
  <si>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</si>
  <si>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</si>
  <si>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</si>
  <si>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</si>
  <si>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</si>
  <si>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</si>
  <si>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</si>
  <si>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</si>
  <si>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</si>
  <si>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</si>
  <si>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</si>
  <si>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</si>
  <si>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</si>
  <si>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</si>
  <si>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</si>
  <si>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</si>
  <si>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</si>
  <si>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</si>
  <si>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</si>
  <si>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</si>
  <si>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</si>
  <si>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</si>
  <si>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</si>
  <si>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</si>
  <si>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</si>
  <si>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</si>
  <si>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</si>
  <si>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</si>
  <si>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</si>
  <si>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</si>
  <si>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</si>
  <si>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</si>
  <si>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</si>
  <si>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</si>
  <si>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</si>
  <si>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</si>
  <si>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</si>
  <si>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</si>
  <si>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</si>
  <si>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</si>
  <si>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</si>
  <si>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</si>
  <si>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</si>
  <si>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</si>
  <si>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</si>
  <si>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</si>
  <si>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</si>
  <si>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</si>
  <si>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</si>
  <si>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</si>
  <si>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</si>
  <si>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</si>
  <si>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</si>
  <si>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</si>
  <si>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</si>
  <si>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</si>
  <si>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</si>
  <si>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</si>
  <si>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</si>
  <si>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</si>
  <si>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</si>
  <si>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</si>
  <si>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</si>
  <si>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</si>
  <si>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</si>
  <si>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</si>
  <si>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</si>
  <si>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</si>
  <si>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</si>
  <si>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</si>
  <si>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</si>
  <si>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</si>
  <si>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</si>
  <si>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</si>
  <si>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</si>
  <si>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</si>
  <si>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</si>
  <si>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</si>
  <si>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</si>
  <si>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</si>
  <si>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</si>
  <si>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</si>
  <si>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</si>
  <si>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</si>
  <si>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</si>
  <si>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</si>
  <si>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</si>
  <si>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</si>
  <si>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</si>
  <si>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</si>
  <si>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</si>
  <si>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</si>
  <si>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</si>
  <si>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</si>
  <si>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</si>
  <si>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</si>
  <si>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</si>
  <si>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</si>
  <si>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</si>
  <si>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</si>
  <si>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</si>
  <si>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</si>
  <si>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</si>
  <si>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</si>
  <si>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</si>
  <si>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</si>
  <si>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</si>
  <si>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</si>
  <si>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</si>
  <si>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</si>
  <si>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</si>
  <si>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</si>
  <si>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</si>
  <si>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</si>
  <si>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</si>
  <si>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</si>
  <si>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</si>
  <si>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</si>
  <si>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</si>
  <si>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</si>
  <si>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</si>
  <si>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</si>
  <si>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</si>
  <si>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</si>
  <si>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</si>
  <si>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</si>
  <si>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</si>
  <si>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</si>
  <si>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</si>
  <si>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</si>
  <si>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</si>
  <si>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</si>
  <si>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</si>
  <si>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</si>
  <si>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</si>
  <si>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</si>
  <si>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</si>
  <si>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</si>
  <si>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</si>
  <si>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</si>
  <si>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</si>
  <si>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</si>
  <si>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</si>
  <si>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</si>
  <si>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</si>
  <si>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</si>
  <si>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</si>
  <si>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</si>
  <si>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</si>
  <si>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</si>
  <si>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</si>
  <si>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</si>
  <si>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</si>
  <si>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</si>
  <si>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</si>
  <si>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</si>
  <si>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</si>
  <si>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</si>
  <si>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</si>
  <si>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</si>
  <si>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</si>
  <si>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</si>
  <si>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</si>
  <si>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</si>
  <si>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</si>
  <si>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</si>
  <si>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</si>
  <si>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</si>
  <si>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</si>
  <si>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</si>
  <si>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</si>
  <si>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</si>
  <si>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</si>
  <si>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</si>
  <si>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</si>
  <si>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</si>
  <si>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</si>
  <si>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</si>
  <si>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</si>
  <si>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</si>
  <si>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</si>
  <si>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</si>
  <si>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</si>
  <si>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</si>
  <si>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</si>
  <si>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</si>
  <si>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</si>
  <si>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</si>
  <si>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</si>
  <si>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</si>
  <si>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</si>
  <si>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</si>
  <si>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</si>
  <si>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</si>
  <si>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</si>
  <si>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</si>
  <si>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</si>
  <si>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</si>
  <si>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</si>
  <si>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</si>
  <si>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</si>
  <si>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</si>
  <si>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</si>
  <si>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</si>
  <si>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</si>
  <si>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</si>
  <si>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</si>
  <si>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</si>
  <si>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</si>
  <si>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</si>
  <si>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</si>
  <si>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</si>
  <si>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</si>
  <si>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</si>
  <si>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</si>
  <si>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</si>
  <si>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</si>
  <si>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</si>
  <si>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</si>
  <si>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</si>
  <si>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</si>
  <si>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</si>
  <si>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</si>
  <si>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</si>
  <si>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</si>
  <si>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</si>
  <si>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</si>
  <si>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</si>
  <si>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</si>
  <si>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</si>
  <si>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</si>
  <si>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</si>
  <si>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</si>
  <si>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</si>
  <si>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</si>
  <si>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</si>
  <si>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</si>
  <si>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</si>
  <si>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</si>
  <si>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</si>
  <si>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</si>
  <si>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</si>
  <si>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</si>
  <si>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</si>
  <si>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</si>
  <si>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</si>
  <si>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</si>
  <si>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</si>
  <si>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</si>
  <si>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</si>
  <si>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</si>
  <si>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</si>
  <si>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</si>
  <si>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</si>
  <si>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</si>
  <si>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</si>
  <si>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</si>
  <si>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</si>
  <si>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</si>
  <si>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</si>
  <si>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</si>
  <si>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</si>
  <si>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</si>
  <si>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</si>
  <si>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</si>
  <si>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</si>
  <si>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</si>
  <si>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</si>
  <si>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</si>
  <si>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</si>
  <si>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</si>
  <si>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</si>
  <si>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</si>
  <si>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</si>
  <si>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</si>
  <si>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</si>
  <si>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</si>
  <si>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</si>
  <si>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</si>
  <si>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</si>
  <si>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</si>
  <si>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</si>
  <si>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</si>
  <si>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</si>
  <si>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</si>
  <si>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</si>
  <si>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</si>
  <si>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</si>
  <si>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</si>
  <si>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</si>
  <si>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</si>
  <si>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</si>
  <si>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</si>
  <si>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</si>
  <si>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</si>
  <si>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</si>
  <si>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</si>
  <si>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</si>
  <si>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</si>
  <si>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</si>
  <si>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</si>
  <si>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</si>
  <si>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</si>
  <si>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</si>
  <si>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</si>
  <si>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</si>
  <si>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</si>
  <si>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</si>
  <si>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</si>
  <si>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</si>
  <si>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</si>
  <si>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</si>
  <si>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</si>
  <si>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</si>
  <si>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</si>
  <si>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</si>
  <si>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</si>
  <si>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</si>
  <si>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</si>
  <si>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</si>
  <si>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</si>
  <si>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</si>
  <si>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</si>
  <si>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</si>
  <si>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</si>
  <si>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</si>
  <si>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</si>
  <si>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</si>
  <si>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</si>
  <si>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</si>
  <si>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</si>
  <si>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</si>
  <si>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</si>
  <si>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</si>
  <si>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</si>
  <si>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</si>
  <si>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</si>
  <si>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</si>
  <si>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</si>
  <si>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</si>
  <si>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</si>
  <si>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</si>
  <si>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</si>
  <si>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</si>
  <si>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</si>
  <si>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</si>
  <si>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</si>
  <si>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</si>
  <si>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</si>
  <si>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</si>
  <si>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</si>
  <si>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</si>
  <si>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</si>
  <si>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</si>
  <si>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</si>
  <si>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</si>
  <si>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</si>
  <si>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</si>
  <si>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</si>
  <si>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</si>
  <si>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</si>
  <si>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</si>
  <si>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</si>
  <si>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</si>
  <si>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</si>
  <si>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</si>
  <si>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</si>
  <si>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</si>
  <si>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</si>
  <si>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</si>
  <si>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</si>
  <si>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</si>
  <si>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</si>
  <si>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</si>
  <si>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</si>
  <si>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</si>
  <si>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</si>
  <si>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</si>
  <si>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</si>
  <si>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</si>
  <si>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</si>
  <si>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</si>
  <si>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</si>
  <si>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</si>
  <si>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</si>
  <si>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</si>
  <si>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</si>
  <si>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</si>
  <si>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</si>
  <si>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</si>
  <si>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</si>
  <si>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</si>
  <si>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</si>
  <si>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</si>
  <si>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</si>
  <si>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</si>
  <si>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</si>
  <si>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</si>
  <si>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</si>
  <si>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</si>
  <si>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</si>
  <si>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</si>
  <si>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</si>
  <si>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</si>
  <si>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</si>
  <si>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</si>
  <si>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</si>
  <si>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</si>
  <si>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</si>
  <si>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</si>
  <si>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</si>
  <si>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</si>
  <si>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</si>
  <si>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</si>
  <si>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</si>
  <si>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</si>
  <si>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</si>
  <si>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</si>
  <si>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</si>
  <si>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</si>
  <si>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</si>
  <si>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</si>
  <si>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</si>
  <si>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</si>
  <si>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</si>
  <si>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</si>
  <si>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</si>
  <si>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</si>
  <si>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</si>
  <si>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</si>
  <si>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</si>
  <si>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</si>
  <si>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</si>
  <si>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</si>
  <si>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</si>
  <si>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</si>
  <si>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</si>
  <si>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</si>
  <si>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</si>
  <si>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</si>
  <si>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</si>
  <si>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</si>
  <si>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</si>
  <si>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</si>
  <si>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</si>
  <si>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</si>
  <si>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</si>
  <si>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</si>
  <si>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</si>
  <si>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</si>
  <si>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</si>
  <si>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</si>
  <si>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</si>
  <si>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</si>
  <si>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</si>
  <si>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</si>
  <si>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</si>
  <si>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</si>
  <si>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</si>
  <si>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</si>
  <si>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</si>
  <si>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</si>
  <si>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</si>
  <si>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</si>
  <si>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</si>
  <si>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</si>
  <si>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</si>
  <si>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</si>
  <si>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</si>
  <si>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</si>
  <si>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</si>
  <si>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</si>
  <si>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</si>
  <si>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</si>
  <si>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</si>
  <si>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</si>
  <si>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</si>
  <si>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</si>
  <si>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</si>
  <si>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</si>
  <si>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</si>
  <si>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</si>
  <si>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</si>
  <si>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</si>
  <si>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</si>
  <si>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</si>
  <si>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</si>
  <si>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</si>
  <si>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</si>
  <si>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</si>
  <si>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</si>
  <si>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</si>
  <si>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</si>
  <si>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</si>
  <si>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</si>
  <si>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</si>
  <si>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</si>
  <si>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</si>
  <si>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</si>
  <si>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</si>
  <si>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</si>
  <si>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</si>
  <si>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</si>
  <si>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</si>
  <si>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</si>
  <si>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</si>
  <si>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</si>
  <si>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</si>
  <si>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</si>
  <si>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</si>
  <si>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</si>
  <si>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</si>
  <si>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</si>
  <si>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</si>
  <si>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</si>
  <si>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</si>
  <si>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</si>
  <si>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</si>
  <si>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</si>
  <si>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</si>
  <si>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</si>
  <si>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</si>
  <si>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</si>
  <si>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</si>
  <si>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</si>
  <si>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</si>
  <si>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</si>
  <si>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</si>
  <si>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</si>
  <si>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</si>
  <si>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</si>
  <si>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</si>
  <si>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</si>
  <si>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</si>
  <si>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</si>
  <si>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</si>
  <si>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</si>
  <si>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</si>
  <si>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</si>
  <si>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</si>
  <si>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</si>
  <si>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</si>
  <si>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</si>
  <si>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</si>
  <si>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</si>
  <si>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</si>
  <si>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</si>
  <si>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</si>
  <si>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</si>
  <si>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</si>
  <si>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</si>
  <si>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</si>
  <si>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</si>
  <si>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</si>
  <si>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</si>
  <si>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</si>
  <si>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</si>
  <si>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</si>
  <si>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</si>
  <si>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</si>
  <si>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</si>
  <si>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</si>
  <si>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</si>
  <si>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</si>
  <si>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</si>
  <si>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</si>
  <si>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</si>
  <si>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</si>
  <si>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</si>
  <si>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</si>
  <si>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</si>
  <si>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</si>
  <si>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</si>
  <si>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</si>
  <si>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</si>
  <si>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</si>
  <si>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</si>
  <si>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</si>
  <si>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</si>
  <si>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</si>
  <si>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</si>
  <si>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</si>
  <si>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</si>
  <si>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</si>
  <si>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</si>
  <si>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</si>
  <si>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</si>
  <si>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</si>
  <si>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</si>
  <si>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</si>
  <si>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</si>
  <si>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</si>
  <si>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</si>
  <si>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</si>
  <si>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</si>
  <si>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</si>
  <si>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</si>
  <si>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</si>
  <si>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</si>
  <si>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</si>
  <si>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</si>
  <si>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</si>
  <si>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</si>
  <si>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</si>
  <si>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</si>
  <si>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</si>
  <si>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</si>
  <si>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</si>
  <si>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</si>
  <si>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</si>
  <si>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</si>
  <si>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</si>
  <si>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</si>
  <si>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</si>
  <si>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</si>
  <si>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</si>
  <si>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</si>
  <si>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</si>
  <si>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</si>
  <si>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</si>
  <si>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</si>
  <si>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</si>
  <si>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</si>
  <si>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</si>
  <si>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</si>
  <si>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</si>
  <si>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</si>
  <si>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</si>
  <si>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</si>
  <si>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</si>
  <si>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</si>
  <si>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</si>
  <si>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</si>
  <si>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</si>
  <si>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</si>
  <si>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</si>
  <si>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</si>
  <si>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</si>
  <si>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</si>
  <si>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</si>
  <si>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</si>
  <si>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</si>
  <si>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</si>
  <si>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</si>
  <si>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</si>
  <si>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</si>
  <si>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</si>
  <si>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</si>
  <si>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</si>
  <si>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</si>
  <si>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</si>
  <si>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</si>
  <si>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</si>
  <si>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</si>
  <si>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</si>
  <si>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</si>
  <si>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</si>
  <si>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</si>
  <si>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</si>
  <si>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</si>
  <si>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</si>
  <si>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</si>
  <si>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</si>
  <si>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</si>
  <si>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</si>
  <si>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</si>
  <si>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</si>
  <si>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</si>
  <si>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</si>
  <si>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</si>
  <si>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</si>
  <si>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</si>
  <si>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</si>
  <si>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</si>
  <si>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</si>
  <si>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</si>
  <si>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</si>
  <si>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2017-11-16</t>
  </si>
  <si>
    <t>中国电子科技集团公司</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</si>
  <si>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</si>
  <si>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</si>
  <si>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</si>
  <si>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</si>
  <si>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</si>
  <si>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</si>
  <si>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</si>
  <si>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</si>
  <si>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</si>
  <si>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</si>
  <si>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</si>
  <si>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</si>
  <si>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</si>
  <si>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</si>
  <si>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</si>
  <si>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</si>
  <si>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</si>
  <si>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</si>
  <si>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</si>
  <si>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</si>
  <si>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</si>
  <si>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</si>
  <si>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</si>
  <si>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</si>
  <si>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</si>
  <si>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</si>
  <si>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</si>
  <si>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</si>
  <si>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</si>
  <si>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</si>
  <si>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</si>
  <si>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</si>
  <si>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</si>
  <si>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</si>
  <si>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</si>
  <si>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</si>
  <si>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</si>
  <si>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</si>
  <si>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</si>
  <si>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</si>
  <si>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</si>
  <si>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</si>
  <si>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</si>
  <si>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</si>
  <si>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</si>
  <si>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</si>
  <si>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</si>
  <si>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</si>
  <si>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</si>
  <si>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</si>
  <si>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</si>
  <si>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</si>
  <si>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</si>
  <si>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</si>
  <si>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</si>
  <si>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</si>
  <si>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</si>
  <si>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</si>
  <si>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</si>
  <si>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</si>
  <si>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</si>
  <si>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</si>
  <si>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</si>
  <si>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</si>
  <si>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</si>
  <si>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</si>
  <si>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</si>
  <si>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</si>
  <si>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</si>
  <si>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</si>
  <si>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</si>
  <si>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</si>
  <si>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</si>
  <si>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</si>
  <si>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</si>
  <si>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</si>
  <si>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</si>
  <si>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</si>
  <si>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</si>
  <si>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</si>
  <si>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</si>
  <si>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</si>
  <si>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</si>
  <si>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</si>
  <si>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</si>
  <si>
    <t>办公</t>
    <phoneticPr fontId="26" type="noConversion"/>
  </si>
  <si>
    <t>北京市海淀区西八里庄0711-653地块B4综合性商业金融服务业用地</t>
    <phoneticPr fontId="233" type="noConversion"/>
  </si>
  <si>
    <t>北京市石景山区鲁谷路1614-631地块(银河商务区L地块)B4综合性商业金融服务业用地</t>
    <phoneticPr fontId="233" type="noConversion"/>
  </si>
  <si>
    <t>朝阳区金盏乡楼梓庄村1113-602地块</t>
    <phoneticPr fontId="233" type="noConversion"/>
  </si>
  <si>
    <t>七通一平</t>
  </si>
  <si>
    <t>地价指数</t>
  </si>
  <si>
    <t>好</t>
  </si>
  <si>
    <t>土地开发补偿费</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</si>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</sst>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5" fillId="6" borderId="0" xfId="0" applyFont="1" applyFill="1" applyAlignment="1"/>
    <xf numFmtId="0" fontId="241" fillId="12" borderId="120" xfId="13" applyFont="1" applyFill="1" applyBorder="1" applyAlignment="1" applyProtection="1">
      <alignment horizontal="center" vertical="center" wrapText="1"/>
      <protection locked="0"/>
    </xf>
    <xf numFmtId="0" fontId="241" fillId="12" borderId="121" xfId="13" applyFont="1" applyFill="1" applyBorder="1" applyAlignment="1" applyProtection="1">
      <alignment horizontal="center" vertical="center" wrapText="1"/>
      <protection locked="0"/>
    </xf>
    <xf numFmtId="0" fontId="152" fillId="14" borderId="0" xfId="13" applyFont="1" applyFill="1" applyAlignment="1">
      <alignment horizontal="center" vertical="center"/>
    </xf>
    <xf numFmtId="0" fontId="158" fillId="6" borderId="0" xfId="13" applyFont="1" applyFill="1">
      <alignment vertical="center"/>
    </xf>
    <xf numFmtId="0" fontId="157" fillId="0" borderId="0" xfId="10" applyFont="1" applyBorder="1">
      <alignment vertical="center"/>
    </xf>
    <xf numFmtId="0" fontId="159" fillId="5" borderId="0" xfId="1" applyFont="1" applyFill="1" applyBorder="1" applyAlignment="1" applyProtection="1">
      <alignment horizontal="center" vertical="center"/>
    </xf>
    <xf numFmtId="0" fontId="17" fillId="5" borderId="0" xfId="1" applyFont="1" applyFill="1" applyBorder="1" applyAlignment="1" applyProtection="1">
      <alignment horizontal="center" vertical="center"/>
    </xf>
    <xf numFmtId="0" fontId="157" fillId="0" borderId="122" xfId="10" applyFont="1" applyBorder="1" applyAlignment="1">
      <alignment vertical="center"/>
    </xf>
    <xf numFmtId="0" fontId="157" fillId="0" borderId="0" xfId="10" applyFont="1" applyBorder="1" applyAlignment="1">
      <alignment vertical="center"/>
    </xf>
    <xf numFmtId="0" fontId="157" fillId="0" borderId="0" xfId="10" applyFont="1" applyBorder="1" applyAlignment="1">
      <alignment horizontal="center" vertical="center"/>
    </xf>
    <xf numFmtId="10" fontId="152" fillId="14" borderId="0" xfId="13" applyNumberFormat="1" applyFont="1" applyFill="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left"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29</xdr:row>
      <xdr:rowOff>123825</xdr:rowOff>
    </xdr:from>
    <xdr:to>
      <xdr:col>13</xdr:col>
      <xdr:colOff>151267</xdr:colOff>
      <xdr:row>40</xdr:row>
      <xdr:rowOff>37875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095875"/>
          <a:ext cx="9066667" cy="1800000"/>
        </a:xfrm>
        <a:prstGeom prst="rect">
          <a:avLst/>
        </a:prstGeom>
      </xdr:spPr>
    </xdr:pic>
    <xdr:clientData/>
  </xdr:twoCellAnchor>
  <xdr:twoCellAnchor editAs="oneCell">
    <xdr:from>
      <xdr:col>0</xdr:col>
      <xdr:colOff>0</xdr:colOff>
      <xdr:row>39</xdr:row>
      <xdr:rowOff>104775</xdr:rowOff>
    </xdr:from>
    <xdr:to>
      <xdr:col>14</xdr:col>
      <xdr:colOff>65467</xdr:colOff>
      <xdr:row>46</xdr:row>
      <xdr:rowOff>133197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791325"/>
          <a:ext cx="9666667" cy="1228572"/>
        </a:xfrm>
        <a:prstGeom prst="rect">
          <a:avLst/>
        </a:prstGeom>
      </xdr:spPr>
    </xdr:pic>
    <xdr:clientData/>
  </xdr:twoCellAnchor>
  <xdr:twoCellAnchor editAs="oneCell">
    <xdr:from>
      <xdr:col>0</xdr:col>
      <xdr:colOff>0</xdr:colOff>
      <xdr:row>46</xdr:row>
      <xdr:rowOff>133350</xdr:rowOff>
    </xdr:from>
    <xdr:to>
      <xdr:col>13</xdr:col>
      <xdr:colOff>589363</xdr:colOff>
      <xdr:row>66</xdr:row>
      <xdr:rowOff>171017</xdr:rowOff>
    </xdr:to>
    <xdr:pic>
      <xdr:nvPicPr>
        <xdr:cNvPr id="5" name="图片 4"/>
        <xdr:cNvPicPr>
          <a:picLocks noChangeAspect="1"/>
        </xdr:cNvPicPr>
      </xdr:nvPicPr>
      <xdr:blipFill>
        <a:blip xmlns:r="http://schemas.openxmlformats.org/officeDocument/2006/relationships" r:embed="rId6"/>
        <a:stretch>
          <a:fillRect/>
        </a:stretch>
      </xdr:blipFill>
      <xdr:spPr>
        <a:xfrm>
          <a:off x="0" y="8020050"/>
          <a:ext cx="9504763"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北京市海淀区北部地区整体开发地块出让国有建设用地使用权抵押价格预评估</v>
      </c>
      <c r="AX2" s="2923"/>
      <c r="AZ2" s="2923"/>
      <c r="BA2" s="2924"/>
      <c r="BC2" s="2924"/>
    </row>
    <row r="3" spans="1:55" s="2925" customFormat="1">
      <c r="A3" s="2904" t="s">
        <v>2667</v>
      </c>
      <c r="B3" s="2907" t="str">
        <f>'预评函-封皮'!B40</f>
        <v>北京神州数码置业发展有限公司</v>
      </c>
    </row>
    <row r="4" spans="1:55" s="2906" customFormat="1">
      <c r="A4" s="2904" t="s">
        <v>2668</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受贵公司委托，我公司对北京市海淀区北部地区整体开发地块出让国有建设用地使用权抵押价格进行了预评估。</v>
      </c>
      <c r="AM6" s="2929"/>
    </row>
    <row r="7" spans="1:55" s="2903" customFormat="1">
      <c r="A7" s="2904" t="s">
        <v>2663</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2665</v>
      </c>
      <c r="B10" s="2905" t="str">
        <f>'预评函-1'!A11</f>
        <v>2018年1月9日（评估专业人员勘察现场之日）</v>
      </c>
    </row>
    <row r="11" spans="1:55" s="2903" customFormat="1">
      <c r="A11" s="2904" t="s">
        <v>2671</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2672</v>
      </c>
      <c r="B12" s="2905" t="str">
        <f>'预评函-1'!A15</f>
        <v>本次评估设定用途即为证载用途商业、办公、车库、仓储。</v>
      </c>
    </row>
    <row r="13" spans="1:55" s="2903" customFormat="1">
      <c r="A13" s="2904" t="s">
        <v>2673</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2675</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2676</v>
      </c>
      <c r="B17" s="2905" t="str">
        <f>'预评函-1'!A23</f>
        <v>本次评估设定估价对象剩余土地使用年限为商业37.9年、办公47.9年。</v>
      </c>
    </row>
    <row r="18" spans="1:48" s="2903" customFormat="1">
      <c r="A18" s="2904" t="s">
        <v>2677</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估价期日：2018年1月9日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t="str">
        <f>'预评函-2'!E5</f>
        <v>办公、地下车库、地下仓储、地下办公（公共服务设施）、商业</v>
      </c>
      <c r="AV32" s="2909"/>
    </row>
    <row r="33" spans="1:2">
      <c r="A33" s="2904" t="s">
        <v>2719</v>
      </c>
      <c r="B33" s="2905">
        <f>'预评函-2'!F5</f>
        <v>258</v>
      </c>
    </row>
    <row r="34" spans="1:2">
      <c r="A34" s="2904" t="s">
        <v>2720</v>
      </c>
      <c r="B34" s="2905" t="str">
        <f>'预评函-2'!G5</f>
        <v>商业、办公、车库、仓储</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红线外七通、宗地红线内场地平整</v>
      </c>
    </row>
    <row r="39" spans="1:2">
      <c r="A39" s="2904" t="s">
        <v>2725</v>
      </c>
      <c r="B39" s="2905" t="str">
        <f>'预评函-2'!L5</f>
        <v>红线外七通、宗地红线内场地平整</v>
      </c>
    </row>
    <row r="40" spans="1:2">
      <c r="A40" s="2904" t="s">
        <v>2744</v>
      </c>
      <c r="B40" s="2905" t="str">
        <f>'预评函-2'!M3</f>
        <v>（剩余）土地使用年限/年</v>
      </c>
    </row>
    <row r="41" spans="1:2">
      <c r="A41" s="2904" t="s">
        <v>2726</v>
      </c>
      <c r="B41" s="2905" t="str">
        <f>'预评函-2'!M5</f>
        <v>商业37.9年、办公47.9年</v>
      </c>
    </row>
    <row r="42" spans="1:2">
      <c r="A42" s="2904" t="s">
        <v>2745</v>
      </c>
      <c r="B42" s="2905" t="str">
        <f>'预评函-2'!N3</f>
        <v>（分摊）出让国有建设用地使用权面积/㎡</v>
      </c>
    </row>
    <row r="43" spans="1:2">
      <c r="A43" s="2904" t="s">
        <v>2727</v>
      </c>
      <c r="B43" s="2905">
        <f>'预评函-2'!N5</f>
        <v>17629.740000000002</v>
      </c>
    </row>
    <row r="44" spans="1:2">
      <c r="A44" s="2904" t="s">
        <v>2746</v>
      </c>
      <c r="B44" s="2905" t="str">
        <f>'预评函-2'!O3</f>
        <v>规划建筑面积/㎡</v>
      </c>
    </row>
    <row r="45" spans="1:2">
      <c r="A45" s="2904" t="s">
        <v>2728</v>
      </c>
      <c r="B45" s="2905">
        <f>'预评函-2'!O5</f>
        <v>65884.88</v>
      </c>
    </row>
    <row r="46" spans="1:2">
      <c r="A46" s="2904" t="s">
        <v>2729</v>
      </c>
      <c r="B46" s="2905">
        <f ca="1">'预评函-2'!P5</f>
        <v>53567</v>
      </c>
    </row>
    <row r="47" spans="1:2">
      <c r="A47" s="2904" t="s">
        <v>2730</v>
      </c>
      <c r="B47" s="2905">
        <f ca="1">'预评函-2'!Q5</f>
        <v>14334</v>
      </c>
    </row>
    <row r="48" spans="1:2">
      <c r="A48" s="2904" t="s">
        <v>2731</v>
      </c>
      <c r="B48" s="2905">
        <f ca="1">'预评函-2'!R5</f>
        <v>94438</v>
      </c>
    </row>
    <row r="49" spans="1:2">
      <c r="A49" s="2904" t="s">
        <v>2747</v>
      </c>
      <c r="B49" s="2905" t="str">
        <f>'预评函-2'!A6</f>
        <v>抵押价格</v>
      </c>
    </row>
    <row r="50" spans="1:2">
      <c r="A50" s="2904" t="s">
        <v>2732</v>
      </c>
      <c r="B50" s="2905">
        <f ca="1">'预评函-2'!R6</f>
        <v>94438</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1.权利限制：根据估价对象《不动产权证书》复印件、《国有土地使用权》复印件，截至估价期日，估价对象抵押权未见登记。未设定租赁等其他他项权利。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2.基础设施条件：估价对象实际开发程度为红线外七通、宗地红线内场地平整；本次评估设定开发程度为红线外七通、宗地红线内场地平整。</v>
      </c>
    </row>
    <row r="57" spans="1:2">
      <c r="A57" s="2904" t="s">
        <v>2686</v>
      </c>
      <c r="B57" s="2905" t="str">
        <f>'预评函-3'!A4</f>
        <v>3.估价规划限制条件：详见《建设工程规划许可证》[建字第110108201700242号]。</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（1）根据估价对象《不动产权证书》复印件、《国有土地使用权》复印件，截至估价期日，估价对象抵押权未见登记。</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吴薇</v>
      </c>
    </row>
    <row r="70" spans="1:2">
      <c r="A70" s="2904" t="s">
        <v>2696</v>
      </c>
      <c r="B70" s="2911">
        <f ca="1">'预评函-3'!B20</f>
        <v>2002110125</v>
      </c>
    </row>
    <row r="71" spans="1:2">
      <c r="A71" s="2904" t="s">
        <v>2697</v>
      </c>
      <c r="B71" s="2905" t="str">
        <f>'预评函-3'!A21</f>
        <v>刘梅</v>
      </c>
    </row>
    <row r="72" spans="1:2" s="2919" customFormat="1" ht="15" thickBot="1">
      <c r="A72" s="2926" t="s">
        <v>2697</v>
      </c>
      <c r="B72" s="2932">
        <f ca="1">'预评函-3'!B21</f>
        <v>2008110059</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2792</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I42" sqref="I42"/>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55" t="str">
        <f>IF(B10="北京市","北京市",C10)&amp;F10&amp;B16&amp;"国有建设用地使用权"&amp;B9&amp;"预评估"</f>
        <v>北京市海淀区北部地区整体开发地块出让国有建设用地使用权抵押价格预评估</v>
      </c>
      <c r="C1" s="3256"/>
      <c r="D1" s="3256"/>
      <c r="E1" s="3256"/>
      <c r="F1" s="3256"/>
      <c r="G1" s="3256"/>
      <c r="H1" s="3256"/>
      <c r="I1" s="3257"/>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3172</v>
      </c>
      <c r="C4" s="1845">
        <f ca="1">SUMIF(土地估价师,B4,估价师及机构信息!E3:E24)</f>
        <v>2002110125</v>
      </c>
      <c r="D4" s="1842" t="s">
        <v>3173</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2992</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3174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2713</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2993</v>
      </c>
      <c r="C8" s="1670"/>
      <c r="D8" s="3261" t="s">
        <v>1948</v>
      </c>
      <c r="E8" s="1843" t="s">
        <v>2994</v>
      </c>
      <c r="F8" s="1671"/>
      <c r="G8" s="1659"/>
      <c r="H8" s="1659"/>
      <c r="I8" s="1706"/>
      <c r="J8" s="1693"/>
      <c r="K8" s="1773"/>
      <c r="L8" s="1722"/>
      <c r="M8" s="1722"/>
      <c r="N8" s="1693"/>
      <c r="O8" s="1694"/>
      <c r="P8" s="1693"/>
      <c r="Q8" s="1693"/>
      <c r="R8" s="1693"/>
      <c r="S8" s="1693"/>
      <c r="T8" s="1693"/>
      <c r="U8" s="1693"/>
    </row>
    <row r="9" spans="1:21" ht="15" thickBot="1">
      <c r="A9" s="1672" t="s">
        <v>1947</v>
      </c>
      <c r="B9" s="1673" t="s">
        <v>2994</v>
      </c>
      <c r="C9" s="1674"/>
      <c r="D9" s="3262"/>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2995</v>
      </c>
      <c r="G10" s="1744"/>
      <c r="H10" s="1745"/>
      <c r="I10" s="1666"/>
      <c r="J10" s="1693"/>
      <c r="K10" s="1773"/>
      <c r="L10" s="1722"/>
      <c r="M10" s="1722"/>
      <c r="N10" s="1693"/>
      <c r="O10" s="1694"/>
      <c r="P10" s="1693"/>
      <c r="Q10" s="1693"/>
      <c r="R10" s="1693"/>
      <c r="S10" s="1693"/>
      <c r="T10" s="1693"/>
      <c r="U10" s="1693"/>
    </row>
    <row r="11" spans="1:21" ht="42.75">
      <c r="A11" s="1696" t="s">
        <v>2002</v>
      </c>
      <c r="B11" s="1697" t="s">
        <v>2996</v>
      </c>
      <c r="C11" s="1678" t="s">
        <v>2997</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58" t="s">
        <v>3175</v>
      </c>
      <c r="C12" s="3259"/>
      <c r="D12" s="3260"/>
      <c r="E12" s="1698" t="s">
        <v>2063</v>
      </c>
      <c r="F12" s="3276" t="s">
        <v>3179</v>
      </c>
      <c r="G12" s="3277"/>
      <c r="H12" s="3277"/>
      <c r="I12" s="3278"/>
      <c r="J12" s="1693"/>
      <c r="K12" s="1773"/>
      <c r="L12" s="1722"/>
      <c r="M12" s="1722"/>
      <c r="N12" s="1693"/>
      <c r="O12" s="1694"/>
      <c r="P12" s="1693"/>
      <c r="Q12" s="1693"/>
      <c r="R12" s="1693"/>
      <c r="S12" s="1693"/>
      <c r="T12" s="1693"/>
      <c r="U12" s="1693"/>
    </row>
    <row r="13" spans="1:21">
      <c r="A13" s="1686" t="s">
        <v>2061</v>
      </c>
      <c r="B13" s="3258" t="s">
        <v>3176</v>
      </c>
      <c r="C13" s="3259"/>
      <c r="D13" s="3260"/>
      <c r="E13" s="1698" t="s">
        <v>2063</v>
      </c>
      <c r="F13" s="3276" t="s">
        <v>2894</v>
      </c>
      <c r="G13" s="3277"/>
      <c r="H13" s="3277"/>
      <c r="I13" s="3278"/>
      <c r="J13" s="1693"/>
      <c r="K13" s="1773"/>
      <c r="L13" s="1722"/>
      <c r="M13" s="1722"/>
      <c r="N13" s="1693"/>
      <c r="O13" s="1694"/>
      <c r="P13" s="1693"/>
      <c r="Q13" s="1693"/>
      <c r="R13" s="1693"/>
      <c r="S13" s="1693"/>
      <c r="T13" s="1693"/>
      <c r="U13" s="1693"/>
    </row>
    <row r="14" spans="1:21">
      <c r="A14" s="1660" t="s">
        <v>2064</v>
      </c>
      <c r="B14" s="1698"/>
      <c r="C14" s="1844" t="s">
        <v>2998</v>
      </c>
      <c r="D14" s="1732" t="str">
        <f>IF(C14="不一致","是否符合证载地类范围","")</f>
        <v/>
      </c>
      <c r="E14" s="1698"/>
      <c r="F14" s="1789" t="s">
        <v>2999</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3000</v>
      </c>
      <c r="C16" s="1698" t="s">
        <v>1952</v>
      </c>
      <c r="D16" s="2671" t="s">
        <v>1953</v>
      </c>
      <c r="E16" s="1721" t="s">
        <v>3001</v>
      </c>
      <c r="F16" s="1721" t="s">
        <v>1679</v>
      </c>
      <c r="G16" s="1721" t="s">
        <v>3002</v>
      </c>
      <c r="H16" s="1721" t="s">
        <v>3164</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73" t="s">
        <v>3003</v>
      </c>
      <c r="E20" s="3274"/>
      <c r="F20" s="3274"/>
      <c r="G20" s="3274"/>
      <c r="H20" s="3274"/>
      <c r="I20" s="3275"/>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63" t="s">
        <v>3177</v>
      </c>
      <c r="F21" s="3264"/>
      <c r="G21" s="3264"/>
      <c r="H21" s="3264"/>
      <c r="I21" s="3265"/>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63" t="s">
        <v>3180</v>
      </c>
      <c r="F22" s="3264"/>
      <c r="G22" s="3264"/>
      <c r="H22" s="3264"/>
      <c r="I22" s="3265"/>
      <c r="J22" s="1693"/>
      <c r="K22" s="1773"/>
      <c r="L22" s="1722"/>
      <c r="M22" s="1722"/>
      <c r="N22" s="1693"/>
      <c r="O22" s="1694"/>
      <c r="P22" s="1693"/>
      <c r="Q22" s="1693"/>
      <c r="R22" s="1693"/>
      <c r="S22" s="1693"/>
      <c r="T22" s="1693"/>
      <c r="U22" s="1693"/>
    </row>
    <row r="23" spans="1:21" ht="43.5" thickBot="1">
      <c r="A23" s="1764" t="s">
        <v>1966</v>
      </c>
      <c r="B23" s="1700" t="s">
        <v>1967</v>
      </c>
      <c r="C23" s="1701" t="s">
        <v>3178</v>
      </c>
      <c r="D23" s="1702" t="s">
        <v>1968</v>
      </c>
      <c r="E23" s="1703" t="s">
        <v>3178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66" t="s">
        <v>1970</v>
      </c>
      <c r="C24" s="3267"/>
      <c r="D24" s="3268" t="s">
        <v>1971</v>
      </c>
      <c r="E24" s="3269"/>
      <c r="F24" s="1707" t="s">
        <v>1972</v>
      </c>
      <c r="G24" s="1693"/>
      <c r="H24" s="1693"/>
      <c r="I24" s="1706"/>
      <c r="J24" s="1693"/>
      <c r="K24" s="3254"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5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5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40" t="s">
        <v>2003</v>
      </c>
      <c r="B31" s="1763" t="s">
        <v>2004</v>
      </c>
      <c r="C31" s="3279"/>
      <c r="D31" s="3280"/>
      <c r="E31" s="1693"/>
      <c r="F31" s="1693"/>
      <c r="G31" s="1693"/>
      <c r="H31" s="1693"/>
      <c r="I31" s="1706"/>
      <c r="J31" s="1693"/>
      <c r="K31" s="2482"/>
      <c r="L31" s="1693"/>
      <c r="M31" s="1693"/>
      <c r="N31" s="1693"/>
      <c r="O31" s="1693"/>
      <c r="P31" s="1693"/>
      <c r="Q31" s="1693"/>
      <c r="R31" s="1693"/>
      <c r="S31" s="1693"/>
      <c r="T31" s="1693"/>
      <c r="U31" s="1693"/>
    </row>
    <row r="32" spans="1:21">
      <c r="A32" s="3240"/>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0"/>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1"/>
      <c r="B34" s="1660" t="s">
        <v>2007</v>
      </c>
      <c r="C34" s="3242"/>
      <c r="D34" s="3243"/>
      <c r="E34" s="1693"/>
      <c r="F34" s="1693"/>
      <c r="G34" s="1693"/>
      <c r="H34" s="1693"/>
      <c r="I34" s="1706"/>
      <c r="J34" s="1693"/>
      <c r="K34" s="2482"/>
      <c r="L34" s="1693"/>
      <c r="M34" s="1693"/>
      <c r="N34" s="1693"/>
      <c r="O34" s="1693"/>
      <c r="P34" s="1693"/>
      <c r="Q34" s="1693"/>
      <c r="R34" s="1693"/>
      <c r="S34" s="1693"/>
      <c r="T34" s="1693"/>
      <c r="U34" s="1693"/>
    </row>
    <row r="35" spans="1:21">
      <c r="A35" s="3244" t="s">
        <v>848</v>
      </c>
      <c r="B35" s="1721" t="s">
        <v>3005</v>
      </c>
      <c r="C35" s="1775" t="str">
        <f>IF(B35="场地平整","——","具体情况：")</f>
        <v>——</v>
      </c>
      <c r="D35" s="3246"/>
      <c r="E35" s="3247"/>
      <c r="F35" s="3247"/>
      <c r="G35" s="3247"/>
      <c r="H35" s="3247"/>
      <c r="I35" s="3248"/>
      <c r="J35" s="1693"/>
      <c r="K35" s="1774"/>
      <c r="L35" s="1722"/>
      <c r="M35" s="1722"/>
      <c r="N35" s="1693"/>
      <c r="O35" s="1694"/>
      <c r="P35" s="1693"/>
      <c r="Q35" s="1693"/>
      <c r="R35" s="1693"/>
      <c r="S35" s="1693"/>
      <c r="T35" s="1693"/>
      <c r="U35" s="1693"/>
    </row>
    <row r="36" spans="1:21">
      <c r="A36" s="3240"/>
      <c r="B36" s="3249" t="s">
        <v>2056</v>
      </c>
      <c r="C36" s="3250"/>
      <c r="D36" s="1791" t="s">
        <v>3004</v>
      </c>
      <c r="E36" s="3251"/>
      <c r="F36" s="3251"/>
      <c r="G36" s="1686" t="str">
        <f>IF(B35="场地未平整","估价结果处理","")</f>
        <v/>
      </c>
      <c r="H36" s="3252"/>
      <c r="I36" s="3252"/>
      <c r="J36" s="1693"/>
      <c r="K36" s="1774"/>
      <c r="L36" s="1722"/>
      <c r="M36" s="1722"/>
      <c r="N36" s="1693"/>
      <c r="O36" s="1694"/>
      <c r="P36" s="1693"/>
      <c r="Q36" s="1693"/>
      <c r="R36" s="1693"/>
      <c r="S36" s="1693"/>
      <c r="T36" s="1693"/>
      <c r="U36" s="1693"/>
    </row>
    <row r="37" spans="1:21" ht="28.5">
      <c r="A37" s="3240"/>
      <c r="B37" s="3270"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40"/>
      <c r="B38" s="3271"/>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41"/>
      <c r="B39" s="327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3006</v>
      </c>
      <c r="C40" s="1689" t="s">
        <v>3007</v>
      </c>
      <c r="D40" s="1689" t="s">
        <v>3008</v>
      </c>
      <c r="E40" s="1689" t="s">
        <v>3009</v>
      </c>
      <c r="F40" s="1689" t="s">
        <v>3010</v>
      </c>
      <c r="G40" s="1689" t="s">
        <v>3011</v>
      </c>
      <c r="H40" s="1689" t="s">
        <v>3012</v>
      </c>
      <c r="I40" s="1706"/>
      <c r="J40" s="1693"/>
      <c r="K40" s="1729">
        <f>COUNTIF(B40:H40,"——")</f>
        <v>0</v>
      </c>
      <c r="L40" s="1698" t="s">
        <v>1981</v>
      </c>
      <c r="M40" s="1695" t="s">
        <v>1982</v>
      </c>
      <c r="N40" s="1695" t="s">
        <v>1983</v>
      </c>
      <c r="O40" s="1695" t="s">
        <v>1984</v>
      </c>
      <c r="P40" s="1695" t="s">
        <v>1985</v>
      </c>
      <c r="Q40" s="1695" t="s">
        <v>1986</v>
      </c>
      <c r="R40" s="1695" t="s">
        <v>1987</v>
      </c>
      <c r="S40" s="3253" t="s">
        <v>1988</v>
      </c>
      <c r="T40" s="1730" t="str">
        <f>NUMBERSTRING(7-K40,1)&amp;"通"</f>
        <v>七通</v>
      </c>
      <c r="U40" s="1693"/>
    </row>
    <row r="41" spans="1:21">
      <c r="A41" s="1662"/>
      <c r="B41" s="3245" t="s">
        <v>1723</v>
      </c>
      <c r="C41" s="3245"/>
      <c r="D41" s="3245"/>
      <c r="E41" s="324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53"/>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0</v>
      </c>
      <c r="J5" s="27">
        <f t="shared" si="0"/>
        <v>0</v>
      </c>
      <c r="K5" s="27">
        <f t="shared" si="0"/>
        <v>52504.74</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0</v>
      </c>
      <c r="BC5" s="29">
        <f t="shared" si="1"/>
        <v>52504.74</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0</v>
      </c>
      <c r="J6" s="27">
        <f t="shared" si="2"/>
        <v>0</v>
      </c>
      <c r="K6" s="27">
        <f t="shared" si="2"/>
        <v>14049.42</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0</v>
      </c>
      <c r="BC6" s="27">
        <f t="shared" ref="BC6:BH6" si="4">ROUND($AY$6*BC5/$AZ$5,2)</f>
        <v>14049.43</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3038</v>
      </c>
      <c r="J9" s="51"/>
      <c r="K9" s="3043" t="s">
        <v>3038</v>
      </c>
      <c r="L9" s="51"/>
      <c r="M9" s="3043" t="s">
        <v>3041</v>
      </c>
      <c r="N9" s="51"/>
      <c r="O9" s="59" t="s">
        <v>3041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1679</v>
      </c>
      <c r="J10" s="51"/>
      <c r="K10" s="3045" t="s">
        <v>1679</v>
      </c>
      <c r="L10" s="51"/>
      <c r="M10" s="3045" t="s">
        <v>3166</v>
      </c>
      <c r="N10" s="51"/>
      <c r="O10" s="66" t="s">
        <v>3168</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3039</v>
      </c>
      <c r="J11" s="71"/>
      <c r="K11" s="3044" t="s">
        <v>3040</v>
      </c>
      <c r="L11" s="71"/>
      <c r="M11" s="70" t="s">
        <v>3002</v>
      </c>
      <c r="N11" s="71"/>
      <c r="O11" s="70" t="s">
        <v>3169</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3" t="s">
        <v>2984</v>
      </c>
      <c r="D13" s="3040" t="s">
        <v>1680</v>
      </c>
      <c r="E13" s="27">
        <f t="shared" ref="E13:E20" si="6">IF($C$3="是",ROUND($A$3*G13/$B$3,2),ROUND($A$3*(G13-AT13)/$B$3,2))</f>
        <v>6056.24</v>
      </c>
      <c r="F13" s="81"/>
      <c r="G13" s="82">
        <f t="shared" ref="G13:G20" si="7">H13+AC13+AT13</f>
        <v>22633.06</v>
      </c>
      <c r="H13" s="33">
        <f t="shared" ref="H13:H20" si="8">SUMIF(I$12:AB$12,"总值",I13:AB13)</f>
        <v>22045.25</v>
      </c>
      <c r="I13" s="3042"/>
      <c r="J13" s="3042"/>
      <c r="K13" s="3042">
        <f>面积清单!I3+面积清单!H3</f>
        <v>21952.66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0</v>
      </c>
      <c r="BC13" s="27">
        <f t="shared" ref="BC13:BC20" si="15">IF($D13="是",K13-L13,0)</f>
        <v>21952.66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3" t="s">
        <v>2985</v>
      </c>
      <c r="D14" s="3040" t="s">
        <v>1680</v>
      </c>
      <c r="E14" s="27">
        <f t="shared" si="6"/>
        <v>2975.85</v>
      </c>
      <c r="F14" s="81"/>
      <c r="G14" s="82">
        <f t="shared" si="7"/>
        <v>11121.2</v>
      </c>
      <c r="H14" s="33">
        <f t="shared" si="8"/>
        <v>9434.94</v>
      </c>
      <c r="I14" s="3042"/>
      <c r="J14" s="3042"/>
      <c r="K14" s="3042">
        <f>面积清单!I4+面积清单!H4</f>
        <v>9382.93</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0</v>
      </c>
      <c r="BC14" s="27">
        <f t="shared" si="15"/>
        <v>9382.93</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3" t="s">
        <v>2986</v>
      </c>
      <c r="D15" s="3040" t="s">
        <v>1680</v>
      </c>
      <c r="E15" s="27">
        <f t="shared" si="6"/>
        <v>2501.4299999999998</v>
      </c>
      <c r="F15" s="81"/>
      <c r="G15" s="82">
        <f t="shared" si="7"/>
        <v>9348.2000000000007</v>
      </c>
      <c r="H15" s="33">
        <f t="shared" si="8"/>
        <v>8845.85</v>
      </c>
      <c r="I15" s="3042"/>
      <c r="J15" s="3042"/>
      <c r="K15" s="3042">
        <f>面积清单!I5+面积清单!H5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3" t="s">
        <v>2987</v>
      </c>
      <c r="D16" s="3040" t="s">
        <v>1680</v>
      </c>
      <c r="E16" s="27">
        <f t="shared" si="6"/>
        <v>1473.44</v>
      </c>
      <c r="F16" s="81"/>
      <c r="G16" s="82">
        <f t="shared" si="7"/>
        <v>5506.45</v>
      </c>
      <c r="H16" s="33">
        <f t="shared" si="8"/>
        <v>5145.71</v>
      </c>
      <c r="I16" s="3042"/>
      <c r="J16" s="3042"/>
      <c r="K16" s="3042">
        <f>面积清单!I6+面积清单!H6</f>
        <v>4858.38</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0</v>
      </c>
      <c r="BC16" s="27">
        <f t="shared" si="15"/>
        <v>4858.38</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3" t="s">
        <v>2988</v>
      </c>
      <c r="D17" s="3040" t="s">
        <v>1680</v>
      </c>
      <c r="E17" s="27">
        <f t="shared" si="6"/>
        <v>1327.26</v>
      </c>
      <c r="F17" s="81"/>
      <c r="G17" s="82">
        <f t="shared" si="7"/>
        <v>4960.16</v>
      </c>
      <c r="H17" s="33">
        <f t="shared" si="8"/>
        <v>4423.58</v>
      </c>
      <c r="I17" s="3042"/>
      <c r="J17" s="3042"/>
      <c r="K17" s="3042">
        <f>面积清单!I7+面积清单!H7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3" t="s">
        <v>2989</v>
      </c>
      <c r="D18" s="3041" t="s">
        <v>1680</v>
      </c>
      <c r="E18" s="87">
        <f t="shared" si="6"/>
        <v>1366.51</v>
      </c>
      <c r="F18" s="88"/>
      <c r="G18" s="89">
        <f t="shared" si="7"/>
        <v>5106.8500000000004</v>
      </c>
      <c r="H18" s="90">
        <f t="shared" si="8"/>
        <v>4634.62</v>
      </c>
      <c r="I18" s="1394"/>
      <c r="J18" s="91"/>
      <c r="K18" s="3042">
        <f>面积清单!I8+面积清单!H8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3" t="s">
        <v>3046</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3" t="s">
        <v>3045</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23" sqref="J23"/>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83" t="s">
        <v>2976</v>
      </c>
      <c r="B1" s="3283" t="s">
        <v>2977</v>
      </c>
      <c r="C1" s="3283" t="s">
        <v>2978</v>
      </c>
      <c r="D1" s="3283" t="s">
        <v>2979</v>
      </c>
      <c r="E1" s="3283"/>
      <c r="F1" s="3283" t="s">
        <v>2982</v>
      </c>
      <c r="G1" s="3283"/>
      <c r="H1" s="3166"/>
      <c r="I1" s="3166"/>
      <c r="J1" s="3166"/>
      <c r="K1" s="3286" t="s">
        <v>3048</v>
      </c>
      <c r="L1" s="3286"/>
      <c r="M1" s="3190"/>
      <c r="N1" s="3190"/>
    </row>
    <row r="2" spans="1:15">
      <c r="A2" s="3283"/>
      <c r="B2" s="3283"/>
      <c r="C2" s="3283"/>
      <c r="D2" s="3165" t="s">
        <v>2980</v>
      </c>
      <c r="E2" s="3165" t="s">
        <v>2981</v>
      </c>
      <c r="F2" s="3165" t="s">
        <v>2980</v>
      </c>
      <c r="G2" s="3165" t="s">
        <v>2983</v>
      </c>
      <c r="H2" s="3174" t="s">
        <v>3047</v>
      </c>
      <c r="I2" s="3174" t="s">
        <v>3049</v>
      </c>
      <c r="J2" s="3174" t="s">
        <v>3053</v>
      </c>
      <c r="K2" s="3174" t="s">
        <v>3051</v>
      </c>
      <c r="L2" s="3174" t="s">
        <v>3052</v>
      </c>
      <c r="M2" s="3174" t="s">
        <v>3050</v>
      </c>
      <c r="N2" s="3174" t="s">
        <v>3167</v>
      </c>
    </row>
    <row r="3" spans="1:15">
      <c r="A3" s="3166">
        <v>1</v>
      </c>
      <c r="B3" s="3165" t="s">
        <v>2984</v>
      </c>
      <c r="C3" s="3166">
        <v>22633.06</v>
      </c>
      <c r="D3" s="3166">
        <v>22197.82</v>
      </c>
      <c r="E3" s="3166">
        <v>435.24</v>
      </c>
      <c r="F3" s="3166">
        <v>14</v>
      </c>
      <c r="G3" s="3166">
        <v>2</v>
      </c>
      <c r="H3" s="3175">
        <v>611.79999999999995</v>
      </c>
      <c r="I3" s="3166">
        <f>D3-K3-H3</f>
        <v>21340.86</v>
      </c>
      <c r="J3" s="3166"/>
      <c r="K3" s="3166">
        <v>245.16</v>
      </c>
      <c r="L3" s="3166">
        <f>342.65</f>
        <v>342.65</v>
      </c>
      <c r="M3" s="3166"/>
      <c r="N3" s="3166">
        <v>92.59</v>
      </c>
    </row>
    <row r="4" spans="1:15">
      <c r="A4" s="3166">
        <v>2</v>
      </c>
      <c r="B4" s="3165" t="s">
        <v>2985</v>
      </c>
      <c r="C4" s="3166">
        <v>11121.2</v>
      </c>
      <c r="D4" s="3166">
        <v>9434.85</v>
      </c>
      <c r="E4" s="3166">
        <v>1686.35</v>
      </c>
      <c r="F4" s="3166">
        <v>8</v>
      </c>
      <c r="G4" s="3166">
        <v>2</v>
      </c>
      <c r="H4" s="3175">
        <v>532.29</v>
      </c>
      <c r="I4" s="3166">
        <f>D4-K4-H4</f>
        <v>8850.64</v>
      </c>
      <c r="J4" s="3166"/>
      <c r="K4" s="3166">
        <v>51.92</v>
      </c>
      <c r="L4" s="3166">
        <f>1634.34</f>
        <v>1634.34</v>
      </c>
      <c r="M4" s="3166"/>
      <c r="N4" s="3166">
        <v>52.01</v>
      </c>
    </row>
    <row r="5" spans="1:15">
      <c r="A5" s="3166">
        <v>3</v>
      </c>
      <c r="B5" s="3165" t="s">
        <v>2986</v>
      </c>
      <c r="C5" s="3166">
        <v>9348.2000000000007</v>
      </c>
      <c r="D5" s="3166">
        <v>8364.02</v>
      </c>
      <c r="E5" s="3166">
        <v>984.18</v>
      </c>
      <c r="F5" s="3166">
        <v>12</v>
      </c>
      <c r="G5" s="3166">
        <v>2</v>
      </c>
      <c r="H5" s="3166"/>
      <c r="I5" s="3166">
        <v>8364.02</v>
      </c>
      <c r="J5" s="3166"/>
      <c r="K5" s="3166"/>
      <c r="L5" s="3166">
        <f>502.35</f>
        <v>502.35</v>
      </c>
      <c r="M5" s="3166"/>
      <c r="N5" s="3166">
        <v>481.83</v>
      </c>
    </row>
    <row r="6" spans="1:15">
      <c r="A6" s="3166">
        <v>4</v>
      </c>
      <c r="B6" s="3165" t="s">
        <v>2987</v>
      </c>
      <c r="C6" s="3166">
        <v>5506.45</v>
      </c>
      <c r="D6" s="3166">
        <v>4909.37</v>
      </c>
      <c r="E6" s="3166">
        <v>597.08000000000004</v>
      </c>
      <c r="F6" s="3166">
        <v>6</v>
      </c>
      <c r="G6" s="3166">
        <v>2</v>
      </c>
      <c r="H6" s="3175">
        <v>597.54999999999995</v>
      </c>
      <c r="I6" s="3166">
        <f>D6-K6-H6</f>
        <v>4260.83</v>
      </c>
      <c r="J6" s="3166"/>
      <c r="K6" s="3166">
        <v>50.99</v>
      </c>
      <c r="L6" s="3166">
        <f>309.75</f>
        <v>309.75</v>
      </c>
      <c r="M6" s="3166"/>
      <c r="N6" s="3166">
        <v>287.33</v>
      </c>
    </row>
    <row r="7" spans="1:15">
      <c r="A7" s="3166">
        <v>5</v>
      </c>
      <c r="B7" s="3165" t="s">
        <v>2988</v>
      </c>
      <c r="C7" s="3166">
        <v>4960.16</v>
      </c>
      <c r="D7" s="3166">
        <v>3896.33</v>
      </c>
      <c r="E7" s="3166">
        <v>1063.83</v>
      </c>
      <c r="F7" s="3166">
        <v>6</v>
      </c>
      <c r="G7" s="3166">
        <v>2</v>
      </c>
      <c r="H7" s="3166"/>
      <c r="I7" s="3166">
        <v>3896.33</v>
      </c>
      <c r="J7" s="3166"/>
      <c r="K7" s="3166"/>
      <c r="L7" s="3166">
        <f>536.58</f>
        <v>536.58000000000004</v>
      </c>
      <c r="M7" s="3166"/>
      <c r="N7" s="3166">
        <v>527.25</v>
      </c>
    </row>
    <row r="8" spans="1:15">
      <c r="A8" s="3166">
        <v>6</v>
      </c>
      <c r="B8" s="3165" t="s">
        <v>2989</v>
      </c>
      <c r="C8" s="3166">
        <v>5106.8500000000004</v>
      </c>
      <c r="D8" s="3166">
        <v>4050.42</v>
      </c>
      <c r="E8" s="3166">
        <v>1056.43</v>
      </c>
      <c r="F8" s="3166">
        <v>6</v>
      </c>
      <c r="G8" s="3166">
        <v>2</v>
      </c>
      <c r="H8" s="3166"/>
      <c r="I8" s="3166">
        <v>4050.42</v>
      </c>
      <c r="J8" s="3166"/>
      <c r="K8" s="3166"/>
      <c r="L8" s="3166">
        <f>472.23</f>
        <v>472.23</v>
      </c>
      <c r="M8" s="3166"/>
      <c r="N8" s="3166">
        <v>584.20000000000005</v>
      </c>
    </row>
    <row r="9" spans="1:15">
      <c r="A9" s="3166">
        <v>7</v>
      </c>
      <c r="B9" s="3165" t="s">
        <v>3046</v>
      </c>
      <c r="C9" s="3166">
        <v>14175.98</v>
      </c>
      <c r="D9" s="3165" t="s">
        <v>2990</v>
      </c>
      <c r="E9" s="3166">
        <v>14175.98</v>
      </c>
      <c r="F9" s="3165" t="s">
        <v>2990</v>
      </c>
      <c r="G9" s="3166">
        <v>2</v>
      </c>
      <c r="H9" s="3166"/>
      <c r="I9" s="3166"/>
      <c r="J9" s="3166">
        <f>12520.46-M9</f>
        <v>5553.4399999999987</v>
      </c>
      <c r="K9" s="3166"/>
      <c r="L9" s="3166">
        <f>1137.81+493.06</f>
        <v>1630.87</v>
      </c>
      <c r="M9" s="3166">
        <v>6967.02</v>
      </c>
      <c r="N9" s="3166">
        <v>24.65</v>
      </c>
    </row>
    <row r="10" spans="1:15">
      <c r="A10" s="3166">
        <v>8</v>
      </c>
      <c r="B10" s="3165" t="s">
        <v>3045</v>
      </c>
      <c r="C10" s="3166">
        <v>36.19</v>
      </c>
      <c r="D10" s="3165">
        <v>36.19</v>
      </c>
      <c r="E10" s="3165" t="s">
        <v>2990</v>
      </c>
      <c r="F10" s="3165">
        <v>1</v>
      </c>
      <c r="G10" s="3165" t="s">
        <v>2990</v>
      </c>
      <c r="H10" s="3166"/>
      <c r="I10" s="3166"/>
      <c r="J10" s="3166"/>
      <c r="K10" s="3166"/>
      <c r="L10" s="3166"/>
      <c r="M10" s="3166">
        <v>36.19</v>
      </c>
      <c r="N10" s="3166"/>
    </row>
    <row r="11" spans="1:15">
      <c r="A11" s="3283" t="s">
        <v>2991</v>
      </c>
      <c r="B11" s="3284"/>
      <c r="C11" s="3166">
        <f>SUM(C3:C10)</f>
        <v>72888.090000000011</v>
      </c>
      <c r="D11" s="3166">
        <f>SUM(D3:D10)</f>
        <v>52889.000000000007</v>
      </c>
      <c r="E11" s="3166">
        <f>SUM(E3:E9)</f>
        <v>19999.09</v>
      </c>
      <c r="F11" s="3166"/>
      <c r="G11" s="3166"/>
      <c r="H11" s="3176">
        <f t="shared" ref="H11:M11" si="0">SUM(H3:H10)</f>
        <v>1741.6399999999999</v>
      </c>
      <c r="I11" s="3176">
        <f t="shared" si="0"/>
        <v>50763.100000000006</v>
      </c>
      <c r="J11" s="3177">
        <f t="shared" si="0"/>
        <v>5553.4399999999987</v>
      </c>
      <c r="K11" s="3176">
        <f t="shared" si="0"/>
        <v>348.07</v>
      </c>
      <c r="L11" s="3177">
        <f t="shared" si="0"/>
        <v>5428.7699999999995</v>
      </c>
      <c r="M11" s="3176">
        <f t="shared" si="0"/>
        <v>7003.21</v>
      </c>
      <c r="N11" s="3176">
        <f>SUM(N3:N10)</f>
        <v>2049.86</v>
      </c>
      <c r="O11" s="3197">
        <f>SUM(H11:N11)</f>
        <v>72888.090000000011</v>
      </c>
    </row>
    <row r="14" spans="1:15">
      <c r="A14" s="3165" t="s">
        <v>3044</v>
      </c>
      <c r="B14" s="3283" t="s">
        <v>3013</v>
      </c>
      <c r="C14" s="3283"/>
      <c r="D14" s="3165" t="s">
        <v>3042</v>
      </c>
      <c r="E14" s="3165" t="s">
        <v>3043</v>
      </c>
    </row>
    <row r="15" spans="1:15">
      <c r="A15" s="3166">
        <v>1</v>
      </c>
      <c r="B15" s="3285" t="s">
        <v>3014</v>
      </c>
      <c r="C15" s="3285"/>
      <c r="D15" s="3166">
        <v>17629.735000000001</v>
      </c>
      <c r="E15" s="3166"/>
    </row>
    <row r="16" spans="1:15">
      <c r="A16" s="3284">
        <v>2</v>
      </c>
      <c r="B16" s="3285" t="s">
        <v>3015</v>
      </c>
      <c r="C16" s="3285"/>
      <c r="D16" s="3166">
        <v>72888.09</v>
      </c>
      <c r="E16" s="3166"/>
    </row>
    <row r="17" spans="1:10">
      <c r="A17" s="3284"/>
      <c r="B17" s="3285" t="s">
        <v>3016</v>
      </c>
      <c r="C17" s="3285"/>
      <c r="D17" s="3166">
        <v>52889</v>
      </c>
      <c r="E17" s="3166"/>
    </row>
    <row r="18" spans="1:10">
      <c r="A18" s="3284"/>
      <c r="B18" s="3283" t="s">
        <v>3017</v>
      </c>
      <c r="C18" s="3165" t="s">
        <v>3018</v>
      </c>
      <c r="D18" s="3166">
        <v>52504.74</v>
      </c>
      <c r="E18" s="3165" t="s">
        <v>3035</v>
      </c>
    </row>
    <row r="19" spans="1:10">
      <c r="A19" s="3284"/>
      <c r="B19" s="3283"/>
      <c r="C19" s="3165" t="s">
        <v>3019</v>
      </c>
      <c r="D19" s="3166">
        <v>384.26</v>
      </c>
      <c r="E19" s="3165" t="s">
        <v>3036</v>
      </c>
    </row>
    <row r="20" spans="1:10">
      <c r="A20" s="3284"/>
      <c r="B20" s="3285" t="s">
        <v>3020</v>
      </c>
      <c r="C20" s="3285"/>
      <c r="D20" s="3166">
        <v>19999.09</v>
      </c>
      <c r="E20" s="3166"/>
      <c r="I20">
        <v>20161.63</v>
      </c>
      <c r="J20">
        <v>6194.24</v>
      </c>
    </row>
    <row r="21" spans="1:10">
      <c r="A21" s="3284"/>
      <c r="B21" s="3283" t="s">
        <v>3021</v>
      </c>
      <c r="C21" s="3165" t="s">
        <v>3022</v>
      </c>
      <c r="D21" s="3166">
        <v>493.06</v>
      </c>
      <c r="E21" s="3166"/>
      <c r="J21">
        <v>2254.0100000000002</v>
      </c>
    </row>
    <row r="22" spans="1:10">
      <c r="A22" s="3284"/>
      <c r="B22" s="3283"/>
      <c r="C22" s="3165" t="s">
        <v>3023</v>
      </c>
      <c r="D22" s="3166">
        <v>1250.46</v>
      </c>
      <c r="E22" s="3166"/>
      <c r="J22">
        <v>98.4</v>
      </c>
    </row>
    <row r="23" spans="1:10">
      <c r="A23" s="3284"/>
      <c r="B23" s="3283"/>
      <c r="C23" s="3165" t="s">
        <v>3024</v>
      </c>
      <c r="D23" s="3166">
        <v>2049.86</v>
      </c>
      <c r="E23" s="3166"/>
      <c r="J23">
        <v>11614.98</v>
      </c>
    </row>
    <row r="24" spans="1:10">
      <c r="A24" s="3284"/>
      <c r="B24" s="3283"/>
      <c r="C24" s="3165" t="s">
        <v>3025</v>
      </c>
      <c r="D24" s="3166">
        <v>4935.71</v>
      </c>
      <c r="E24" s="3166"/>
    </row>
    <row r="25" spans="1:10">
      <c r="A25" s="3284">
        <v>3</v>
      </c>
      <c r="B25" s="3285" t="s">
        <v>3026</v>
      </c>
      <c r="C25" s="3285"/>
      <c r="D25" s="3165" t="s">
        <v>3031</v>
      </c>
      <c r="E25" s="3283" t="s">
        <v>3037</v>
      </c>
    </row>
    <row r="26" spans="1:10">
      <c r="A26" s="3284"/>
      <c r="B26" s="3283" t="s">
        <v>3017</v>
      </c>
      <c r="C26" s="3165" t="s">
        <v>3027</v>
      </c>
      <c r="D26" s="3165" t="s">
        <v>3032</v>
      </c>
      <c r="E26" s="3284"/>
    </row>
    <row r="27" spans="1:10">
      <c r="A27" s="3284"/>
      <c r="B27" s="3283"/>
      <c r="C27" s="3165" t="s">
        <v>3028</v>
      </c>
      <c r="D27" s="3165" t="s">
        <v>3033</v>
      </c>
      <c r="E27" s="3284"/>
    </row>
    <row r="28" spans="1:10">
      <c r="A28" s="3284"/>
      <c r="B28" s="3285" t="s">
        <v>3029</v>
      </c>
      <c r="C28" s="3285"/>
      <c r="D28" s="3165" t="s">
        <v>3034</v>
      </c>
      <c r="E28" s="3166"/>
    </row>
    <row r="29" spans="1:10">
      <c r="A29" s="3166">
        <v>4</v>
      </c>
      <c r="B29" s="3165" t="s">
        <v>3030</v>
      </c>
      <c r="C29" s="3166"/>
      <c r="D29" s="3166">
        <v>3</v>
      </c>
      <c r="E29" s="3166"/>
    </row>
  </sheetData>
  <mergeCells count="20">
    <mergeCell ref="B28:C28"/>
    <mergeCell ref="B25:C25"/>
    <mergeCell ref="B26:B27"/>
    <mergeCell ref="B21:B24"/>
    <mergeCell ref="A25:A28"/>
    <mergeCell ref="K1:L1"/>
    <mergeCell ref="F1:G1"/>
    <mergeCell ref="D1:E1"/>
    <mergeCell ref="C1:C2"/>
    <mergeCell ref="B1:B2"/>
    <mergeCell ref="E25:E27"/>
    <mergeCell ref="B20:C20"/>
    <mergeCell ref="B18:B19"/>
    <mergeCell ref="A1:A2"/>
    <mergeCell ref="A11:B11"/>
    <mergeCell ref="B17:C17"/>
    <mergeCell ref="B16:C16"/>
    <mergeCell ref="B15:C15"/>
    <mergeCell ref="B14:C14"/>
    <mergeCell ref="A16:A24"/>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858</v>
      </c>
      <c r="J2" s="1984"/>
      <c r="K2" s="1984"/>
      <c r="L2" s="1984"/>
    </row>
    <row r="3" spans="1:16" ht="15.75" thickBot="1">
      <c r="A3" s="3297" t="s">
        <v>206</v>
      </c>
      <c r="B3" s="3297"/>
      <c r="C3" s="3297"/>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98"/>
      <c r="B4" s="3299"/>
      <c r="C4" s="3300"/>
      <c r="D4" s="108" t="s">
        <v>204</v>
      </c>
      <c r="E4" s="109" t="s">
        <v>205</v>
      </c>
      <c r="F4" s="1984"/>
      <c r="G4" s="1201"/>
      <c r="H4" s="275" t="s">
        <v>861</v>
      </c>
      <c r="I4" s="1976">
        <f>ROUND(SUMIF('数据-基础表'!I9:AS9,"地上",'数据-基础表'!I5:AS5)/'数据-基础表'!A3,2)</f>
        <v>3</v>
      </c>
      <c r="J4" s="1984"/>
      <c r="K4" s="1984"/>
      <c r="L4" s="1984"/>
    </row>
    <row r="5" spans="1:16">
      <c r="A5" s="110" t="s">
        <v>207</v>
      </c>
      <c r="B5" s="3301" t="s">
        <v>230</v>
      </c>
      <c r="C5" s="3301"/>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301" t="s">
        <v>208</v>
      </c>
      <c r="C6" s="3301"/>
      <c r="D6" s="111">
        <f>ROUND($D$3*E6/$E$3,2)</f>
        <v>17629.740000000002</v>
      </c>
      <c r="E6" s="112">
        <f>E3-E5</f>
        <v>65884.88</v>
      </c>
      <c r="F6" s="1984"/>
      <c r="G6" s="1201"/>
      <c r="H6" s="275" t="s">
        <v>861</v>
      </c>
      <c r="I6" s="1976">
        <f>ROUND(F31/D31,2)</f>
        <v>3</v>
      </c>
      <c r="J6" s="1984"/>
      <c r="K6" s="1984"/>
      <c r="L6" s="1984"/>
    </row>
    <row r="7" spans="1:16" ht="15">
      <c r="A7" s="3293"/>
      <c r="B7" s="3294"/>
      <c r="C7" s="3295"/>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60108.039999999994</v>
      </c>
      <c r="F16" s="1984"/>
      <c r="G16" s="1986"/>
      <c r="H16" s="968" t="s">
        <v>219</v>
      </c>
      <c r="I16" s="969"/>
      <c r="J16" s="1984"/>
      <c r="K16" s="3287" t="s">
        <v>2571</v>
      </c>
      <c r="L16" s="3288"/>
      <c r="M16" s="3288"/>
      <c r="N16" s="3288"/>
      <c r="O16" s="3288"/>
      <c r="P16" s="3289"/>
    </row>
    <row r="17" spans="1:19" ht="15">
      <c r="A17" s="121" t="s">
        <v>216</v>
      </c>
      <c r="B17" s="122" t="s">
        <v>217</v>
      </c>
      <c r="C17" s="2298" t="s">
        <v>2315</v>
      </c>
      <c r="D17" s="108" t="s">
        <v>204</v>
      </c>
      <c r="E17" s="124" t="s">
        <v>205</v>
      </c>
      <c r="F17" s="125"/>
      <c r="G17" s="1365"/>
      <c r="H17" s="970" t="s">
        <v>218</v>
      </c>
      <c r="I17" s="971" t="s">
        <v>2314</v>
      </c>
      <c r="J17" s="1984"/>
      <c r="K17" s="3290" t="s">
        <v>2572</v>
      </c>
      <c r="L17" s="3291"/>
      <c r="M17" s="3292"/>
      <c r="N17" s="3290" t="s">
        <v>2573</v>
      </c>
      <c r="O17" s="3291"/>
      <c r="P17" s="3292"/>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c r="D19" s="111">
        <f t="shared" ref="D19:D26" si="1">ROUND($D$3*E19/$E$3,2)</f>
        <v>0</v>
      </c>
      <c r="E19" s="134">
        <f t="shared" ref="E19:E26" si="2">SUM(F19:G19)</f>
        <v>0</v>
      </c>
      <c r="F19" s="135"/>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49" t="s">
        <v>3054</v>
      </c>
      <c r="D20" s="111">
        <f t="shared" si="1"/>
        <v>14049.43</v>
      </c>
      <c r="E20" s="134">
        <f t="shared" si="2"/>
        <v>52504.74</v>
      </c>
      <c r="F20" s="135">
        <f>'数据-基础表'!K5</f>
        <v>52504.74</v>
      </c>
      <c r="G20" s="1367"/>
      <c r="H20" s="974">
        <f t="shared" ref="H20:H26" si="6">ROUND($D$3*I20/$E$3,2)</f>
        <v>1350.26</v>
      </c>
      <c r="I20" s="116">
        <f t="shared" ref="I20:I26" si="7">IF($I$17="自定义",P20,M20)</f>
        <v>5046.1099999999997</v>
      </c>
      <c r="J20" s="1984"/>
      <c r="K20" s="2632">
        <f t="shared" si="3"/>
        <v>5046.1099999999997</v>
      </c>
      <c r="L20" s="275">
        <f t="shared" si="4"/>
        <v>0</v>
      </c>
      <c r="M20" s="2633">
        <f t="shared" ref="M20:M26" si="8">K20+L20</f>
        <v>5046.1099999999997</v>
      </c>
      <c r="N20" s="2634"/>
      <c r="O20" s="2635"/>
      <c r="P20" s="2636">
        <f t="shared" ref="P20:P26" si="9">N20+O20</f>
        <v>0</v>
      </c>
      <c r="R20" s="275">
        <f t="shared" si="5"/>
        <v>15399.69</v>
      </c>
      <c r="S20" s="2301">
        <f t="shared" si="5"/>
        <v>57550.85</v>
      </c>
    </row>
    <row r="21" spans="1:19">
      <c r="A21" s="138"/>
      <c r="B21" s="115" t="s">
        <v>226</v>
      </c>
      <c r="C21" s="3049" t="s">
        <v>3055</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8" t="s">
        <v>3165</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60108.039999999994</v>
      </c>
      <c r="F27" s="134">
        <f>IF(SUM(F19:F26)=E8,SUM(F19:F26),"地上面积有误")</f>
        <v>52504.74</v>
      </c>
      <c r="G27" s="112">
        <f>SUM(G19:G26)</f>
        <v>7603.2999999999993</v>
      </c>
      <c r="H27" s="975">
        <f>SUM(H19:H26)</f>
        <v>1545.8</v>
      </c>
      <c r="I27" s="976">
        <f>SUM(I19:I26)</f>
        <v>5776.85</v>
      </c>
      <c r="J27" s="1984"/>
      <c r="K27" s="2641">
        <f>SUM(K19:K26)</f>
        <v>5776.85</v>
      </c>
      <c r="L27" s="2642">
        <f>SUM(L19:L26)</f>
        <v>0</v>
      </c>
      <c r="M27" s="2643">
        <f>SUM(M19:M26)</f>
        <v>5776.85</v>
      </c>
      <c r="N27" s="2641">
        <f t="shared" ref="N27:O27" si="10">SUM(N19:N26)</f>
        <v>0</v>
      </c>
      <c r="O27" s="2642">
        <f t="shared" si="10"/>
        <v>0</v>
      </c>
      <c r="P27" s="2644">
        <f>SUM(P19:P26)</f>
        <v>0</v>
      </c>
      <c r="R27" s="2305" t="str">
        <f>IF(SUM(R19:R26)=$D$3,SUM(R19:R26),SUM(R19:R26)&amp;"误差"&amp;ROUND(SUM(R19:R26)-$D$3,2))</f>
        <v>17629.75误差0.01</v>
      </c>
      <c r="S27" s="275" t="str">
        <f>IF(SUM(S19:S26)=$E$3,SUM(S19:S26),SUM(S19:S26)&amp;"误差"&amp;ROUND(SUM(S19:S26)-E3,2))</f>
        <v>65884.89误差0.01</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65884.87999999999</v>
      </c>
      <c r="F31" s="1372">
        <f>F27+F30</f>
        <v>52852.81</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AA26" sqref="AA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2833</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f>'数据-汇总表'!C19</f>
        <v>0</v>
      </c>
      <c r="B6" s="2337" t="str">
        <f>IF(A6=0,"","经营性")</f>
        <v/>
      </c>
      <c r="C6" s="173" t="s">
        <v>1679</v>
      </c>
      <c r="D6" s="2308">
        <f>SUMIF(项目基本情况!D$15:I$15,C6,项目基本情况!D$18:I$18)</f>
        <v>50</v>
      </c>
      <c r="E6" s="2309" t="str">
        <f>IF(B6="","",SUMIF(项目基本情况!D$15:I$15,C6,项目基本情况!D$17:I$17))</f>
        <v/>
      </c>
      <c r="F6" s="174">
        <f>SUMIF(项目基本情况!D$15:I$15,C6,项目基本情况!D$19:I$19)</f>
        <v>47.88</v>
      </c>
      <c r="G6" s="175">
        <f>IF(ISERROR(ROUND(POWER(1+H6,D6-F6)*(POWER(1+H6,F6)-1)/(POWER(1+H6,D6)-1),3)),0,ROUND(POWER(1+H6,D6-F6)*(POWER(1+H6,F6)-1)/(POWER(1+H6,D6)-1),3))</f>
        <v>0</v>
      </c>
      <c r="H6" s="3050"/>
      <c r="I6" s="3050"/>
      <c r="J6" s="176"/>
      <c r="K6" s="179">
        <f>SUMIF('数据-汇总表'!C$19:C$33,'数据-取费表'!A6,'数据-汇总表'!E$19:E$33)</f>
        <v>0</v>
      </c>
      <c r="L6" s="3051"/>
      <c r="M6" s="177">
        <f t="shared" ref="M6:M14" si="0">ROUND(K6*L6/10000,0)</f>
        <v>0</v>
      </c>
      <c r="N6" s="3052"/>
      <c r="O6" s="177">
        <f>IF($N$5="成新度","——",ROUND(M6*N6,0))</f>
        <v>0</v>
      </c>
      <c r="P6" s="178">
        <f>IF($N$5="成新度","——",M6-O6)</f>
        <v>0</v>
      </c>
      <c r="Q6" s="3053"/>
      <c r="R6" s="179">
        <f>SUMIF('数据-汇总表'!C$19:C$33,A6,'数据-汇总表'!R$19:R$33)</f>
        <v>0</v>
      </c>
      <c r="S6" s="132">
        <f>IF('数据-汇总表'!$I$17="按面积比例",SUMIF('数据-汇总表'!C$19:C$33,A6,'数据-汇总表'!K$19:K$33),SUMIF('数据-汇总表'!C$19:C$33,A6,'数据-汇总表'!N$19:N$33))</f>
        <v>0</v>
      </c>
      <c r="T6" s="2234">
        <f>IF($T$4="按面积比例",IF(ISERROR(ROUND($M$14*S6/S$16,0)),"0",ROUND($M$14*S6/S$16,0)),"需自行计算录入")</f>
        <v>0</v>
      </c>
      <c r="U6" s="180"/>
      <c r="V6" s="181"/>
      <c r="W6" s="181"/>
      <c r="X6" s="2321"/>
      <c r="Y6" s="182"/>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64">
        <v>1.4999999999999999E-2</v>
      </c>
      <c r="AN6" s="2416" t="s">
        <v>3059</v>
      </c>
      <c r="AO6" s="2000"/>
      <c r="AP6" s="1204">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0.05</v>
      </c>
      <c r="J7" s="176">
        <v>0.08</v>
      </c>
      <c r="K7" s="179">
        <f>SUMIF('数据-汇总表'!C$19:C$33,'数据-取费表'!A7,'数据-汇总表'!E$19:E$33)</f>
        <v>52504.74</v>
      </c>
      <c r="L7" s="3051">
        <v>2600</v>
      </c>
      <c r="M7" s="177">
        <f t="shared" si="0"/>
        <v>13651</v>
      </c>
      <c r="N7" s="3052">
        <v>0</v>
      </c>
      <c r="O7" s="177">
        <f t="shared" ref="O7:O14" si="3">IF($N$5="成新度","——",ROUND(M7*N7,0))</f>
        <v>0</v>
      </c>
      <c r="P7" s="178">
        <f t="shared" ref="P7:P14" si="4">IF($N$5="成新度","——",M7-O7)</f>
        <v>13651</v>
      </c>
      <c r="Q7" s="3053">
        <v>0.2</v>
      </c>
      <c r="R7" s="179">
        <f>SUMIF('数据-汇总表'!C$19:C$33,A7,'数据-汇总表'!R$19:R$33)</f>
        <v>15399.69</v>
      </c>
      <c r="S7" s="132">
        <f>IF('数据-汇总表'!$I$17="按面积比例",SUMIF('数据-汇总表'!C$19:C$33,A7,'数据-汇总表'!K$19:K$33),SUMIF('数据-汇总表'!C$19:C$33,A7,'数据-汇总表'!N$19:N$33))</f>
        <v>5046.1099999999997</v>
      </c>
      <c r="T7" s="2234">
        <f t="shared" ref="T7:T13" si="5">IF($T$4="按面积比例",IF(ISERROR(ROUND($M$14*S7/S$16,0)),"0",ROUND($M$14*S7/S$16,0)),"需自行计算录入")</f>
        <v>0</v>
      </c>
      <c r="U7" s="180">
        <v>5</v>
      </c>
      <c r="V7" s="181">
        <v>0</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3060</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3002</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4.4999999999999998E-2</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0</v>
      </c>
      <c r="U8" s="180">
        <v>800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3061</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3168</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4.4999999999999998E-2</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0</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3171</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4.3999999999999997E-2</v>
      </c>
      <c r="I16" s="204"/>
      <c r="J16" s="204"/>
      <c r="K16" s="205">
        <f>SUM(K6:K15)</f>
        <v>65884.87999999999</v>
      </c>
      <c r="L16" s="206">
        <f>ROUND(M16*10000/SUM(K6:K14),0)</f>
        <v>2326</v>
      </c>
      <c r="M16" s="206">
        <f>SUM(M6:M14)</f>
        <v>15324</v>
      </c>
      <c r="N16" s="207">
        <f>ROUND(SUMPRODUCT(M6:M14,N6:N14)/M16,3)</f>
        <v>0</v>
      </c>
      <c r="O16" s="206">
        <f>SUM(O6:O14)</f>
        <v>0</v>
      </c>
      <c r="P16" s="206">
        <f>SUM(P6:P14)</f>
        <v>15324</v>
      </c>
      <c r="Q16" s="208">
        <f>ROUND(SUMPRODUCT(Q6:Q13,K6:K13)/SUMPRODUCT((Q6:Q13&gt;0)*(K6:K13)),2)</f>
        <v>0.19</v>
      </c>
      <c r="R16" s="2311">
        <f>SUM(R6:R13)</f>
        <v>17629.75</v>
      </c>
      <c r="S16" s="209">
        <f>SUM(S6:S13)</f>
        <v>5776.85</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2907</v>
      </c>
      <c r="D53" s="3102"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2909</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2910</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2911</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2912</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2913</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2914</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1665</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2925</v>
      </c>
      <c r="D3" s="2009"/>
      <c r="E3" s="1229" t="s">
        <v>1668</v>
      </c>
      <c r="F3" s="1230" t="s">
        <v>1656</v>
      </c>
      <c r="G3" s="3110" t="s">
        <v>2924</v>
      </c>
      <c r="H3" s="2008"/>
      <c r="I3" s="2008"/>
      <c r="J3" s="2008"/>
      <c r="K3" s="2008"/>
      <c r="L3" s="2008"/>
      <c r="M3" s="2008"/>
      <c r="N3" s="2008"/>
      <c r="O3" s="2008"/>
      <c r="P3" s="2008"/>
      <c r="Q3" s="2008"/>
      <c r="R3" s="2008"/>
    </row>
    <row r="4" spans="1:18" ht="41.25">
      <c r="A4" s="1229"/>
      <c r="B4" s="1231" t="s">
        <v>1669</v>
      </c>
      <c r="C4" s="3107" t="s">
        <v>2926</v>
      </c>
      <c r="D4" s="2009"/>
      <c r="E4" s="1232"/>
      <c r="F4" s="1233" t="s">
        <v>1670</v>
      </c>
      <c r="G4" s="3108" t="s">
        <v>2921</v>
      </c>
      <c r="H4" s="2008"/>
      <c r="I4" s="2008"/>
      <c r="J4" s="2008"/>
      <c r="K4" s="2008"/>
      <c r="L4" s="2008"/>
      <c r="M4" s="2008"/>
      <c r="N4" s="2008"/>
      <c r="O4" s="2008"/>
      <c r="P4" s="2008"/>
      <c r="Q4" s="2008"/>
      <c r="R4" s="2008"/>
    </row>
    <row r="5" spans="1:18" ht="41.25">
      <c r="A5" s="1229"/>
      <c r="B5" s="1231" t="s">
        <v>1671</v>
      </c>
      <c r="C5" s="3107" t="s">
        <v>2927</v>
      </c>
      <c r="D5" s="2009"/>
      <c r="E5" s="1232"/>
      <c r="F5" s="1231" t="s">
        <v>2551</v>
      </c>
      <c r="G5" s="3108" t="s">
        <v>2922</v>
      </c>
      <c r="H5" s="2008"/>
      <c r="I5" s="2008"/>
      <c r="J5" s="2008"/>
      <c r="K5" s="2008"/>
      <c r="L5" s="2008"/>
      <c r="M5" s="2008"/>
      <c r="N5" s="2008"/>
      <c r="O5" s="2008"/>
      <c r="P5" s="2008"/>
      <c r="Q5" s="2008"/>
      <c r="R5" s="2008"/>
    </row>
    <row r="6" spans="1:18" ht="54">
      <c r="A6" s="1229"/>
      <c r="B6" s="1231" t="s">
        <v>1657</v>
      </c>
      <c r="C6" s="3108" t="s">
        <v>2921</v>
      </c>
      <c r="D6" s="2009"/>
      <c r="E6" s="1232"/>
      <c r="F6" s="1231" t="s">
        <v>2552</v>
      </c>
      <c r="G6" s="3108" t="s">
        <v>2919</v>
      </c>
      <c r="H6" s="2008"/>
      <c r="I6" s="2008"/>
      <c r="J6" s="2008"/>
      <c r="K6" s="2008"/>
      <c r="L6" s="2008"/>
      <c r="M6" s="2008"/>
      <c r="N6" s="2008"/>
      <c r="O6" s="2008"/>
      <c r="P6" s="2008"/>
      <c r="Q6" s="2008"/>
      <c r="R6" s="2008"/>
    </row>
    <row r="7" spans="1:18" ht="41.25" thickBot="1">
      <c r="A7" s="1229"/>
      <c r="B7" s="1231" t="s">
        <v>2551</v>
      </c>
      <c r="C7" s="3108" t="s">
        <v>2922</v>
      </c>
      <c r="D7" s="2010"/>
      <c r="E7" s="1234"/>
      <c r="F7" s="1235" t="s">
        <v>1672</v>
      </c>
      <c r="G7" s="3111" t="s">
        <v>2923</v>
      </c>
      <c r="H7" s="2008"/>
      <c r="I7" s="2008"/>
      <c r="J7" s="2008"/>
      <c r="K7" s="2008"/>
      <c r="L7" s="2008"/>
      <c r="M7" s="2008"/>
      <c r="N7" s="2008"/>
      <c r="O7" s="2008"/>
      <c r="P7" s="2008"/>
      <c r="Q7" s="2008"/>
      <c r="R7" s="2008"/>
    </row>
    <row r="8" spans="1:18" ht="27">
      <c r="A8" s="1229"/>
      <c r="B8" s="1231" t="s">
        <v>2552</v>
      </c>
      <c r="C8" s="3108" t="s">
        <v>2919</v>
      </c>
      <c r="D8" s="2010"/>
      <c r="E8" s="2010"/>
      <c r="F8" s="1553"/>
      <c r="G8" s="1553"/>
      <c r="H8" s="2008"/>
      <c r="I8" s="2008"/>
      <c r="J8" s="2008"/>
      <c r="K8" s="2008"/>
      <c r="L8" s="2008"/>
      <c r="M8" s="2008"/>
      <c r="N8" s="2008"/>
      <c r="O8" s="2008"/>
      <c r="P8" s="2008"/>
      <c r="Q8" s="2008"/>
      <c r="R8" s="2008"/>
    </row>
    <row r="9" spans="1:18" ht="40.5">
      <c r="A9" s="1229"/>
      <c r="B9" s="1231" t="s">
        <v>1658</v>
      </c>
      <c r="C9" s="3107"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2849</v>
      </c>
      <c r="B1" s="3070">
        <f>SUM(B14:B23)</f>
        <v>65884.88</v>
      </c>
      <c r="C1" s="3071"/>
      <c r="D1" s="3071"/>
      <c r="E1" s="3071"/>
      <c r="F1" s="3071"/>
    </row>
    <row r="2" spans="1:9" ht="16.5">
      <c r="A2" s="3070" t="s">
        <v>2850</v>
      </c>
      <c r="B2" s="3070">
        <f>SUM(C14:C23)</f>
        <v>17629.740000000002</v>
      </c>
      <c r="C2" s="3071"/>
      <c r="D2" s="3071"/>
      <c r="E2" s="3071"/>
      <c r="F2" s="3071"/>
    </row>
    <row r="3" spans="1:9" ht="16.5">
      <c r="A3" s="3070" t="s">
        <v>2851</v>
      </c>
      <c r="B3" s="3072">
        <f>项目基本情况!D3</f>
        <v>43109</v>
      </c>
      <c r="C3" s="3071"/>
      <c r="D3" s="3071"/>
      <c r="E3" s="3071"/>
      <c r="F3" s="3071"/>
    </row>
    <row r="4" spans="1:9" ht="33">
      <c r="A4" s="3070" t="s">
        <v>2852</v>
      </c>
      <c r="B4" s="3070" t="s">
        <v>2853</v>
      </c>
      <c r="C4" s="3070" t="s">
        <v>2854</v>
      </c>
      <c r="D4" s="3070" t="s">
        <v>2855</v>
      </c>
      <c r="E4" s="3071"/>
      <c r="F4" s="3071"/>
    </row>
    <row r="5" spans="1:9" ht="16.5">
      <c r="A5" s="3070" t="s">
        <v>2856</v>
      </c>
      <c r="B5" s="3070">
        <f ca="1">SUM(D14:D23)</f>
        <v>94438</v>
      </c>
      <c r="C5" s="3070">
        <f ca="1">ROUND(B5*10000/$B$1,0)</f>
        <v>14334</v>
      </c>
      <c r="D5" s="3070">
        <f ca="1">ROUND(B5*10000/$B$2,0)</f>
        <v>53567</v>
      </c>
      <c r="E5" s="3071"/>
      <c r="F5" s="3071"/>
    </row>
    <row r="6" spans="1:9" ht="16.5">
      <c r="A6" s="3070" t="s">
        <v>2857</v>
      </c>
      <c r="B6" s="3070">
        <f ca="1">SUM(G14:G23)</f>
        <v>94438</v>
      </c>
      <c r="C6" s="3070">
        <f t="shared" ref="C6:C8" ca="1" si="0">ROUND(B6*10000/$B$1,0)</f>
        <v>14334</v>
      </c>
      <c r="D6" s="3070">
        <f t="shared" ref="D6:D8" ca="1" si="1">ROUND(B6*10000/$B$2,0)</f>
        <v>53567</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65884.88</v>
      </c>
      <c r="C14" s="3074">
        <f>结果表!K38</f>
        <v>17629.740000000002</v>
      </c>
      <c r="D14" s="3074">
        <f ca="1">结果表!C42</f>
        <v>94438</v>
      </c>
      <c r="E14" s="3074">
        <f ca="1">ROUND(D14*10000/B14,0)</f>
        <v>14334</v>
      </c>
      <c r="F14" s="3074">
        <f ca="1">ROUND(D14*10000/C14,0)</f>
        <v>53567</v>
      </c>
      <c r="G14" s="3074">
        <f ca="1">结果表!C44</f>
        <v>94438</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M18" sqref="M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3163</v>
      </c>
      <c r="G1" s="311"/>
      <c r="H1" s="311"/>
      <c r="I1" s="311"/>
      <c r="J1" s="2029"/>
      <c r="K1" s="2029"/>
      <c r="L1" s="2029"/>
      <c r="M1" s="2029"/>
      <c r="N1" s="2029"/>
      <c r="O1" s="2029"/>
      <c r="P1" s="2029"/>
      <c r="Q1" s="2029"/>
      <c r="R1" s="2029"/>
      <c r="S1" s="2029"/>
      <c r="T1" s="2029"/>
      <c r="U1" s="2029"/>
      <c r="V1" s="2029"/>
    </row>
    <row r="2" spans="1:22" ht="21.75" customHeight="1" thickBot="1">
      <c r="A2" s="3344" t="str">
        <f>项目基本情况!K2</f>
        <v>北京市海淀区北部地区整体开发地块出让国有建设用地使用权</v>
      </c>
      <c r="B2" s="3345"/>
      <c r="C2" s="3346"/>
      <c r="D2" s="3346"/>
      <c r="E2" s="3346"/>
      <c r="F2" s="3346"/>
      <c r="G2" s="3345"/>
      <c r="H2" s="3345"/>
      <c r="I2" s="3347"/>
      <c r="J2" s="2030"/>
      <c r="K2" s="2029"/>
      <c r="L2" s="2029"/>
      <c r="M2" s="2029"/>
      <c r="N2" s="2029"/>
      <c r="O2" s="2029"/>
      <c r="P2" s="2029"/>
      <c r="Q2" s="2029"/>
      <c r="R2" s="2029"/>
      <c r="S2" s="2029"/>
      <c r="T2" s="2029"/>
      <c r="U2" s="2029"/>
      <c r="V2" s="2029"/>
    </row>
    <row r="3" spans="1:22" ht="14.25">
      <c r="A3" s="3336" t="s">
        <v>298</v>
      </c>
      <c r="B3" s="3337"/>
      <c r="C3" s="3337"/>
      <c r="D3" s="3337"/>
      <c r="E3" s="3337"/>
      <c r="F3" s="3337"/>
      <c r="G3" s="3337"/>
      <c r="H3" s="3337"/>
      <c r="I3" s="3337"/>
      <c r="J3" s="2030"/>
      <c r="K3" s="2029"/>
      <c r="L3" s="2029"/>
      <c r="M3" s="2029"/>
      <c r="N3" s="2029"/>
      <c r="O3" s="2029"/>
      <c r="P3" s="2029"/>
      <c r="Q3" s="2029"/>
      <c r="R3" s="2029"/>
      <c r="S3" s="2029"/>
      <c r="T3" s="2029"/>
      <c r="U3" s="2029"/>
      <c r="V3" s="2029"/>
    </row>
    <row r="4" spans="1:22" ht="14.25">
      <c r="A4" s="258" t="s">
        <v>299</v>
      </c>
      <c r="B4" s="259" t="s">
        <v>300</v>
      </c>
      <c r="C4" s="260" t="s">
        <v>3190</v>
      </c>
      <c r="D4" s="260" t="s">
        <v>3070</v>
      </c>
      <c r="E4" s="3305" t="s">
        <v>301</v>
      </c>
      <c r="F4" s="3306"/>
      <c r="G4" s="3306"/>
      <c r="H4" s="3306"/>
      <c r="I4" s="333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04" t="s">
        <v>302</v>
      </c>
      <c r="B5" s="3330">
        <v>25</v>
      </c>
      <c r="C5" s="3328"/>
      <c r="D5" s="3335"/>
      <c r="E5" s="261" t="s">
        <v>303</v>
      </c>
      <c r="F5" s="262"/>
      <c r="G5" s="262"/>
      <c r="H5" s="262"/>
      <c r="I5" s="263"/>
      <c r="J5" s="2030"/>
      <c r="K5" s="2029"/>
      <c r="L5" s="2029"/>
      <c r="M5" s="2029"/>
      <c r="N5" s="2029"/>
      <c r="O5" s="2029"/>
      <c r="P5" s="2029"/>
      <c r="Q5" s="2029"/>
      <c r="R5" s="2029"/>
      <c r="S5" s="2029"/>
      <c r="T5" s="2029"/>
      <c r="U5" s="2029"/>
      <c r="V5" s="2029"/>
    </row>
    <row r="6" spans="1:22" ht="14.25">
      <c r="A6" s="3304"/>
      <c r="B6" s="3330"/>
      <c r="C6" s="3338"/>
      <c r="D6" s="3335"/>
      <c r="E6" s="261" t="s">
        <v>304</v>
      </c>
      <c r="F6" s="262"/>
      <c r="G6" s="262"/>
      <c r="H6" s="262"/>
      <c r="I6" s="263"/>
      <c r="J6" s="2030"/>
      <c r="K6" s="2029"/>
      <c r="L6" s="2029"/>
      <c r="M6" s="2029"/>
      <c r="N6" s="2029"/>
      <c r="O6" s="2029"/>
      <c r="P6" s="2029"/>
      <c r="Q6" s="2029"/>
      <c r="R6" s="2029"/>
      <c r="S6" s="2029"/>
      <c r="T6" s="2029"/>
      <c r="U6" s="2029"/>
      <c r="V6" s="2029"/>
    </row>
    <row r="7" spans="1:22" ht="14.25">
      <c r="A7" s="3304"/>
      <c r="B7" s="3330"/>
      <c r="C7" s="3329"/>
      <c r="D7" s="3335"/>
      <c r="E7" s="261" t="s">
        <v>305</v>
      </c>
      <c r="F7" s="262"/>
      <c r="G7" s="262"/>
      <c r="H7" s="262"/>
      <c r="I7" s="263"/>
      <c r="J7" s="2030"/>
      <c r="K7" s="2029"/>
      <c r="L7" s="2029"/>
      <c r="M7" s="2029"/>
      <c r="N7" s="2029"/>
      <c r="O7" s="2029"/>
      <c r="P7" s="2029"/>
      <c r="Q7" s="2029"/>
      <c r="R7" s="2029"/>
      <c r="S7" s="2029"/>
      <c r="T7" s="2029"/>
      <c r="U7" s="2029"/>
      <c r="V7" s="2029"/>
    </row>
    <row r="8" spans="1:22" ht="14.25">
      <c r="A8" s="3304" t="s">
        <v>306</v>
      </c>
      <c r="B8" s="3330">
        <v>15</v>
      </c>
      <c r="C8" s="3328"/>
      <c r="D8" s="3335"/>
      <c r="E8" s="261" t="s">
        <v>307</v>
      </c>
      <c r="F8" s="262"/>
      <c r="G8" s="262"/>
      <c r="H8" s="262"/>
      <c r="I8" s="263"/>
      <c r="J8" s="2030"/>
      <c r="K8" s="2029"/>
      <c r="L8" s="2029"/>
      <c r="M8" s="2029"/>
      <c r="N8" s="2029"/>
      <c r="O8" s="2029"/>
      <c r="P8" s="2029"/>
      <c r="Q8" s="2029"/>
      <c r="R8" s="2029"/>
      <c r="S8" s="2029"/>
      <c r="T8" s="2029"/>
      <c r="U8" s="2029"/>
      <c r="V8" s="2029"/>
    </row>
    <row r="9" spans="1:22" ht="14.25">
      <c r="A9" s="3304"/>
      <c r="B9" s="3330"/>
      <c r="C9" s="3329"/>
      <c r="D9" s="3335"/>
      <c r="E9" s="261" t="s">
        <v>308</v>
      </c>
      <c r="F9" s="262"/>
      <c r="G9" s="262"/>
      <c r="H9" s="262"/>
      <c r="I9" s="263"/>
      <c r="J9" s="2030"/>
      <c r="K9" s="2029"/>
      <c r="L9" s="2029"/>
      <c r="M9" s="2029"/>
      <c r="N9" s="2029"/>
      <c r="O9" s="2029"/>
      <c r="P9" s="2029"/>
      <c r="Q9" s="2029"/>
      <c r="R9" s="2029"/>
      <c r="S9" s="2029"/>
      <c r="T9" s="2029"/>
      <c r="U9" s="2029"/>
      <c r="V9" s="2029"/>
    </row>
    <row r="10" spans="1:22" ht="14.25">
      <c r="A10" s="3304" t="s">
        <v>309</v>
      </c>
      <c r="B10" s="3330">
        <v>15</v>
      </c>
      <c r="C10" s="3328"/>
      <c r="D10" s="333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04"/>
      <c r="B11" s="3330"/>
      <c r="C11" s="3329"/>
      <c r="D11" s="333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04" t="s">
        <v>312</v>
      </c>
      <c r="B12" s="3330">
        <v>15</v>
      </c>
      <c r="C12" s="3328"/>
      <c r="D12" s="333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04"/>
      <c r="B13" s="3330"/>
      <c r="C13" s="3329"/>
      <c r="D13" s="333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04" t="s">
        <v>315</v>
      </c>
      <c r="B14" s="3330">
        <v>30</v>
      </c>
      <c r="C14" s="3331">
        <v>4</v>
      </c>
      <c r="D14" s="3334">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04"/>
      <c r="B15" s="3330"/>
      <c r="C15" s="3332"/>
      <c r="D15" s="333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04"/>
      <c r="B16" s="3330"/>
      <c r="C16" s="3333"/>
      <c r="D16" s="333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122966</v>
      </c>
      <c r="D19" s="271">
        <f ca="1">SUMIF(INDIRECT("'"&amp;D4&amp;"'"&amp;"!A:A"),结果表!B19,INDIRECT("'"&amp;D4&amp;"'"&amp;"!B:B"))</f>
        <v>75420</v>
      </c>
      <c r="E19" s="268" t="s">
        <v>323</v>
      </c>
      <c r="F19" s="269" t="s">
        <v>322</v>
      </c>
      <c r="G19" s="272">
        <f ca="1">ROUND(C19*$C$18+D19*$D$18,0)</f>
        <v>94438</v>
      </c>
      <c r="H19" s="273" t="s">
        <v>324</v>
      </c>
      <c r="I19" s="311"/>
      <c r="J19" s="2029"/>
      <c r="K19" s="2029">
        <f ca="1">G19*10000/'数据-汇总表'!F31</f>
        <v>17868.113351021449</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18664</v>
      </c>
      <c r="D20" s="277">
        <f ca="1">SUMIF(INDIRECT("'"&amp;D4&amp;"'"&amp;"!A:A"),结果表!B20,INDIRECT("'"&amp;D4&amp;"'"&amp;"!B:B"))</f>
        <v>11447</v>
      </c>
      <c r="E20" s="274"/>
      <c r="F20" s="275" t="s">
        <v>325</v>
      </c>
      <c r="G20" s="278">
        <f ca="1">ROUND(C20*$C$18+D20*$D$18,0)</f>
        <v>14334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69749</v>
      </c>
      <c r="D21" s="151">
        <f ca="1">SUMIF(INDIRECT("'"&amp;D4&amp;"'"&amp;"!A:A"),结果表!B21,INDIRECT("'"&amp;D4&amp;"'"&amp;"!B:B"))</f>
        <v>42780</v>
      </c>
      <c r="E21" s="274"/>
      <c r="F21" s="280" t="s">
        <v>327</v>
      </c>
      <c r="G21" s="282">
        <f ca="1">ROUND(C21*$C$18+D21*$D$18,0)</f>
        <v>53568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0.63041633518960483</v>
      </c>
      <c r="E22" s="284"/>
      <c r="F22" s="285"/>
      <c r="G22" s="286">
        <f ca="1">ROUND(G19/('数据-汇总表'!D3/666.67),0)</f>
        <v>3571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1"/>
      <c r="B25" s="1321" t="s">
        <v>331</v>
      </c>
      <c r="C25" s="290">
        <f>IF(B30=0,0,C30)</f>
        <v>0</v>
      </c>
      <c r="D25" s="291"/>
      <c r="E25" s="311"/>
      <c r="F25" s="311"/>
      <c r="G25" s="311"/>
      <c r="H25" s="311"/>
      <c r="I25" s="311"/>
      <c r="J25" s="2029"/>
      <c r="K25" s="1255" t="str">
        <f ca="1">项目基本情况!B16&amp;"国有建设用地使用权价格："&amp;O38&amp;"万元"</f>
        <v>出让国有建设用地使用权价格：94438万元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大写金额：人民币玖亿肆仟肆佰叁拾捌万元整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单位面积地价：53567元/平方米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楼面地价：14334元/平方米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抵押价格：94438万元</v>
      </c>
      <c r="L29" s="1252"/>
      <c r="M29" s="1252"/>
      <c r="N29" s="1252"/>
      <c r="O29" s="1251"/>
      <c r="P29" s="2029"/>
      <c r="V29" s="2029"/>
    </row>
    <row r="30" spans="1:26" ht="18.75" thickBot="1">
      <c r="A30" s="3163" t="s">
        <v>336</v>
      </c>
      <c r="B30" s="309"/>
      <c r="C30" s="309"/>
      <c r="D30" s="310"/>
      <c r="E30" s="3164" t="s">
        <v>2975</v>
      </c>
      <c r="F30" s="311"/>
      <c r="G30" s="311"/>
      <c r="H30" s="311"/>
      <c r="I30" s="311"/>
      <c r="J30" s="2029"/>
      <c r="K30" s="1258" t="str">
        <f ca="1">IF(K29="——","——","大写金额：人民币"&amp;NUMBERSTRING(INT(O39*10000),2)&amp;"元整")</f>
        <v>大写金额：人民币玖亿肆仟肆佰叁拾捌万元整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94438</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14334</v>
      </c>
      <c r="D33" s="1385" t="s">
        <v>1693</v>
      </c>
      <c r="E33" s="331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53567</v>
      </c>
      <c r="D34" s="1387" t="s">
        <v>1693</v>
      </c>
      <c r="E34" s="3355"/>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3571</v>
      </c>
      <c r="D35" s="1390" t="s">
        <v>1695</v>
      </c>
      <c r="E35" s="3356"/>
      <c r="F35" s="301" t="s">
        <v>342</v>
      </c>
      <c r="G35" s="982"/>
      <c r="H35" s="981" t="s">
        <v>343</v>
      </c>
      <c r="I35" s="311"/>
      <c r="J35" s="2029"/>
      <c r="K35" s="3325" t="s">
        <v>350</v>
      </c>
      <c r="L35" s="3325" t="s">
        <v>351</v>
      </c>
      <c r="M35" s="1264" t="s">
        <v>352</v>
      </c>
      <c r="N35" s="3325" t="s">
        <v>353</v>
      </c>
      <c r="O35" s="3325" t="s">
        <v>354</v>
      </c>
      <c r="P35" s="2029"/>
      <c r="V35" s="2029"/>
    </row>
    <row r="36" spans="1:26" ht="16.5" customHeight="1">
      <c r="A36" s="303" t="s">
        <v>344</v>
      </c>
      <c r="B36" s="304" t="s">
        <v>333</v>
      </c>
      <c r="C36" s="305" t="s">
        <v>345</v>
      </c>
      <c r="D36" s="305" t="s">
        <v>346</v>
      </c>
      <c r="E36" s="306" t="s">
        <v>347</v>
      </c>
      <c r="F36" s="311"/>
      <c r="G36" s="311"/>
      <c r="H36" s="311"/>
      <c r="I36" s="311"/>
      <c r="J36" s="2031"/>
      <c r="K36" s="3326"/>
      <c r="L36" s="3326"/>
      <c r="M36" s="1266" t="s">
        <v>355</v>
      </c>
      <c r="N36" s="3326"/>
      <c r="O36" s="3326"/>
      <c r="P36" s="2029"/>
      <c r="V36" s="2029"/>
    </row>
    <row r="37" spans="1:26" ht="16.5" customHeight="1" thickBot="1">
      <c r="A37" s="1260" t="s">
        <v>348</v>
      </c>
      <c r="B37" s="307">
        <f>'数据-汇总表'!G21</f>
        <v>5553.4399999999987</v>
      </c>
      <c r="C37" s="294">
        <f>ROUND(12139*0.15*0.25,0)</f>
        <v>455</v>
      </c>
      <c r="D37" s="3199">
        <v>3.0499999999999999E-2</v>
      </c>
      <c r="E37" s="295">
        <f>ROUND(B37*C37*(1+D37)/10000,0)</f>
        <v>260</v>
      </c>
      <c r="F37" s="311"/>
      <c r="G37" s="311"/>
      <c r="H37" s="311"/>
      <c r="I37" s="311"/>
      <c r="J37" s="2031"/>
      <c r="K37" s="3327"/>
      <c r="L37" s="3327"/>
      <c r="M37" s="1267"/>
      <c r="N37" s="3327"/>
      <c r="O37" s="3327"/>
      <c r="P37" s="2029"/>
      <c r="V37" s="2029"/>
    </row>
    <row r="38" spans="1:26" ht="16.5" customHeight="1" thickBot="1">
      <c r="A38" s="1260" t="s">
        <v>349</v>
      </c>
      <c r="B38" s="307">
        <f>'数据-汇总表'!G22</f>
        <v>2049.86</v>
      </c>
      <c r="C38" s="294">
        <f>ROUND(12139*0.2*0.25,0)</f>
        <v>607</v>
      </c>
      <c r="D38" s="3199">
        <v>3.0499999999999999E-2</v>
      </c>
      <c r="E38" s="295">
        <f>ROUND(B38*C38*(1+D38)/10000,0)</f>
        <v>128</v>
      </c>
      <c r="F38" s="311"/>
      <c r="G38" s="311"/>
      <c r="H38" s="311"/>
      <c r="I38" s="311"/>
      <c r="J38" s="2031"/>
      <c r="K38" s="1268">
        <f>'数据-汇总表'!D3</f>
        <v>17629.740000000002</v>
      </c>
      <c r="L38" s="1269">
        <f>'数据-汇总表'!E3</f>
        <v>65884.88</v>
      </c>
      <c r="M38" s="1269">
        <f ca="1">C34</f>
        <v>53567</v>
      </c>
      <c r="N38" s="1269">
        <f ca="1">C33</f>
        <v>14334</v>
      </c>
      <c r="O38" s="1270">
        <f ca="1">C32</f>
        <v>94438</v>
      </c>
      <c r="P38" s="2029"/>
      <c r="V38" s="2029"/>
    </row>
    <row r="39" spans="1:26" ht="16.5" customHeight="1" thickBot="1">
      <c r="A39" s="1265"/>
      <c r="B39" s="308"/>
      <c r="C39" s="309"/>
      <c r="D39" s="309"/>
      <c r="E39" s="310"/>
      <c r="F39" s="311"/>
      <c r="G39" s="311"/>
      <c r="H39" s="311"/>
      <c r="I39" s="311"/>
      <c r="J39" s="2031"/>
      <c r="K39" s="3374" t="str">
        <f>MID(A44,3,LEN(A44)-2)</f>
        <v>抵押价格</v>
      </c>
      <c r="L39" s="3375"/>
      <c r="M39" s="3375"/>
      <c r="N39" s="3376"/>
      <c r="O39" s="1392">
        <f ca="1">C44</f>
        <v>94438</v>
      </c>
      <c r="P39" s="2029"/>
      <c r="V39" s="2029"/>
    </row>
    <row r="40" spans="1:26" ht="19.5" thickBot="1">
      <c r="A40" s="104" t="s">
        <v>874</v>
      </c>
      <c r="B40" s="311"/>
      <c r="C40" s="311"/>
      <c r="D40" s="311"/>
      <c r="E40" s="311"/>
      <c r="F40" s="311"/>
      <c r="G40" s="311"/>
      <c r="H40" s="311"/>
      <c r="I40" s="311"/>
      <c r="J40" s="2031"/>
      <c r="K40" s="3374" t="str">
        <f t="shared" ref="K40:K41" si="0">MID(A45,3,LEN(A45)-2)</f>
        <v/>
      </c>
      <c r="L40" s="3375"/>
      <c r="M40" s="3375"/>
      <c r="N40" s="3376"/>
      <c r="O40" s="1392" t="str">
        <f>C45</f>
        <v>——</v>
      </c>
      <c r="P40" s="2029"/>
      <c r="V40" s="2029"/>
    </row>
    <row r="41" spans="1:26" ht="16.5" thickBot="1">
      <c r="A41" s="312" t="s">
        <v>356</v>
      </c>
      <c r="B41" s="313"/>
      <c r="C41" s="314" t="s">
        <v>357</v>
      </c>
      <c r="D41" s="315" t="s">
        <v>358</v>
      </c>
      <c r="E41" s="315" t="s">
        <v>359</v>
      </c>
      <c r="F41" s="316" t="s">
        <v>360</v>
      </c>
      <c r="G41" s="311"/>
      <c r="H41" s="311"/>
      <c r="I41" s="311"/>
      <c r="J41" s="2031"/>
      <c r="K41" s="3374" t="str">
        <f t="shared" si="0"/>
        <v/>
      </c>
      <c r="L41" s="3375"/>
      <c r="M41" s="3375"/>
      <c r="N41" s="3376"/>
      <c r="O41" s="1392" t="str">
        <f>C46</f>
        <v>——</v>
      </c>
      <c r="P41" s="2029"/>
      <c r="V41" s="2029"/>
    </row>
    <row r="42" spans="1:26" ht="29.25">
      <c r="A42" s="3312" t="s">
        <v>2069</v>
      </c>
      <c r="B42" s="3313"/>
      <c r="C42" s="264">
        <f ca="1">C32</f>
        <v>94438</v>
      </c>
      <c r="D42" s="317">
        <f ca="1">C33</f>
        <v>14334</v>
      </c>
      <c r="E42" s="317">
        <f ca="1">C34</f>
        <v>53567</v>
      </c>
      <c r="F42" s="318">
        <f ca="1">C35</f>
        <v>3571</v>
      </c>
      <c r="G42" s="311"/>
      <c r="H42" s="311"/>
      <c r="I42" s="319"/>
      <c r="J42" s="2031"/>
      <c r="K42" s="1271" t="s">
        <v>361</v>
      </c>
      <c r="L42" s="2048" t="s">
        <v>362</v>
      </c>
      <c r="M42" s="1272" t="s">
        <v>363</v>
      </c>
      <c r="N42" s="2049" t="s">
        <v>364</v>
      </c>
      <c r="O42" s="2050" t="s">
        <v>365</v>
      </c>
      <c r="P42" s="2029"/>
      <c r="V42" s="2029"/>
    </row>
    <row r="43" spans="1:26" ht="18">
      <c r="A43" s="3323" t="s">
        <v>2736</v>
      </c>
      <c r="B43" s="3324"/>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122966</v>
      </c>
      <c r="M43" s="1275">
        <f>C18</f>
        <v>0.4</v>
      </c>
      <c r="N43" s="1276">
        <f ca="1">IF(N42="测算结果/万元",G19,G20)</f>
        <v>94438</v>
      </c>
      <c r="O43" s="1277">
        <f ca="1">IF(O42="最终结果/万元",C32,C33)</f>
        <v>94438</v>
      </c>
      <c r="P43" s="2029"/>
      <c r="V43" s="2029"/>
    </row>
    <row r="44" spans="1:26" ht="30.75" thickBot="1">
      <c r="A44" s="3312" t="str">
        <f>IF(OR(项目基本情况!E8="抵押价格",项目基本情况!E8="已注销及未注销"),"3.抵押价格","——")</f>
        <v>3.抵押价格</v>
      </c>
      <c r="B44" s="3313"/>
      <c r="C44" s="264">
        <f ca="1">IF(A44="——","——",C42-C43)</f>
        <v>94438</v>
      </c>
      <c r="D44" s="317">
        <f ca="1">ROUND(C44*10000/'数据-汇总表'!E3,0)</f>
        <v>14334</v>
      </c>
      <c r="E44" s="317">
        <f ca="1">ROUND(C44*10000/'数据-汇总表'!D3,0)</f>
        <v>53567</v>
      </c>
      <c r="F44" s="318">
        <f ca="1">ROUND(C44/('数据-汇总表'!D3/666.67),0)</f>
        <v>3571</v>
      </c>
      <c r="G44" s="311"/>
      <c r="H44" s="311"/>
      <c r="I44" s="319"/>
      <c r="J44" s="2031"/>
      <c r="K44" s="1278" t="str">
        <f>D4</f>
        <v>剩余法-待开发</v>
      </c>
      <c r="L44" s="1279">
        <f ca="1">IF(L42="估价结果/万元",D19,D20)</f>
        <v>75420</v>
      </c>
      <c r="M44" s="1280">
        <f>D18</f>
        <v>0.6</v>
      </c>
      <c r="N44" s="1281"/>
      <c r="O44" s="1282"/>
      <c r="P44" s="2029"/>
      <c r="V44" s="2029"/>
    </row>
    <row r="45" spans="1:26" ht="15">
      <c r="A45" s="3318" t="str">
        <f>IF(项目基本情况!E8="已注销及未注销","4.抵押担保权已注销时的抵押价格",IF(项目基本情况!E8="已注销","3.抵押担保权已注销时的抵押价格","——"))</f>
        <v>——</v>
      </c>
      <c r="B45" s="331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3" t="s">
        <v>374</v>
      </c>
      <c r="B63" s="3364"/>
      <c r="C63" s="3365"/>
      <c r="D63" s="341">
        <f ca="1">ROUND(C42*F63,0)</f>
        <v>56663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0" t="s">
        <v>378</v>
      </c>
      <c r="B64" s="3321"/>
      <c r="C64" s="3321"/>
      <c r="D64" s="3321"/>
      <c r="E64" s="3321"/>
      <c r="F64" s="3321"/>
      <c r="G64" s="332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6" t="s">
        <v>386</v>
      </c>
      <c r="B66" s="3317"/>
      <c r="C66" s="3317"/>
      <c r="D66" s="261">
        <f ca="1">IF(H66="情况1",0,IF(H66="情况2",D70,IF(H66="情况3",D71,IF(H66="情况4",D72))))</f>
        <v>3022</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78" t="s">
        <v>385</v>
      </c>
      <c r="M66" s="3379"/>
      <c r="N66" s="2483"/>
      <c r="O66" s="2484"/>
      <c r="P66" s="2485"/>
      <c r="Q66" s="2029"/>
      <c r="R66" s="2029"/>
      <c r="S66" s="2029"/>
      <c r="T66" s="2029"/>
      <c r="U66" s="2029"/>
      <c r="V66" s="2029"/>
    </row>
    <row r="67" spans="1:22" ht="25.5" customHeight="1">
      <c r="A67" s="352" t="s">
        <v>390</v>
      </c>
      <c r="B67" s="3307" t="s">
        <v>391</v>
      </c>
      <c r="C67" s="3307"/>
      <c r="D67" s="353">
        <v>0</v>
      </c>
      <c r="E67" s="41" t="s">
        <v>392</v>
      </c>
      <c r="F67" s="62" t="s">
        <v>21</v>
      </c>
      <c r="G67" s="3366"/>
      <c r="H67" s="311"/>
      <c r="I67" s="1292"/>
      <c r="J67" s="2036"/>
      <c r="K67" s="1977">
        <v>2</v>
      </c>
      <c r="L67" s="3377" t="s">
        <v>389</v>
      </c>
      <c r="M67" s="3377"/>
      <c r="N67" s="1325">
        <f>'数据-取费表'!B2</f>
        <v>43109</v>
      </c>
      <c r="O67" s="1325"/>
      <c r="P67" s="1325"/>
      <c r="Q67" s="2029"/>
      <c r="R67" s="2029"/>
      <c r="S67" s="2029"/>
      <c r="T67" s="2029"/>
      <c r="U67" s="2029"/>
      <c r="V67" s="2029"/>
    </row>
    <row r="68" spans="1:22" ht="25.5" customHeight="1">
      <c r="A68" s="354"/>
      <c r="B68" s="3307" t="s">
        <v>394</v>
      </c>
      <c r="C68" s="3307"/>
      <c r="D68" s="355"/>
      <c r="E68" s="77"/>
      <c r="F68" s="356"/>
      <c r="G68" s="3367"/>
      <c r="H68" s="311"/>
      <c r="I68" s="1292"/>
      <c r="J68" s="2036"/>
      <c r="K68" s="1977">
        <v>3</v>
      </c>
      <c r="L68" s="3377" t="s">
        <v>393</v>
      </c>
      <c r="M68" s="3377"/>
      <c r="N68" s="1293">
        <f ca="1">C42</f>
        <v>94438</v>
      </c>
      <c r="O68" s="1293"/>
      <c r="P68" s="1293"/>
      <c r="Q68" s="2029"/>
      <c r="R68" s="2029"/>
      <c r="S68" s="2029"/>
      <c r="T68" s="2029"/>
      <c r="U68" s="2029"/>
      <c r="V68" s="2029"/>
    </row>
    <row r="69" spans="1:22" ht="12" customHeight="1">
      <c r="A69" s="357"/>
      <c r="B69" s="3307" t="s">
        <v>395</v>
      </c>
      <c r="C69" s="3307"/>
      <c r="D69" s="358"/>
      <c r="E69" s="73"/>
      <c r="F69" s="356"/>
      <c r="G69" s="3368"/>
      <c r="H69" s="311"/>
      <c r="I69" s="1292"/>
      <c r="J69" s="2036"/>
      <c r="K69" s="1294">
        <v>4</v>
      </c>
      <c r="L69" s="3382" t="s">
        <v>2888</v>
      </c>
      <c r="M69" s="3383"/>
      <c r="N69" s="1295">
        <f ca="1">C44</f>
        <v>94438</v>
      </c>
      <c r="O69" s="1295"/>
      <c r="P69" s="1295"/>
      <c r="Q69" s="2029"/>
      <c r="R69" s="2029"/>
      <c r="S69" s="2029"/>
      <c r="T69" s="2029"/>
      <c r="U69" s="2029"/>
      <c r="V69" s="2029"/>
    </row>
    <row r="70" spans="1:22" ht="24" customHeight="1">
      <c r="A70" s="359" t="s">
        <v>396</v>
      </c>
      <c r="B70" s="3307" t="s">
        <v>397</v>
      </c>
      <c r="C70" s="3307"/>
      <c r="D70" s="358">
        <f ca="1">ROUND(D63*'数据-取费表'!B41/(1+'数据-取费表'!C42),0)</f>
        <v>3022</v>
      </c>
      <c r="E70" s="17" t="s">
        <v>398</v>
      </c>
      <c r="F70" s="360">
        <f>'数据-取费表'!B41</f>
        <v>5.6000000000000001E-2</v>
      </c>
      <c r="G70" s="361"/>
      <c r="H70" s="311"/>
      <c r="I70" s="1292"/>
      <c r="J70" s="2036"/>
      <c r="K70" s="3087"/>
      <c r="L70" s="3088"/>
      <c r="M70" s="3088"/>
      <c r="N70" s="3089" t="s">
        <v>2893</v>
      </c>
      <c r="O70" s="3088"/>
      <c r="P70" s="3090"/>
      <c r="Q70" s="2029"/>
      <c r="R70" s="2029"/>
      <c r="S70" s="2029"/>
      <c r="T70" s="2029"/>
      <c r="U70" s="2029"/>
      <c r="V70" s="2029"/>
    </row>
    <row r="71" spans="1:22" ht="12" customHeight="1">
      <c r="A71" s="359" t="s">
        <v>404</v>
      </c>
      <c r="B71" s="3308" t="s">
        <v>405</v>
      </c>
      <c r="C71" s="3309"/>
      <c r="D71" s="358">
        <f ca="1">ROUND(D63*'数据-取费表'!B41/(1+'数据-取费表'!C42),0)</f>
        <v>3022</v>
      </c>
      <c r="E71" s="17" t="s">
        <v>398</v>
      </c>
      <c r="F71" s="360">
        <f>'数据-取费表'!B41</f>
        <v>5.6000000000000001E-2</v>
      </c>
      <c r="G71" s="361"/>
      <c r="H71" s="311"/>
      <c r="I71" s="1292"/>
      <c r="J71" s="2036"/>
      <c r="K71" s="3086" t="s">
        <v>399</v>
      </c>
      <c r="L71" s="3384" t="s">
        <v>400</v>
      </c>
      <c r="M71" s="3384"/>
      <c r="N71" s="3086" t="s">
        <v>401</v>
      </c>
      <c r="O71" s="3086" t="s">
        <v>402</v>
      </c>
      <c r="P71" s="3086" t="s">
        <v>403</v>
      </c>
      <c r="Q71" s="2029"/>
      <c r="R71" s="2029"/>
      <c r="S71" s="2029"/>
      <c r="T71" s="2029"/>
      <c r="U71" s="2029"/>
      <c r="V71" s="2029"/>
    </row>
    <row r="72" spans="1:22" ht="12" customHeight="1">
      <c r="A72" s="359" t="s">
        <v>407</v>
      </c>
      <c r="B72" s="3308" t="s">
        <v>408</v>
      </c>
      <c r="C72" s="3309"/>
      <c r="D72" s="358">
        <f ca="1">C86</f>
        <v>2910</v>
      </c>
      <c r="E72" s="73" t="s">
        <v>409</v>
      </c>
      <c r="F72" s="360">
        <f>'数据-取费表'!B41</f>
        <v>5.6000000000000001E-2</v>
      </c>
      <c r="G72" s="361"/>
      <c r="H72" s="1298"/>
      <c r="I72" s="1292"/>
      <c r="J72" s="2036"/>
      <c r="K72" s="1977">
        <v>1</v>
      </c>
      <c r="L72" s="3359" t="s">
        <v>406</v>
      </c>
      <c r="M72" s="3359"/>
      <c r="N72" s="1296">
        <f ca="1">D66</f>
        <v>3022</v>
      </c>
      <c r="O72" s="1860" t="str">
        <f>E66</f>
        <v>销售额×税（费）率</v>
      </c>
      <c r="P72" s="1297">
        <f>F66</f>
        <v>5.6000000000000001E-2</v>
      </c>
      <c r="Q72" s="2029"/>
      <c r="R72" s="2029"/>
      <c r="S72" s="2029"/>
      <c r="T72" s="2029"/>
      <c r="U72" s="2029"/>
      <c r="V72" s="2029"/>
    </row>
    <row r="73" spans="1:22" ht="24" customHeight="1">
      <c r="A73" s="3353" t="s">
        <v>411</v>
      </c>
      <c r="B73" s="3317"/>
      <c r="C73" s="3317"/>
      <c r="D73" s="362">
        <f>IF(H73="个人住宅",0,ROUND(D63*I73,0))</f>
        <v>0</v>
      </c>
      <c r="E73" s="17" t="s">
        <v>412</v>
      </c>
      <c r="F73" s="360" t="str">
        <f>IF(H73="正常",I73,"免征")</f>
        <v>免征</v>
      </c>
      <c r="G73" s="361"/>
      <c r="H73" s="191" t="s">
        <v>2459</v>
      </c>
      <c r="I73" s="360">
        <f>'数据-取费表'!B49</f>
        <v>5.0000000000000001E-4</v>
      </c>
      <c r="J73" s="2036"/>
      <c r="K73" s="1977">
        <v>2</v>
      </c>
      <c r="L73" s="3359" t="s">
        <v>410</v>
      </c>
      <c r="M73" s="3359"/>
      <c r="N73" s="1296">
        <f t="shared" ref="N73:P74" si="1">D73</f>
        <v>0</v>
      </c>
      <c r="O73" s="1860" t="str">
        <f t="shared" si="1"/>
        <v>销售额×税（费）率</v>
      </c>
      <c r="P73" s="1297" t="str">
        <f t="shared" si="1"/>
        <v>免征</v>
      </c>
      <c r="Q73" s="2029"/>
      <c r="R73" s="2029"/>
      <c r="S73" s="2029"/>
      <c r="T73" s="2029"/>
      <c r="U73" s="2029"/>
      <c r="V73" s="2029"/>
    </row>
    <row r="74" spans="1:22" ht="24.75">
      <c r="A74" s="3353" t="s">
        <v>415</v>
      </c>
      <c r="B74" s="3317"/>
      <c r="C74" s="3317"/>
      <c r="D74" s="362">
        <f ca="1">IF(H74="个人住宅",D75,D76)</f>
        <v>31416</v>
      </c>
      <c r="E74" s="17" t="s">
        <v>416</v>
      </c>
      <c r="F74" s="360" t="str">
        <f>IF(H74="正常",F76,"免征")</f>
        <v>——</v>
      </c>
      <c r="G74" s="983" t="s">
        <v>417</v>
      </c>
      <c r="H74" s="363" t="s">
        <v>413</v>
      </c>
      <c r="I74" s="42"/>
      <c r="J74" s="2036"/>
      <c r="K74" s="1977">
        <v>3</v>
      </c>
      <c r="L74" s="3359" t="s">
        <v>414</v>
      </c>
      <c r="M74" s="3359"/>
      <c r="N74" s="1296">
        <f t="shared" ca="1" si="1"/>
        <v>31416</v>
      </c>
      <c r="O74" s="1860" t="str">
        <f t="shared" si="1"/>
        <v>增值额×税（费）率</v>
      </c>
      <c r="P74" s="1299" t="str">
        <f t="shared" si="1"/>
        <v>——</v>
      </c>
      <c r="Q74" s="2029"/>
      <c r="R74" s="2029"/>
      <c r="S74" s="2029"/>
      <c r="T74" s="2029"/>
      <c r="U74" s="2029"/>
      <c r="V74" s="2029"/>
    </row>
    <row r="75" spans="1:22" ht="24">
      <c r="A75" s="359" t="s">
        <v>418</v>
      </c>
      <c r="B75" s="3305" t="s">
        <v>419</v>
      </c>
      <c r="C75" s="3339"/>
      <c r="D75" s="364">
        <v>0</v>
      </c>
      <c r="E75" s="41" t="s">
        <v>420</v>
      </c>
      <c r="F75" s="365"/>
      <c r="G75" s="361"/>
      <c r="H75" s="42"/>
      <c r="I75" s="42"/>
      <c r="J75" s="2036"/>
      <c r="K75" s="3079">
        <f>IF(H77="非个人房产","",4)</f>
        <v>4</v>
      </c>
      <c r="L75" s="3359" t="str">
        <f>IF(H77="非个人房产","——","个人所得税")</f>
        <v>个人所得税</v>
      </c>
      <c r="M75" s="3359"/>
      <c r="N75" s="1300">
        <f ca="1">D77</f>
        <v>567</v>
      </c>
      <c r="O75" s="1873" t="str">
        <f>E77</f>
        <v>销售额×税（费）率</v>
      </c>
      <c r="P75" s="1301">
        <f>F77</f>
        <v>0.01</v>
      </c>
      <c r="Q75" s="2029"/>
      <c r="R75" s="2029"/>
      <c r="S75" s="2029"/>
      <c r="T75" s="2029"/>
      <c r="U75" s="2029"/>
      <c r="V75" s="2029"/>
    </row>
    <row r="76" spans="1:22" ht="24.75">
      <c r="A76" s="359" t="s">
        <v>396</v>
      </c>
      <c r="B76" s="3305" t="s">
        <v>422</v>
      </c>
      <c r="C76" s="3306"/>
      <c r="D76" s="362">
        <f ca="1">IF(H76="转让取得",C99,C115)</f>
        <v>31416</v>
      </c>
      <c r="E76" s="17" t="s">
        <v>423</v>
      </c>
      <c r="F76" s="53" t="s">
        <v>21</v>
      </c>
      <c r="G76" s="361"/>
      <c r="H76" s="363" t="s">
        <v>424</v>
      </c>
      <c r="I76" s="42"/>
      <c r="J76" s="2036"/>
      <c r="K76" s="3079" t="str">
        <f>IF(项目基本情况!K6="上海银行",IF(K75="",4,K75+1),"")</f>
        <v/>
      </c>
      <c r="L76" s="3370" t="str">
        <f>IF(项目基本情况!K6="上海银行","其他处置费用","")</f>
        <v/>
      </c>
      <c r="M76" s="3371"/>
      <c r="N76" s="1296" t="str">
        <f>IF(项目基本情况!K6="上海银行",N89,"")</f>
        <v/>
      </c>
      <c r="O76" s="3372" t="str">
        <f>IF(项目基本情况!K6="上海银行","包含处置中涉及的律师、诉讼、拍卖、评估等费用","")</f>
        <v/>
      </c>
      <c r="P76" s="3373"/>
      <c r="Q76" s="2029"/>
      <c r="R76" s="2029"/>
      <c r="S76" s="2029"/>
      <c r="T76" s="2029"/>
      <c r="U76" s="2029"/>
      <c r="V76" s="2029"/>
    </row>
    <row r="77" spans="1:22" ht="26.25" thickBot="1">
      <c r="A77" s="3361" t="s">
        <v>426</v>
      </c>
      <c r="B77" s="3362"/>
      <c r="C77" s="3362"/>
      <c r="D77" s="366">
        <f ca="1">IF(H77="非个人房产","——",IF(H77="个人住宅",0,ROUND(D63*I77,0)))</f>
        <v>567</v>
      </c>
      <c r="E77" s="367" t="str">
        <f>IF(H77="非个人房产","——","销售额×税（费）率")</f>
        <v>销售额×税（费）率</v>
      </c>
      <c r="F77" s="368">
        <f>IF(H77="非个人房产","——",IF(H77="个人住宅","免征",I77))</f>
        <v>0.01</v>
      </c>
      <c r="G77" s="984" t="s">
        <v>417</v>
      </c>
      <c r="H77" s="363" t="s">
        <v>2889</v>
      </c>
      <c r="I77" s="369">
        <v>0.01</v>
      </c>
      <c r="J77" s="2036"/>
      <c r="K77" s="3360">
        <f>IF(AND(K75="",K76=""),4,IF(项目基本情况!K6="上海银行",K76+1,K75+1))</f>
        <v>5</v>
      </c>
      <c r="L77" s="3359" t="s">
        <v>2890</v>
      </c>
      <c r="M77" s="3085" t="s">
        <v>421</v>
      </c>
      <c r="N77" s="1302"/>
      <c r="O77" s="1303">
        <f ca="1">SUMIF(N72:N76,"&lt;9e307")</f>
        <v>35005</v>
      </c>
      <c r="P77" s="1304"/>
      <c r="Q77" s="3083">
        <f ca="1">O77/N69</f>
        <v>0.37066646900612044</v>
      </c>
      <c r="R77" s="2029"/>
      <c r="S77" s="2029"/>
      <c r="T77" s="2029"/>
      <c r="U77" s="2029"/>
      <c r="V77" s="2029"/>
    </row>
    <row r="78" spans="1:22" ht="12" customHeight="1">
      <c r="A78" s="1305"/>
      <c r="B78" s="311"/>
      <c r="C78" s="311"/>
      <c r="D78" s="311"/>
      <c r="E78" s="42"/>
      <c r="F78" s="42"/>
      <c r="G78" s="42"/>
      <c r="H78" s="1003"/>
      <c r="I78" s="311"/>
      <c r="J78" s="2036"/>
      <c r="K78" s="3360"/>
      <c r="L78" s="3359"/>
      <c r="M78" s="3085" t="s">
        <v>425</v>
      </c>
      <c r="N78" s="1302"/>
      <c r="O78" s="1303" t="str">
        <f ca="1">NUMBERSTRING(INT(O77*10000),2)&amp;"元整"</f>
        <v>叁亿伍仟零伍万元整</v>
      </c>
      <c r="P78" s="1304"/>
      <c r="Q78" s="2029"/>
      <c r="R78" s="2029"/>
      <c r="S78" s="2029"/>
      <c r="T78" s="2029"/>
      <c r="U78" s="2029"/>
      <c r="V78" s="2029"/>
    </row>
    <row r="79" spans="1:22" ht="13.5" thickBot="1">
      <c r="A79" s="3354" t="s">
        <v>427</v>
      </c>
      <c r="B79" s="3354"/>
      <c r="C79" s="3354"/>
      <c r="D79" s="3354"/>
      <c r="E79" s="3354"/>
      <c r="F79" s="42"/>
      <c r="G79" s="42"/>
      <c r="H79" s="1003"/>
      <c r="I79" s="311"/>
      <c r="J79" s="2036"/>
      <c r="K79" s="3380">
        <f>K77+1</f>
        <v>6</v>
      </c>
      <c r="L79" s="3359" t="s">
        <v>2891</v>
      </c>
      <c r="M79" s="3085" t="s">
        <v>421</v>
      </c>
      <c r="N79" s="1302"/>
      <c r="O79" s="1303">
        <f ca="1">N69-O77</f>
        <v>59433</v>
      </c>
      <c r="P79" s="1304"/>
      <c r="Q79" s="2029"/>
      <c r="R79" s="2029"/>
      <c r="S79" s="2029"/>
      <c r="T79" s="2029"/>
      <c r="U79" s="2029"/>
      <c r="V79" s="2029"/>
    </row>
    <row r="80" spans="1:22" ht="25.5">
      <c r="A80" s="3349" t="s">
        <v>428</v>
      </c>
      <c r="B80" s="3350"/>
      <c r="C80" s="994"/>
      <c r="D80" s="994" t="s">
        <v>429</v>
      </c>
      <c r="E80" s="370" t="s">
        <v>430</v>
      </c>
      <c r="F80" s="42"/>
      <c r="G80" s="42"/>
      <c r="H80" s="1003"/>
      <c r="I80" s="311"/>
      <c r="J80" s="2029"/>
      <c r="K80" s="3381"/>
      <c r="L80" s="3359"/>
      <c r="M80" s="3085" t="s">
        <v>425</v>
      </c>
      <c r="N80" s="1302"/>
      <c r="O80" s="1303" t="str">
        <f ca="1">NUMBERSTRING(INT(O79*10000),2)&amp;"元整"</f>
        <v>伍亿玖仟肆佰叁拾叁万元整</v>
      </c>
      <c r="P80" s="1304"/>
      <c r="Q80" s="2029"/>
      <c r="R80" s="2029"/>
      <c r="S80" s="2029"/>
      <c r="T80" s="2029"/>
      <c r="U80" s="2029"/>
      <c r="V80" s="2029"/>
    </row>
    <row r="81" spans="1:26" ht="13.5" thickBot="1">
      <c r="A81" s="381" t="s">
        <v>1825</v>
      </c>
      <c r="B81" s="371" t="s">
        <v>431</v>
      </c>
      <c r="C81" s="372">
        <f ca="1">ROUND((C82+C83)/(1+'数据-取费表'!C42),0)</f>
        <v>53965</v>
      </c>
      <c r="D81" s="373"/>
      <c r="E81" s="374"/>
      <c r="F81" s="42"/>
      <c r="G81" s="42"/>
      <c r="H81" s="1003"/>
      <c r="I81" s="311"/>
      <c r="J81" s="2029"/>
      <c r="K81" s="3079">
        <f>K79+1</f>
        <v>7</v>
      </c>
      <c r="L81" s="3357" t="s">
        <v>2892</v>
      </c>
      <c r="M81" s="3358"/>
      <c r="N81" s="1306"/>
      <c r="O81" s="1307">
        <f ca="1">ROUND(O79*10000/'数据-汇总表'!E3,0)</f>
        <v>9021</v>
      </c>
      <c r="P81" s="1308"/>
      <c r="Q81" s="2029"/>
      <c r="R81" s="2029"/>
      <c r="S81" s="2029"/>
      <c r="T81" s="2029"/>
      <c r="U81" s="2029"/>
      <c r="V81" s="2029"/>
    </row>
    <row r="82" spans="1:26" ht="13.5" thickTop="1">
      <c r="A82" s="375" t="s">
        <v>1826</v>
      </c>
      <c r="B82" s="376" t="s">
        <v>432</v>
      </c>
      <c r="C82" s="377">
        <f ca="1">D63</f>
        <v>56663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69" t="s">
        <v>2879</v>
      </c>
      <c r="L83" s="3091" t="s">
        <v>2880</v>
      </c>
      <c r="M83" s="3081">
        <f ca="1">IF(N69&gt;10000,N69*0.5%,IF(AND(N69&gt;1000,N69&lt;=10000),N69*1%,IF(AND(N69&gt;100,N69&lt;=1000),N69*3%,IF(AND(N69&gt;10,N69&lt;=100),N69*5%,N69*8%))))</f>
        <v>472.19</v>
      </c>
      <c r="N83" s="53">
        <f ca="1">ROUND(M83,1)</f>
        <v>472.2</v>
      </c>
      <c r="O83" s="3084"/>
      <c r="P83" s="2029"/>
      <c r="Q83" s="2029"/>
      <c r="R83" s="2029"/>
      <c r="S83" s="2029"/>
      <c r="T83" s="2029"/>
      <c r="U83" s="2029"/>
      <c r="V83" s="2029"/>
    </row>
    <row r="84" spans="1:26" ht="12.75">
      <c r="A84" s="381" t="s">
        <v>1828</v>
      </c>
      <c r="B84" s="382" t="s">
        <v>434</v>
      </c>
      <c r="C84" s="383">
        <v>2000</v>
      </c>
      <c r="D84" s="384" t="s">
        <v>19</v>
      </c>
      <c r="E84" s="3126" t="s">
        <v>2945</v>
      </c>
      <c r="F84" s="42"/>
      <c r="G84" s="42"/>
      <c r="H84" s="1003"/>
      <c r="I84" s="311"/>
      <c r="J84" s="2029"/>
      <c r="K84" s="3369"/>
      <c r="L84" s="3091" t="s">
        <v>2881</v>
      </c>
      <c r="M84" s="3081">
        <f ca="1">IF(N69&gt;2000,N69*0.5%,IF(AND(N69&gt;1000,N69&lt;=2000),N69*0.6%,IF(AND(N69&gt;500,N69&lt;=1000),N69*0.7%,IF(AND(N69&gt;200,N69&lt;=500),N69*0.8%,IF(AND(N69&gt;100,N69&lt;=200),N69*0.9%,IF(AND(N69&gt;50,N69&lt;=100),N69*1%,IF(AND(N69&gt;20,N69&lt;=50),N69*1.5%,IF(AND(N69&gt;10,N69&lt;=20),N69*2%,IF(AND(N69&gt;1,N69&lt;=10),N69*2.5%)))))))))</f>
        <v>472.19</v>
      </c>
      <c r="N84" s="53">
        <f t="shared" ref="N84:N85" ca="1" si="2">ROUND(M84,1)</f>
        <v>472.2</v>
      </c>
      <c r="O84" s="2029" t="s">
        <v>2882</v>
      </c>
      <c r="P84" s="2029"/>
      <c r="Q84" s="2029"/>
      <c r="R84" s="2029"/>
      <c r="S84" s="2029"/>
      <c r="T84" s="2029"/>
      <c r="U84" s="2029"/>
      <c r="V84" s="2029"/>
    </row>
    <row r="85" spans="1:26" ht="12.75">
      <c r="A85" s="381" t="s">
        <v>1829</v>
      </c>
      <c r="B85" s="382" t="s">
        <v>435</v>
      </c>
      <c r="C85" s="385">
        <f ca="1">C81-C84</f>
        <v>51965</v>
      </c>
      <c r="D85" s="378" t="s">
        <v>19</v>
      </c>
      <c r="E85" s="379"/>
      <c r="F85" s="42"/>
      <c r="G85" s="42"/>
      <c r="H85" s="1003"/>
      <c r="I85" s="311"/>
      <c r="J85" s="2029"/>
      <c r="K85" s="3369"/>
      <c r="L85" s="3091" t="s">
        <v>2883</v>
      </c>
      <c r="M85" s="3081">
        <f ca="1">IF(N69&gt;1000,N69*0.1%,IF(AND(N69&gt;500,N69&lt;=1000),N69*0.5%,IF(AND(N69&gt;50,N69&lt;=500),N69*1%,IF(AND(N69&gt;1,N69&lt;=50),N69*1.5%))))</f>
        <v>94.438000000000002</v>
      </c>
      <c r="N85" s="53">
        <f t="shared" ca="1" si="2"/>
        <v>94.4</v>
      </c>
      <c r="O85" s="2029" t="s">
        <v>2882</v>
      </c>
      <c r="P85" s="2029"/>
      <c r="Q85" s="2029"/>
      <c r="R85" s="2029"/>
      <c r="S85" s="2029"/>
      <c r="T85" s="2029"/>
      <c r="U85" s="2029"/>
      <c r="V85" s="2029"/>
    </row>
    <row r="86" spans="1:26" ht="13.5" thickBot="1">
      <c r="A86" s="386" t="s">
        <v>1830</v>
      </c>
      <c r="B86" s="387" t="s">
        <v>436</v>
      </c>
      <c r="C86" s="388">
        <f ca="1">IF(C85&lt;=0,0,ROUND(C85*D86,0))</f>
        <v>2910</v>
      </c>
      <c r="D86" s="389">
        <f>'数据-取费表'!B41</f>
        <v>5.6000000000000001E-2</v>
      </c>
      <c r="E86" s="390"/>
      <c r="F86" s="42"/>
      <c r="G86" s="42"/>
      <c r="H86" s="1003"/>
      <c r="I86" s="311"/>
      <c r="J86" s="2029"/>
      <c r="K86" s="3369"/>
      <c r="L86" s="3091" t="s">
        <v>2884</v>
      </c>
      <c r="M86" s="3081">
        <f ca="1">N69*0.5%</f>
        <v>472.19</v>
      </c>
      <c r="N86" s="53">
        <f ca="1">IF(M86&gt;0.5,0.5,ROUND(M86,0))</f>
        <v>0.5</v>
      </c>
      <c r="O86" s="2029" t="s">
        <v>2885</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9"/>
      <c r="L87" s="3091" t="s">
        <v>2886</v>
      </c>
      <c r="M87" s="3081">
        <f ca="1">IF(N69&gt;=10000,(8.25+(N69-10000)*0.01%),IF(AND(N69&gt;=8000,N69&lt;10000),(7.85+(N69-8000)*0.02%),IF(AND(N69&gt;=5000,N69&lt;8000),(6.65+(N69-5000)*0.04%),IF(AND(N69&gt;=2000,N69&lt;5000),(4.25+(PN69-2000)*0.08%),IF(AND(N69&gt;=1000,N69&lt;2000),(2.75+(N69-1000)*0.15%),IF(AND(N69&gt;=100,N69&lt;1000),(0.5+(N69-100)*0.25%),IF(AND(N69&gt;0,N69&lt;100),N69*0.5%)))))))</f>
        <v>16.6938</v>
      </c>
      <c r="N87" s="53">
        <f ca="1">ROUND(M87*0.9,1)</f>
        <v>15</v>
      </c>
      <c r="O87" s="3084"/>
      <c r="P87" s="311"/>
      <c r="Q87" s="2029"/>
      <c r="R87" s="2029"/>
      <c r="S87" s="2029"/>
      <c r="T87" s="2029"/>
      <c r="U87" s="2029"/>
      <c r="V87" s="2029"/>
      <c r="W87" s="292"/>
      <c r="X87" s="292"/>
      <c r="Y87" s="292"/>
      <c r="Z87" s="292"/>
    </row>
    <row r="88" spans="1:26" s="1314" customFormat="1" ht="15" thickBot="1">
      <c r="A88" s="3351" t="s">
        <v>437</v>
      </c>
      <c r="B88" s="3352"/>
      <c r="C88" s="3352"/>
      <c r="D88" s="3352"/>
      <c r="E88" s="3352"/>
      <c r="F88" s="3352"/>
      <c r="G88" s="3352"/>
      <c r="H88" s="3352"/>
      <c r="I88" s="1315"/>
      <c r="J88" s="2037"/>
      <c r="K88" s="3369"/>
      <c r="L88" s="3091" t="s">
        <v>2887</v>
      </c>
      <c r="M88" s="3081">
        <f ca="1">IF(N69&gt;10000,N69*0.5%,IF(AND(N69&gt;5000,N69&lt;=10000),N69*1%,IF(AND(N69&gt;1000,N69&lt;=5000),N69*2%,IF(AND(N69&gt;200,N69&lt;=1000),N69*3%,N69*5%))))</f>
        <v>472.19</v>
      </c>
      <c r="N88" s="53">
        <f ca="1">ROUND(M88,1)</f>
        <v>472.2</v>
      </c>
      <c r="O88" s="3084"/>
      <c r="P88" s="11"/>
      <c r="Q88" s="2034"/>
      <c r="R88" s="2034"/>
      <c r="S88" s="2034"/>
      <c r="T88" s="2034"/>
      <c r="U88" s="2034"/>
      <c r="V88" s="2034"/>
      <c r="W88" s="2038"/>
      <c r="X88" s="2038"/>
      <c r="Y88" s="2038"/>
      <c r="Z88" s="2038"/>
    </row>
    <row r="89" spans="1:26" s="1314" customFormat="1" ht="14.25">
      <c r="A89" s="3349" t="s">
        <v>428</v>
      </c>
      <c r="B89" s="3350"/>
      <c r="C89" s="994"/>
      <c r="D89" s="994" t="s">
        <v>429</v>
      </c>
      <c r="E89" s="391" t="s">
        <v>438</v>
      </c>
      <c r="F89" s="392"/>
      <c r="G89" s="392"/>
      <c r="H89" s="393"/>
      <c r="I89" s="1316"/>
      <c r="J89" s="2039"/>
      <c r="K89" s="3369"/>
      <c r="L89" s="3091" t="s">
        <v>27</v>
      </c>
      <c r="M89" s="3082"/>
      <c r="N89" s="53">
        <f ca="1">ROUND(SUM(N83:N88),0)</f>
        <v>1527</v>
      </c>
      <c r="O89" s="3092">
        <f ca="1">N89/N69</f>
        <v>1.6169338613693639E-2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53965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2885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308" t="s">
        <v>447</v>
      </c>
      <c r="F94" s="3307"/>
      <c r="G94" s="3307"/>
      <c r="H94" s="334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324</v>
      </c>
      <c r="D96" s="406">
        <f>'数据-取费表'!B43</f>
        <v>6.000000000000001E-3</v>
      </c>
      <c r="E96" s="3340" t="s">
        <v>2431</v>
      </c>
      <c r="F96" s="3341"/>
      <c r="G96" s="3341"/>
      <c r="H96" s="334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51080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17.705372616984402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29638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1" t="s">
        <v>454</v>
      </c>
      <c r="B101" s="3352"/>
      <c r="C101" s="3352"/>
      <c r="D101" s="3352"/>
      <c r="E101" s="3352"/>
      <c r="F101" s="3352"/>
      <c r="G101" s="3352"/>
      <c r="H101" s="335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9" t="s">
        <v>428</v>
      </c>
      <c r="B102" s="335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53965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1014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43" t="s">
        <v>462</v>
      </c>
      <c r="F109" s="3341"/>
      <c r="G109" s="3341"/>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43" t="s">
        <v>464</v>
      </c>
      <c r="F110" s="3341"/>
      <c r="G110" s="3341"/>
      <c r="H110" s="334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324</v>
      </c>
      <c r="D111" s="406">
        <f>'数据-取费表'!B43</f>
        <v>6.000000000000001E-3</v>
      </c>
      <c r="E111" s="3340" t="s">
        <v>2431</v>
      </c>
      <c r="F111" s="3341"/>
      <c r="G111" s="3341"/>
      <c r="H111" s="334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43" t="s">
        <v>2456</v>
      </c>
      <c r="F112" s="3341"/>
      <c r="G112" s="3341"/>
      <c r="H112" s="334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52951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52.219921104536489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31416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6</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2658</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15324</v>
      </c>
      <c r="D13" s="451"/>
      <c r="E13" s="365"/>
      <c r="F13" s="452"/>
      <c r="G13" s="444"/>
      <c r="H13" s="447"/>
      <c r="I13" s="447"/>
      <c r="J13" s="447"/>
      <c r="K13" s="448"/>
    </row>
    <row r="14" spans="1:41" s="2117" customFormat="1" ht="13.5" customHeight="1">
      <c r="A14" s="1633" t="s">
        <v>1851</v>
      </c>
      <c r="B14" s="449" t="s">
        <v>480</v>
      </c>
      <c r="C14" s="53">
        <f ca="1">ROUND(C13*F14,0)</f>
        <v>613</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230</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17485</v>
      </c>
      <c r="D18" s="461"/>
      <c r="E18" s="462"/>
      <c r="F18" s="462"/>
      <c r="G18" s="1327" t="s">
        <v>2435</v>
      </c>
      <c r="H18" s="447"/>
      <c r="I18" s="447"/>
      <c r="J18" s="447"/>
      <c r="K18" s="448"/>
    </row>
    <row r="19" spans="1:14" s="2120" customFormat="1" ht="13.5" customHeight="1">
      <c r="A19" s="1634" t="s">
        <v>1856</v>
      </c>
      <c r="B19" s="459" t="s">
        <v>493</v>
      </c>
      <c r="C19" s="460">
        <f ca="1">ROUND(C18*F19,0)</f>
        <v>350</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1065</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1065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2837</v>
      </c>
      <c r="C24" s="478">
        <f ca="1">C25</f>
        <v>3389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3389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2835</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24182</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2" t="str">
        <f>项目基本情况!B1</f>
        <v>北京市海淀区北部地区整体开发地块出让国有建设用地使用权抵押价格预评估</v>
      </c>
      <c r="C37" s="3212"/>
      <c r="D37" s="3212"/>
      <c r="E37" s="3212"/>
      <c r="F37" s="3212"/>
      <c r="G37" s="3212"/>
      <c r="H37" s="3212"/>
      <c r="I37" s="3212"/>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9" zoomScale="80" zoomScaleNormal="95" zoomScaleSheetLayoutView="80" workbookViewId="0">
      <selection activeCell="L29" sqref="L2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122966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18664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69749</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4650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94" t="s">
        <v>523</v>
      </c>
      <c r="D6" s="3395"/>
      <c r="E6" s="3394" t="s">
        <v>524</v>
      </c>
      <c r="F6" s="3395"/>
      <c r="G6" s="3394" t="s">
        <v>525</v>
      </c>
      <c r="H6" s="3395"/>
      <c r="I6" s="3394" t="s">
        <v>526</v>
      </c>
      <c r="J6" s="3395"/>
      <c r="K6" s="514" t="s">
        <v>527</v>
      </c>
      <c r="L6" s="2134"/>
      <c r="M6" s="2133"/>
      <c r="N6" s="2133"/>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30" ht="47.25" customHeight="1">
      <c r="A7" s="515"/>
      <c r="B7" s="516"/>
      <c r="C7" s="3410" t="s">
        <v>2933</v>
      </c>
      <c r="D7" s="3411"/>
      <c r="E7" s="3410" t="str">
        <f>土地案例!A5</f>
        <v>北京市海淀区西八里庄0711-653地块B4综合性商业金融服务业用地</v>
      </c>
      <c r="F7" s="3411"/>
      <c r="G7" s="3410" t="str">
        <f>土地案例!A6</f>
        <v>北京市石景山区鲁谷路1614-631地块(银河商务区L地块)B4综合性商业金融服务业用地</v>
      </c>
      <c r="H7" s="3411"/>
      <c r="I7" s="3410" t="str">
        <f>土地案例!A14</f>
        <v>朝阳区金盏乡楼梓庄村1113-602地块</v>
      </c>
      <c r="J7" s="3411"/>
      <c r="K7" s="514"/>
      <c r="L7" s="2134"/>
      <c r="M7" s="2133"/>
      <c r="N7" s="2133"/>
      <c r="O7" s="2135"/>
      <c r="P7" s="3398"/>
      <c r="Q7" s="3399"/>
      <c r="R7" s="3404"/>
      <c r="S7" s="3405"/>
      <c r="T7" s="3404"/>
      <c r="U7" s="3405"/>
      <c r="V7" s="3389"/>
      <c r="W7" s="3389"/>
      <c r="X7" s="1567"/>
      <c r="Y7" s="3404"/>
      <c r="Z7" s="3405"/>
      <c r="AA7" s="3392"/>
      <c r="AB7" s="3392"/>
      <c r="AC7" s="3392"/>
    </row>
    <row r="8" spans="1:30" ht="21" thickBot="1">
      <c r="A8" s="515"/>
      <c r="B8" s="516"/>
      <c r="C8" s="3412" t="s">
        <v>2937</v>
      </c>
      <c r="D8" s="3413"/>
      <c r="E8" s="3412" t="s">
        <v>2937</v>
      </c>
      <c r="F8" s="3413"/>
      <c r="G8" s="3408" t="s">
        <v>2937</v>
      </c>
      <c r="H8" s="3409"/>
      <c r="I8" s="3408" t="s">
        <v>2937</v>
      </c>
      <c r="J8" s="3409"/>
      <c r="K8" s="514" t="s">
        <v>529</v>
      </c>
      <c r="L8" s="2134"/>
      <c r="M8" s="2133"/>
      <c r="N8" s="2133"/>
      <c r="O8" s="2135"/>
      <c r="P8" s="3400"/>
      <c r="Q8" s="3401"/>
      <c r="R8" s="3404"/>
      <c r="S8" s="3405"/>
      <c r="T8" s="3406"/>
      <c r="U8" s="3407"/>
      <c r="V8" s="3389"/>
      <c r="W8" s="3389"/>
      <c r="X8" s="1567"/>
      <c r="Y8" s="3406"/>
      <c r="Z8" s="3407"/>
      <c r="AA8" s="3393"/>
      <c r="AB8" s="3393"/>
      <c r="AC8" s="3393"/>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419" t="s">
        <v>531</v>
      </c>
      <c r="Q9" s="3421"/>
      <c r="R9" s="1568" t="s">
        <v>8</v>
      </c>
      <c r="S9" s="1569">
        <f t="shared" ref="S9:S17" si="0">F9</f>
        <v>99</v>
      </c>
      <c r="T9" s="1568" t="s">
        <v>8</v>
      </c>
      <c r="U9" s="1569">
        <f t="shared" ref="U9:U17" si="1">H9</f>
        <v>99</v>
      </c>
      <c r="V9" s="1568" t="s">
        <v>8</v>
      </c>
      <c r="W9" s="1569">
        <f t="shared" ref="W9:W17" si="2">J9</f>
        <v>97</v>
      </c>
      <c r="X9" s="1570"/>
      <c r="Y9" s="3419" t="s">
        <v>531</v>
      </c>
      <c r="Z9" s="3420"/>
      <c r="AA9" s="1571">
        <f>D9/F9</f>
        <v>1.0101010101010102</v>
      </c>
      <c r="AB9" s="1571">
        <f>D9/H9</f>
        <v>1.0101010101010102</v>
      </c>
      <c r="AC9" s="1571">
        <f>D9/J9</f>
        <v>1.0309278350515463</v>
      </c>
    </row>
    <row r="10" spans="1:30" s="1220" customFormat="1" ht="21" thickBot="1">
      <c r="A10" s="2939"/>
      <c r="B10" s="2946" t="s">
        <v>532</v>
      </c>
      <c r="C10" s="856" t="s">
        <v>533</v>
      </c>
      <c r="D10" s="520">
        <v>100</v>
      </c>
      <c r="E10" s="3179" t="s">
        <v>3125</v>
      </c>
      <c r="F10" s="522">
        <f>SUMIF(75:75,E10,76:76)-SUMIF(75:75,C10,76:76)+100</f>
        <v>100</v>
      </c>
      <c r="G10" s="3179" t="s">
        <v>3125</v>
      </c>
      <c r="H10" s="520">
        <f>SUMIF(75:75,G10,76:76)-SUMIF(75:75,C10,76:76)+100</f>
        <v>100</v>
      </c>
      <c r="I10" s="3179" t="s">
        <v>3125</v>
      </c>
      <c r="J10" s="520">
        <f>SUMIF(75:75,I10,76:76)-SUMIF(75:75,C10,76:76)+100</f>
        <v>100</v>
      </c>
      <c r="K10" s="524"/>
      <c r="L10" s="2136"/>
      <c r="M10" s="2133"/>
      <c r="N10" s="2133"/>
      <c r="O10" s="2137"/>
      <c r="P10" s="3419" t="s">
        <v>534</v>
      </c>
      <c r="Q10" s="3420"/>
      <c r="R10" s="1568" t="s">
        <v>8</v>
      </c>
      <c r="S10" s="1569">
        <f t="shared" si="0"/>
        <v>100</v>
      </c>
      <c r="T10" s="1568" t="s">
        <v>8</v>
      </c>
      <c r="U10" s="1569">
        <f t="shared" si="1"/>
        <v>100</v>
      </c>
      <c r="V10" s="1568" t="s">
        <v>8</v>
      </c>
      <c r="W10" s="1569">
        <f t="shared" si="2"/>
        <v>100</v>
      </c>
      <c r="X10" s="1570"/>
      <c r="Y10" s="3419" t="s">
        <v>534</v>
      </c>
      <c r="Z10" s="3420"/>
      <c r="AA10" s="1571">
        <f t="shared" ref="AA10:AA47" si="3">D10/F10</f>
        <v>1</v>
      </c>
      <c r="AB10" s="1571">
        <f t="shared" ref="AB10:AB47" si="4">D10/H10</f>
        <v>1</v>
      </c>
      <c r="AC10" s="1571">
        <f t="shared" ref="AC10:AC47" si="5">D10/J10</f>
        <v>1</v>
      </c>
    </row>
    <row r="11" spans="1:30" s="1220" customFormat="1" ht="20.25">
      <c r="A11" s="2940"/>
      <c r="B11" s="2947" t="s">
        <v>2762</v>
      </c>
      <c r="C11" s="3180" t="s">
        <v>3181</v>
      </c>
      <c r="D11" s="254">
        <v>100</v>
      </c>
      <c r="E11" s="3181" t="s">
        <v>3126</v>
      </c>
      <c r="F11" s="254">
        <f>SUMIF(77:77,E11,78:78)-SUMIF(77:77,C11,78:78)+100</f>
        <v>100</v>
      </c>
      <c r="G11" s="3181" t="s">
        <v>3126</v>
      </c>
      <c r="H11" s="254">
        <f>SUMIF(77:77,G11,78:78)-SUMIF(77:77,C11,78:78)+100</f>
        <v>100</v>
      </c>
      <c r="I11" s="3181" t="s">
        <v>3126</v>
      </c>
      <c r="J11" s="254">
        <f>SUMIF(77:77,I11,78:78)-SUMIF(77:77,C11,78:78)+100</f>
        <v>100</v>
      </c>
      <c r="K11" s="524"/>
      <c r="L11" s="2136"/>
      <c r="M11" s="2133"/>
      <c r="N11" s="2133"/>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30" t="s">
        <v>537</v>
      </c>
      <c r="Z11" s="1150" t="str">
        <f t="shared" ref="Z11:Z17" si="7">Q11</f>
        <v>用途</v>
      </c>
      <c r="AA11" s="1571">
        <f t="shared" si="3"/>
        <v>1</v>
      </c>
      <c r="AB11" s="1571">
        <f t="shared" si="4"/>
        <v>1</v>
      </c>
      <c r="AC11" s="1571">
        <f t="shared" si="5"/>
        <v>1</v>
      </c>
    </row>
    <row r="12" spans="1:30" s="1338" customFormat="1" ht="27">
      <c r="A12" s="2941"/>
      <c r="B12" s="2946" t="s">
        <v>2763</v>
      </c>
      <c r="C12" s="910" t="s">
        <v>3127</v>
      </c>
      <c r="D12" s="255">
        <v>100</v>
      </c>
      <c r="E12" s="529" t="s">
        <v>3127</v>
      </c>
      <c r="F12" s="255">
        <f>ROUND(100/'数据-取费表'!G16,0)</f>
        <v>101</v>
      </c>
      <c r="G12" s="530" t="s">
        <v>3128</v>
      </c>
      <c r="H12" s="255">
        <f>ROUND(100/'数据-取费表'!G16,0)</f>
        <v>101</v>
      </c>
      <c r="I12" s="530" t="s">
        <v>3129</v>
      </c>
      <c r="J12" s="255">
        <f>ROUND(100/'数据-取费表'!G16,0)</f>
        <v>101</v>
      </c>
      <c r="K12" s="531"/>
      <c r="L12" s="2139"/>
      <c r="M12" s="2133"/>
      <c r="N12" s="2133"/>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0"/>
      <c r="Z12" s="1150" t="str">
        <f t="shared" si="7"/>
        <v>土地使用年限（年）</v>
      </c>
      <c r="AA12" s="1571">
        <f t="shared" si="3"/>
        <v>0.99009900990099009</v>
      </c>
      <c r="AB12" s="1571">
        <f t="shared" si="4"/>
        <v>0.99009900990099009</v>
      </c>
      <c r="AC12" s="1571">
        <f t="shared" si="5"/>
        <v>0.99009900990099009</v>
      </c>
    </row>
    <row r="13" spans="1:30" ht="20.25">
      <c r="A13" s="2942"/>
      <c r="B13" s="2946" t="s">
        <v>2764</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388"/>
      <c r="Q13" s="1151" t="str">
        <f t="shared" si="6"/>
        <v>容积率</v>
      </c>
      <c r="R13" s="1568" t="s">
        <v>8</v>
      </c>
      <c r="S13" s="1569">
        <f t="shared" si="0"/>
        <v>96</v>
      </c>
      <c r="T13" s="1568" t="s">
        <v>8</v>
      </c>
      <c r="U13" s="1569">
        <f t="shared" si="1"/>
        <v>96</v>
      </c>
      <c r="V13" s="1568" t="s">
        <v>8</v>
      </c>
      <c r="W13" s="1569">
        <f t="shared" si="2"/>
        <v>100</v>
      </c>
      <c r="X13" s="1570"/>
      <c r="Y13" s="3330"/>
      <c r="Z13" s="1150" t="str">
        <f t="shared" si="7"/>
        <v>容积率</v>
      </c>
      <c r="AA13" s="1571">
        <f t="shared" si="3"/>
        <v>1.0416666666666667</v>
      </c>
      <c r="AB13" s="1571">
        <f t="shared" si="4"/>
        <v>1.0416666666666667</v>
      </c>
      <c r="AC13" s="1571">
        <f t="shared" si="5"/>
        <v>1</v>
      </c>
    </row>
    <row r="14" spans="1:30" s="1220" customFormat="1" ht="20.25">
      <c r="A14" s="2939"/>
      <c r="B14" s="2948" t="s">
        <v>2765</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88"/>
      <c r="Q14" s="1151" t="str">
        <f t="shared" si="6"/>
        <v>配建</v>
      </c>
      <c r="R14" s="1568" t="s">
        <v>8</v>
      </c>
      <c r="S14" s="1569">
        <f t="shared" si="0"/>
        <v>100</v>
      </c>
      <c r="T14" s="1568" t="s">
        <v>8</v>
      </c>
      <c r="U14" s="1569">
        <f t="shared" si="1"/>
        <v>100</v>
      </c>
      <c r="V14" s="1568" t="s">
        <v>8</v>
      </c>
      <c r="W14" s="1569">
        <f t="shared" si="2"/>
        <v>100</v>
      </c>
      <c r="X14" s="1570"/>
      <c r="Y14" s="3330"/>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8"/>
      <c r="Q15" s="1151">
        <f t="shared" si="6"/>
        <v>111</v>
      </c>
      <c r="R15" s="1568" t="s">
        <v>8</v>
      </c>
      <c r="S15" s="1569">
        <f t="shared" si="0"/>
        <v>100</v>
      </c>
      <c r="T15" s="1568" t="s">
        <v>8</v>
      </c>
      <c r="U15" s="1569">
        <f t="shared" si="1"/>
        <v>100</v>
      </c>
      <c r="V15" s="1568" t="s">
        <v>8</v>
      </c>
      <c r="W15" s="1569">
        <f t="shared" si="2"/>
        <v>100</v>
      </c>
      <c r="X15" s="1570"/>
      <c r="Y15" s="3330"/>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8" t="s">
        <v>8</v>
      </c>
      <c r="S16" s="1569">
        <f t="shared" si="0"/>
        <v>100</v>
      </c>
      <c r="T16" s="1568" t="s">
        <v>8</v>
      </c>
      <c r="U16" s="1569">
        <f t="shared" si="1"/>
        <v>100</v>
      </c>
      <c r="V16" s="1568" t="s">
        <v>8</v>
      </c>
      <c r="W16" s="1569">
        <f t="shared" si="2"/>
        <v>100</v>
      </c>
      <c r="X16" s="1570"/>
      <c r="Y16" s="3330"/>
      <c r="Z16" s="1150">
        <f t="shared" si="7"/>
        <v>111</v>
      </c>
      <c r="AA16" s="1571">
        <f>D16/F16</f>
        <v>1</v>
      </c>
      <c r="AB16" s="1571">
        <f>D16/H16</f>
        <v>1</v>
      </c>
      <c r="AC16" s="1571">
        <f>D16/J16</f>
        <v>1</v>
      </c>
    </row>
    <row r="17" spans="1:29" ht="99.75" hidden="1">
      <c r="A17" s="2936"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2" t="s">
        <v>541</v>
      </c>
      <c r="Q17" s="1572" t="str">
        <f t="shared" si="6"/>
        <v>居住社区成熟度</v>
      </c>
      <c r="R17" s="1573" t="s">
        <v>8</v>
      </c>
      <c r="S17" s="1574">
        <f t="shared" si="0"/>
        <v>100</v>
      </c>
      <c r="T17" s="1573" t="s">
        <v>8</v>
      </c>
      <c r="U17" s="1574">
        <f t="shared" si="1"/>
        <v>100</v>
      </c>
      <c r="V17" s="1573" t="s">
        <v>8</v>
      </c>
      <c r="W17" s="1574">
        <f t="shared" si="2"/>
        <v>100</v>
      </c>
      <c r="X17" s="1567"/>
      <c r="Y17" s="3422"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23"/>
      <c r="Q18" s="1572"/>
      <c r="R18" s="1573"/>
      <c r="S18" s="1574"/>
      <c r="T18" s="1573"/>
      <c r="U18" s="1574"/>
      <c r="V18" s="1573"/>
      <c r="W18" s="1574"/>
      <c r="X18" s="1567"/>
      <c r="Y18" s="3423"/>
      <c r="Z18" s="1575"/>
      <c r="AA18" s="1576">
        <v>1</v>
      </c>
      <c r="AB18" s="1576">
        <v>1</v>
      </c>
      <c r="AC18" s="1576">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23"/>
      <c r="Q19" s="1572" t="str">
        <f>B19</f>
        <v>商业繁华度</v>
      </c>
      <c r="R19" s="1573" t="s">
        <v>8</v>
      </c>
      <c r="S19" s="1574">
        <f>F19</f>
        <v>100</v>
      </c>
      <c r="T19" s="1573" t="s">
        <v>8</v>
      </c>
      <c r="U19" s="1574">
        <f>H19</f>
        <v>100</v>
      </c>
      <c r="V19" s="1573" t="s">
        <v>8</v>
      </c>
      <c r="W19" s="1574">
        <f>J19</f>
        <v>100</v>
      </c>
      <c r="X19" s="1567"/>
      <c r="Y19" s="3423"/>
      <c r="Z19" s="1575" t="str">
        <f>Q19</f>
        <v>商业繁华度</v>
      </c>
      <c r="AA19" s="1576">
        <f t="shared" si="3"/>
        <v>1</v>
      </c>
      <c r="AB19" s="1576">
        <f t="shared" si="4"/>
        <v>1</v>
      </c>
      <c r="AC19" s="1576">
        <f t="shared" si="5"/>
        <v>1</v>
      </c>
    </row>
    <row r="20" spans="1:29" ht="20.25" hidden="1">
      <c r="A20" s="532"/>
      <c r="B20" s="566"/>
      <c r="C20" s="567" t="s">
        <v>3141</v>
      </c>
      <c r="D20" s="563"/>
      <c r="E20" s="569" t="s">
        <v>3138</v>
      </c>
      <c r="F20" s="559"/>
      <c r="G20" s="568" t="s">
        <v>3138</v>
      </c>
      <c r="H20" s="555"/>
      <c r="I20" s="569" t="s">
        <v>3141</v>
      </c>
      <c r="J20" s="555"/>
      <c r="K20" s="531"/>
      <c r="L20" s="2143"/>
      <c r="M20" s="2133"/>
      <c r="N20" s="2133"/>
      <c r="O20" s="2142"/>
      <c r="P20" s="3423"/>
      <c r="Q20" s="1572"/>
      <c r="R20" s="1573"/>
      <c r="S20" s="1574"/>
      <c r="T20" s="1573"/>
      <c r="U20" s="1574"/>
      <c r="V20" s="1573"/>
      <c r="W20" s="1574"/>
      <c r="X20" s="1567"/>
      <c r="Y20" s="3423"/>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423"/>
      <c r="Q21" s="1572" t="str">
        <f>B21</f>
        <v>办公集聚程度</v>
      </c>
      <c r="R21" s="1573" t="s">
        <v>8</v>
      </c>
      <c r="S21" s="1574">
        <f>F21</f>
        <v>100</v>
      </c>
      <c r="T21" s="1573" t="s">
        <v>8</v>
      </c>
      <c r="U21" s="1574">
        <f>H21</f>
        <v>100</v>
      </c>
      <c r="V21" s="1573" t="s">
        <v>8</v>
      </c>
      <c r="W21" s="1574">
        <f>J21</f>
        <v>98</v>
      </c>
      <c r="X21" s="1567"/>
      <c r="Y21" s="3423"/>
      <c r="Z21" s="1575" t="str">
        <f>Q21</f>
        <v>办公集聚程度</v>
      </c>
      <c r="AA21" s="1576">
        <f t="shared" si="3"/>
        <v>1</v>
      </c>
      <c r="AB21" s="1576">
        <f t="shared" si="4"/>
        <v>1</v>
      </c>
      <c r="AC21" s="1576">
        <f t="shared" si="5"/>
        <v>1.0204081632653061</v>
      </c>
    </row>
    <row r="22" spans="1:29" ht="20.25">
      <c r="A22" s="532"/>
      <c r="B22" s="566"/>
      <c r="C22" s="554" t="s">
        <v>3138</v>
      </c>
      <c r="D22" s="557"/>
      <c r="E22" s="558" t="s">
        <v>3138</v>
      </c>
      <c r="F22" s="555"/>
      <c r="G22" s="556" t="s">
        <v>3138</v>
      </c>
      <c r="H22" s="555"/>
      <c r="I22" s="558" t="s">
        <v>3141</v>
      </c>
      <c r="J22" s="555"/>
      <c r="K22" s="531"/>
      <c r="L22" s="2143"/>
      <c r="M22" s="2133"/>
      <c r="N22" s="2133"/>
      <c r="O22" s="2142"/>
      <c r="P22" s="3423"/>
      <c r="Q22" s="1572"/>
      <c r="R22" s="1573"/>
      <c r="S22" s="1574"/>
      <c r="T22" s="1573"/>
      <c r="U22" s="1574"/>
      <c r="V22" s="1573"/>
      <c r="W22" s="1574"/>
      <c r="X22" s="1567"/>
      <c r="Y22" s="3423"/>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423"/>
      <c r="Q23" s="1572" t="str">
        <f>B23</f>
        <v>交通便捷度</v>
      </c>
      <c r="R23" s="1573" t="s">
        <v>8</v>
      </c>
      <c r="S23" s="1574">
        <f>F23</f>
        <v>100</v>
      </c>
      <c r="T23" s="1573" t="s">
        <v>8</v>
      </c>
      <c r="U23" s="1574">
        <f>H23</f>
        <v>100</v>
      </c>
      <c r="V23" s="1573" t="s">
        <v>8</v>
      </c>
      <c r="W23" s="1574">
        <f>J23</f>
        <v>98</v>
      </c>
      <c r="X23" s="1567"/>
      <c r="Y23" s="3423"/>
      <c r="Z23" s="1575" t="str">
        <f>Q23</f>
        <v>交通便捷度</v>
      </c>
      <c r="AA23" s="1576">
        <f t="shared" si="3"/>
        <v>1</v>
      </c>
      <c r="AB23" s="1576">
        <f t="shared" si="4"/>
        <v>1</v>
      </c>
      <c r="AC23" s="1576">
        <f t="shared" si="5"/>
        <v>1.0204081632653061</v>
      </c>
    </row>
    <row r="24" spans="1:29" ht="20.25">
      <c r="A24" s="532"/>
      <c r="B24" s="578"/>
      <c r="C24" s="554" t="s">
        <v>3138</v>
      </c>
      <c r="D24" s="557"/>
      <c r="E24" s="558" t="s">
        <v>3138</v>
      </c>
      <c r="F24" s="555"/>
      <c r="G24" s="556" t="s">
        <v>3138</v>
      </c>
      <c r="H24" s="555"/>
      <c r="I24" s="558" t="s">
        <v>3141</v>
      </c>
      <c r="J24" s="555"/>
      <c r="K24" s="531"/>
      <c r="L24" s="2143"/>
      <c r="M24" s="2133"/>
      <c r="N24" s="2133"/>
      <c r="O24" s="2142"/>
      <c r="P24" s="3423"/>
      <c r="Q24" s="1572"/>
      <c r="R24" s="1573"/>
      <c r="S24" s="1574"/>
      <c r="T24" s="1573"/>
      <c r="U24" s="1574"/>
      <c r="V24" s="1573"/>
      <c r="W24" s="1574"/>
      <c r="X24" s="1567"/>
      <c r="Y24" s="3423"/>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5"/>
      <c r="B26" s="1007"/>
      <c r="C26" s="554" t="s">
        <v>3138</v>
      </c>
      <c r="D26" s="557"/>
      <c r="E26" s="3186" t="s">
        <v>3139</v>
      </c>
      <c r="F26" s="555"/>
      <c r="G26" s="3187" t="s">
        <v>3139</v>
      </c>
      <c r="H26" s="555"/>
      <c r="I26" s="3186" t="s">
        <v>3139</v>
      </c>
      <c r="J26" s="555"/>
      <c r="K26" s="531"/>
      <c r="L26" s="2143"/>
      <c r="M26" s="2133"/>
      <c r="N26" s="2133"/>
      <c r="O26" s="2142"/>
      <c r="P26" s="3423"/>
      <c r="Q26" s="1572"/>
      <c r="R26" s="1573"/>
      <c r="S26" s="1574"/>
      <c r="T26" s="1573"/>
      <c r="U26" s="1574"/>
      <c r="V26" s="1573"/>
      <c r="W26" s="1574"/>
      <c r="X26" s="1567"/>
      <c r="Y26" s="3423"/>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103</v>
      </c>
      <c r="G27" s="562"/>
      <c r="H27" s="559">
        <f>SUMIF(100:100,G28,101:101)-SUMIF(100:100,C28,101:101)+100</f>
        <v>103</v>
      </c>
      <c r="I27" s="564"/>
      <c r="J27" s="559">
        <f>SUMIF(100:100,I28,101:101)-SUMIF(100:100,C28,101:101)+100</f>
        <v>100</v>
      </c>
      <c r="K27" s="535">
        <v>3</v>
      </c>
      <c r="L27" s="2143"/>
      <c r="M27" s="2133"/>
      <c r="N27" s="2133"/>
      <c r="O27" s="2142"/>
      <c r="P27" s="3423"/>
      <c r="Q27" s="1572" t="str">
        <f t="shared" si="8"/>
        <v>自然及人文环境状况</v>
      </c>
      <c r="R27" s="1573" t="s">
        <v>8</v>
      </c>
      <c r="S27" s="1574">
        <f>F27</f>
        <v>103</v>
      </c>
      <c r="T27" s="1573" t="s">
        <v>8</v>
      </c>
      <c r="U27" s="1574">
        <f>H27</f>
        <v>103</v>
      </c>
      <c r="V27" s="1573" t="s">
        <v>8</v>
      </c>
      <c r="W27" s="1574">
        <f>J27</f>
        <v>100</v>
      </c>
      <c r="X27" s="1567"/>
      <c r="Y27" s="3423"/>
      <c r="Z27" s="1575" t="str">
        <f>Q27</f>
        <v>自然及人文环境状况</v>
      </c>
      <c r="AA27" s="1576">
        <f t="shared" si="3"/>
        <v>0.970873786407767</v>
      </c>
      <c r="AB27" s="1576">
        <f t="shared" si="4"/>
        <v>0.970873786407767</v>
      </c>
      <c r="AC27" s="1576">
        <f t="shared" si="5"/>
        <v>1</v>
      </c>
    </row>
    <row r="28" spans="1:29" ht="20.25">
      <c r="A28" s="515"/>
      <c r="B28" s="566"/>
      <c r="C28" s="3188" t="s">
        <v>3152</v>
      </c>
      <c r="D28" s="557"/>
      <c r="E28" s="3189" t="s">
        <v>3139</v>
      </c>
      <c r="F28" s="555"/>
      <c r="G28" s="3188" t="s">
        <v>3139</v>
      </c>
      <c r="H28" s="555"/>
      <c r="I28" s="3189" t="s">
        <v>3141</v>
      </c>
      <c r="J28" s="555"/>
      <c r="K28" s="531"/>
      <c r="L28" s="2143"/>
      <c r="M28" s="2133"/>
      <c r="N28" s="2133"/>
      <c r="O28" s="2142"/>
      <c r="P28" s="3423"/>
      <c r="Q28" s="1572"/>
      <c r="R28" s="1573"/>
      <c r="S28" s="1574"/>
      <c r="T28" s="1573"/>
      <c r="U28" s="1574"/>
      <c r="V28" s="1573"/>
      <c r="W28" s="1574"/>
      <c r="X28" s="1567"/>
      <c r="Y28" s="3423"/>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100</v>
      </c>
      <c r="K29" s="535">
        <v>3</v>
      </c>
      <c r="L29" s="2136"/>
      <c r="M29" s="2133"/>
      <c r="N29" s="2133"/>
      <c r="O29" s="2138"/>
      <c r="P29" s="3423"/>
      <c r="Q29" s="1151" t="str">
        <f t="shared" si="8"/>
        <v>公共配套设施</v>
      </c>
      <c r="R29" s="1568" t="s">
        <v>8</v>
      </c>
      <c r="S29" s="1569">
        <f>F29</f>
        <v>103</v>
      </c>
      <c r="T29" s="1568" t="s">
        <v>8</v>
      </c>
      <c r="U29" s="1569">
        <f>H29</f>
        <v>103</v>
      </c>
      <c r="V29" s="1568" t="s">
        <v>8</v>
      </c>
      <c r="W29" s="1569">
        <f>J29</f>
        <v>100</v>
      </c>
      <c r="X29" s="1570"/>
      <c r="Y29" s="3423"/>
      <c r="Z29" s="1150" t="str">
        <f>Q29</f>
        <v>公共配套设施</v>
      </c>
      <c r="AA29" s="1576">
        <f>D29/F29</f>
        <v>0.970873786407767</v>
      </c>
      <c r="AB29" s="1576">
        <f>D29/H29</f>
        <v>0.970873786407767</v>
      </c>
      <c r="AC29" s="1576">
        <f>D29/J29</f>
        <v>1</v>
      </c>
    </row>
    <row r="30" spans="1:29" s="1220" customFormat="1" ht="20.25">
      <c r="A30" s="577"/>
      <c r="B30" s="566"/>
      <c r="C30" s="579" t="s">
        <v>3141</v>
      </c>
      <c r="D30" s="557"/>
      <c r="E30" s="576" t="s">
        <v>3138</v>
      </c>
      <c r="F30" s="555"/>
      <c r="G30" s="554" t="s">
        <v>3138</v>
      </c>
      <c r="H30" s="555"/>
      <c r="I30" s="576" t="s">
        <v>3141</v>
      </c>
      <c r="J30" s="555"/>
      <c r="K30" s="531"/>
      <c r="L30" s="2136"/>
      <c r="M30" s="2133"/>
      <c r="N30" s="2133"/>
      <c r="O30" s="2138"/>
      <c r="P30" s="3423"/>
      <c r="Q30" s="1151"/>
      <c r="R30" s="1568"/>
      <c r="S30" s="1569"/>
      <c r="T30" s="1568"/>
      <c r="U30" s="1569"/>
      <c r="V30" s="1568"/>
      <c r="W30" s="1569"/>
      <c r="X30" s="1570"/>
      <c r="Y30" s="3423"/>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23"/>
      <c r="Q31" s="2603" t="str">
        <f t="shared" ref="Q31" si="9">B31</f>
        <v>基础设施水平</v>
      </c>
      <c r="R31" s="1568" t="s">
        <v>8</v>
      </c>
      <c r="S31" s="1569">
        <f>F31</f>
        <v>100</v>
      </c>
      <c r="T31" s="1568" t="s">
        <v>8</v>
      </c>
      <c r="U31" s="1569">
        <f>H31</f>
        <v>100</v>
      </c>
      <c r="V31" s="1568" t="s">
        <v>8</v>
      </c>
      <c r="W31" s="1569">
        <f>J31</f>
        <v>100</v>
      </c>
      <c r="X31" s="1570"/>
      <c r="Y31" s="3423"/>
      <c r="Z31" s="2600" t="str">
        <f>Q31</f>
        <v>基础设施水平</v>
      </c>
      <c r="AA31" s="1576">
        <f>D31/F31</f>
        <v>1</v>
      </c>
      <c r="AB31" s="1576">
        <f>D31/H31</f>
        <v>1</v>
      </c>
      <c r="AC31" s="1576">
        <f>D31/J31</f>
        <v>1</v>
      </c>
    </row>
    <row r="32" spans="1:29" s="1220" customFormat="1" ht="20.25">
      <c r="A32" s="577"/>
      <c r="B32" s="566"/>
      <c r="C32" s="579" t="s">
        <v>3132</v>
      </c>
      <c r="D32" s="557"/>
      <c r="E32" s="2617" t="s">
        <v>3132</v>
      </c>
      <c r="F32" s="555"/>
      <c r="G32" s="579" t="s">
        <v>3132</v>
      </c>
      <c r="H32" s="555"/>
      <c r="I32" s="579" t="s">
        <v>3132</v>
      </c>
      <c r="J32" s="555"/>
      <c r="K32" s="531"/>
      <c r="L32" s="2136"/>
      <c r="M32" s="2133"/>
      <c r="N32" s="2133"/>
      <c r="O32" s="2138"/>
      <c r="P32" s="3423"/>
      <c r="Q32" s="2603"/>
      <c r="R32" s="1568"/>
      <c r="S32" s="1569"/>
      <c r="T32" s="1568"/>
      <c r="U32" s="1569"/>
      <c r="V32" s="1568"/>
      <c r="W32" s="1569"/>
      <c r="X32" s="1570"/>
      <c r="Y32" s="3423"/>
      <c r="Z32" s="2600"/>
      <c r="AA32" s="1576">
        <v>1</v>
      </c>
      <c r="AB32" s="1576">
        <v>1</v>
      </c>
      <c r="AC32" s="1576">
        <v>1</v>
      </c>
    </row>
    <row r="33" spans="1:29" ht="20.25">
      <c r="A33" s="532"/>
      <c r="B33" s="566" t="s">
        <v>548</v>
      </c>
      <c r="C33" s="580" t="s">
        <v>3153</v>
      </c>
      <c r="D33" s="575">
        <v>100</v>
      </c>
      <c r="E33" s="583" t="s">
        <v>3153</v>
      </c>
      <c r="F33" s="540">
        <f>SUMIF(106:106,E33,107:107)-SUMIF(106:106,C33,107:107)+100</f>
        <v>100</v>
      </c>
      <c r="G33" s="580" t="s">
        <v>3154</v>
      </c>
      <c r="H33" s="540">
        <f>SUMIF(106:106,G33,107:107)-SUMIF(106:106,C33,107:107)+100</f>
        <v>102</v>
      </c>
      <c r="I33" s="580" t="s">
        <v>3155</v>
      </c>
      <c r="J33" s="540">
        <f>SUMIF(106:106,I33,107:107)-SUMIF(106:106,C33,107:107)+100</f>
        <v>98</v>
      </c>
      <c r="K33" s="535">
        <v>2</v>
      </c>
      <c r="L33" s="2143"/>
      <c r="M33" s="2133"/>
      <c r="N33" s="2133"/>
      <c r="O33" s="2142"/>
      <c r="P33" s="3423"/>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423"/>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3"/>
      <c r="Q35" s="1572"/>
      <c r="R35" s="1573"/>
      <c r="S35" s="1574"/>
      <c r="T35" s="1573"/>
      <c r="U35" s="1574"/>
      <c r="V35" s="1573"/>
      <c r="W35" s="1574"/>
      <c r="X35" s="1567"/>
      <c r="Y35" s="3423"/>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423"/>
      <c r="Q36" s="1572" t="str">
        <f t="shared" si="8"/>
        <v>土地级别</v>
      </c>
      <c r="R36" s="1573" t="s">
        <v>8</v>
      </c>
      <c r="S36" s="1574">
        <f t="shared" si="10"/>
        <v>115</v>
      </c>
      <c r="T36" s="1573" t="s">
        <v>8</v>
      </c>
      <c r="U36" s="1574">
        <f t="shared" si="11"/>
        <v>109</v>
      </c>
      <c r="V36" s="1573" t="s">
        <v>8</v>
      </c>
      <c r="W36" s="1574">
        <f t="shared" si="12"/>
        <v>103</v>
      </c>
      <c r="X36" s="1567"/>
      <c r="Y36" s="3423"/>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3"/>
      <c r="Q37" s="1572">
        <f t="shared" si="8"/>
        <v>111</v>
      </c>
      <c r="R37" s="1573" t="s">
        <v>8</v>
      </c>
      <c r="S37" s="1574">
        <f t="shared" si="10"/>
        <v>100</v>
      </c>
      <c r="T37" s="1573" t="s">
        <v>8</v>
      </c>
      <c r="U37" s="1574">
        <f t="shared" si="11"/>
        <v>100</v>
      </c>
      <c r="V37" s="1573" t="s">
        <v>8</v>
      </c>
      <c r="W37" s="1574">
        <f t="shared" si="12"/>
        <v>100</v>
      </c>
      <c r="X37" s="1567"/>
      <c r="Y37" s="342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4" t="s">
        <v>551</v>
      </c>
      <c r="Q38" s="1572">
        <f t="shared" si="8"/>
        <v>111</v>
      </c>
      <c r="R38" s="1573" t="s">
        <v>8</v>
      </c>
      <c r="S38" s="1574">
        <f t="shared" si="10"/>
        <v>100</v>
      </c>
      <c r="T38" s="1573" t="s">
        <v>8</v>
      </c>
      <c r="U38" s="1574">
        <f t="shared" si="11"/>
        <v>100</v>
      </c>
      <c r="V38" s="1573" t="s">
        <v>8</v>
      </c>
      <c r="W38" s="1574">
        <f t="shared" si="12"/>
        <v>100</v>
      </c>
      <c r="X38" s="1567"/>
      <c r="Y38" s="3425"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5"/>
      <c r="Q39" s="1572">
        <f t="shared" si="8"/>
        <v>111</v>
      </c>
      <c r="R39" s="1577" t="s">
        <v>8</v>
      </c>
      <c r="S39" s="1578">
        <f t="shared" si="10"/>
        <v>100</v>
      </c>
      <c r="T39" s="1577" t="s">
        <v>8</v>
      </c>
      <c r="U39" s="1578">
        <f t="shared" si="11"/>
        <v>100</v>
      </c>
      <c r="V39" s="1577" t="s">
        <v>8</v>
      </c>
      <c r="W39" s="1578">
        <f t="shared" si="12"/>
        <v>100</v>
      </c>
      <c r="X39" s="1579"/>
      <c r="Y39" s="3425"/>
      <c r="Z39" s="1580">
        <f t="shared" si="13"/>
        <v>111</v>
      </c>
      <c r="AA39" s="1576">
        <f t="shared" si="3"/>
        <v>1</v>
      </c>
      <c r="AB39" s="1576">
        <f t="shared" si="4"/>
        <v>1</v>
      </c>
      <c r="AC39" s="1576">
        <f t="shared" si="5"/>
        <v>1</v>
      </c>
    </row>
    <row r="40" spans="1:29" ht="20.25">
      <c r="A40" s="2934" t="s">
        <v>2761</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425"/>
      <c r="Q40" s="1572" t="str">
        <f>B40</f>
        <v>宗地面积</v>
      </c>
      <c r="R40" s="1573" t="s">
        <v>8</v>
      </c>
      <c r="S40" s="1574">
        <f t="shared" si="10"/>
        <v>100</v>
      </c>
      <c r="T40" s="1573" t="s">
        <v>8</v>
      </c>
      <c r="U40" s="1574">
        <f t="shared" si="11"/>
        <v>100</v>
      </c>
      <c r="V40" s="1573" t="s">
        <v>8</v>
      </c>
      <c r="W40" s="1574">
        <f t="shared" si="12"/>
        <v>104</v>
      </c>
      <c r="X40" s="1567"/>
      <c r="Y40" s="3425"/>
      <c r="Z40" s="1575" t="str">
        <f t="shared" si="13"/>
        <v>宗地面积</v>
      </c>
      <c r="AA40" s="1576">
        <f t="shared" si="3"/>
        <v>1</v>
      </c>
      <c r="AB40" s="1576">
        <f t="shared" si="4"/>
        <v>1</v>
      </c>
      <c r="AC40" s="1576">
        <f t="shared" si="5"/>
        <v>0.96153846153846156</v>
      </c>
    </row>
    <row r="41" spans="1:29" ht="20.25">
      <c r="A41" s="594"/>
      <c r="B41" s="527" t="s">
        <v>554</v>
      </c>
      <c r="C41" s="599" t="s">
        <v>3146</v>
      </c>
      <c r="D41" s="540">
        <v>100</v>
      </c>
      <c r="E41" s="599" t="s">
        <v>3146</v>
      </c>
      <c r="F41" s="540">
        <f>SUMIF(121:121,E41,122:122)-SUMIF(121:121,C41,122:122)+100</f>
        <v>100</v>
      </c>
      <c r="G41" s="599" t="s">
        <v>3146</v>
      </c>
      <c r="H41" s="540">
        <f>SUMIF(121:121,G41,122:122)-SUMIF(121:121,C41,122:122)+100</f>
        <v>100</v>
      </c>
      <c r="I41" s="599" t="s">
        <v>3146</v>
      </c>
      <c r="J41" s="540">
        <f>SUMIF(121:121,I41,122:122)-SUMIF(121:121,C41,122:122)+100</f>
        <v>100</v>
      </c>
      <c r="K41" s="584">
        <v>2</v>
      </c>
      <c r="L41" s="2143"/>
      <c r="M41" s="2133"/>
      <c r="N41" s="2133"/>
      <c r="O41" s="2142"/>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c r="A42" s="594"/>
      <c r="B42" s="527" t="s">
        <v>555</v>
      </c>
      <c r="C42" s="599" t="s">
        <v>3149</v>
      </c>
      <c r="D42" s="540">
        <v>100</v>
      </c>
      <c r="E42" s="599" t="s">
        <v>3149</v>
      </c>
      <c r="F42" s="540">
        <f>SUMIF(123:123,E42,124:124)-SUMIF(123:123,C42,124:124)+100</f>
        <v>100</v>
      </c>
      <c r="G42" s="599" t="s">
        <v>3149</v>
      </c>
      <c r="H42" s="540">
        <f>SUMIF(123:123,G42,124:124)-SUMIF(123:123,C42,124:124)+100</f>
        <v>100</v>
      </c>
      <c r="I42" s="599" t="s">
        <v>3149</v>
      </c>
      <c r="J42" s="540">
        <f>SUMIF(123:123,I42,124:124)-SUMIF(123:123,C42,124:124)+100</f>
        <v>100</v>
      </c>
      <c r="K42" s="584">
        <v>2</v>
      </c>
      <c r="L42" s="2143"/>
      <c r="M42" s="2133"/>
      <c r="N42" s="2133"/>
      <c r="O42" s="2142"/>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20" customFormat="1" ht="20.25">
      <c r="A43" s="600"/>
      <c r="B43" s="1896" t="s">
        <v>2427</v>
      </c>
      <c r="C43" s="601" t="s">
        <v>3132</v>
      </c>
      <c r="D43" s="255">
        <v>100</v>
      </c>
      <c r="E43" s="3182" t="s">
        <v>3130</v>
      </c>
      <c r="F43" s="540">
        <f>SUMIF(125:125,E43,126:126)-SUMIF(125:125,C43,126:126)+100</f>
        <v>100</v>
      </c>
      <c r="G43" s="601" t="s">
        <v>3132</v>
      </c>
      <c r="H43" s="540">
        <f>SUMIF(125:125,G43,126:126)-SUMIF(125:125,C43,126:126)+100</f>
        <v>100</v>
      </c>
      <c r="I43" s="601" t="s">
        <v>3134</v>
      </c>
      <c r="J43" s="540">
        <f>SUMIF(125:125,I43,126:126)-SUMIF(125:125,C43,126:126)+100</f>
        <v>100</v>
      </c>
      <c r="K43" s="584">
        <v>0</v>
      </c>
      <c r="L43" s="2136"/>
      <c r="M43" s="2133"/>
      <c r="N43" s="2133"/>
      <c r="O43" s="2138"/>
      <c r="P43" s="3425"/>
      <c r="Q43" s="1572" t="str">
        <f t="shared" si="14"/>
        <v>宗地开发程度</v>
      </c>
      <c r="R43" s="1568" t="s">
        <v>8</v>
      </c>
      <c r="S43" s="1569">
        <f t="shared" si="10"/>
        <v>100</v>
      </c>
      <c r="T43" s="1568" t="s">
        <v>8</v>
      </c>
      <c r="U43" s="1569">
        <f t="shared" si="11"/>
        <v>100</v>
      </c>
      <c r="V43" s="1568" t="s">
        <v>8</v>
      </c>
      <c r="W43" s="1569">
        <f t="shared" si="12"/>
        <v>100</v>
      </c>
      <c r="X43" s="1570"/>
      <c r="Y43" s="3425"/>
      <c r="Z43" s="1150" t="str">
        <f t="shared" si="13"/>
        <v>宗地开发程度</v>
      </c>
      <c r="AA43" s="1571">
        <f t="shared" si="3"/>
        <v>1</v>
      </c>
      <c r="AB43" s="1571">
        <f t="shared" si="4"/>
        <v>1</v>
      </c>
      <c r="AC43" s="1571">
        <f t="shared" si="5"/>
        <v>1</v>
      </c>
    </row>
    <row r="44" spans="1:29" ht="20.25">
      <c r="A44" s="594"/>
      <c r="B44" s="527" t="s">
        <v>556</v>
      </c>
      <c r="C44" s="3185" t="s">
        <v>3139</v>
      </c>
      <c r="D44" s="540">
        <v>100</v>
      </c>
      <c r="E44" s="3185" t="s">
        <v>3139</v>
      </c>
      <c r="F44" s="540">
        <f>SUMIF(127:127,E44,128:128)-SUMIF(127:127,C44,128:128)+100</f>
        <v>100</v>
      </c>
      <c r="G44" s="3185" t="s">
        <v>3151</v>
      </c>
      <c r="H44" s="540">
        <f>SUMIF(127:127,G44,128:128)-SUMIF(127:127,C44,128:128)+100</f>
        <v>100</v>
      </c>
      <c r="I44" s="3185" t="s">
        <v>3139</v>
      </c>
      <c r="J44" s="540">
        <f>SUMIF(127:127,I44,128:128)-SUMIF(127:127,C44,128:128)+100</f>
        <v>100</v>
      </c>
      <c r="K44" s="584">
        <v>2</v>
      </c>
      <c r="L44" s="2143"/>
      <c r="M44" s="2133"/>
      <c r="N44" s="2133"/>
      <c r="O44" s="2142"/>
      <c r="P44" s="3425" t="s">
        <v>551</v>
      </c>
      <c r="Q44" s="1572" t="str">
        <f t="shared" si="14"/>
        <v>工程地质条件</v>
      </c>
      <c r="R44" s="1573" t="s">
        <v>8</v>
      </c>
      <c r="S44" s="1574">
        <f t="shared" si="10"/>
        <v>100</v>
      </c>
      <c r="T44" s="1573" t="s">
        <v>8</v>
      </c>
      <c r="U44" s="1574">
        <f t="shared" si="11"/>
        <v>100</v>
      </c>
      <c r="V44" s="1573" t="s">
        <v>8</v>
      </c>
      <c r="W44" s="1574">
        <f t="shared" si="12"/>
        <v>100</v>
      </c>
      <c r="X44" s="1567"/>
      <c r="Y44" s="3425"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5"/>
      <c r="Q45" s="1572">
        <f t="shared" si="14"/>
        <v>111</v>
      </c>
      <c r="R45" s="1573" t="s">
        <v>8</v>
      </c>
      <c r="S45" s="1574">
        <f t="shared" si="10"/>
        <v>100</v>
      </c>
      <c r="T45" s="1573" t="s">
        <v>8</v>
      </c>
      <c r="U45" s="1574">
        <f t="shared" si="11"/>
        <v>100</v>
      </c>
      <c r="V45" s="1573" t="s">
        <v>8</v>
      </c>
      <c r="W45" s="1574">
        <f t="shared" si="12"/>
        <v>100</v>
      </c>
      <c r="X45" s="1567"/>
      <c r="Y45" s="342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5"/>
      <c r="Q46" s="1572">
        <f t="shared" si="14"/>
        <v>111</v>
      </c>
      <c r="R46" s="1573" t="s">
        <v>8</v>
      </c>
      <c r="S46" s="1574">
        <f t="shared" si="10"/>
        <v>100</v>
      </c>
      <c r="T46" s="1573" t="s">
        <v>8</v>
      </c>
      <c r="U46" s="1574">
        <f t="shared" si="11"/>
        <v>100</v>
      </c>
      <c r="V46" s="1573" t="s">
        <v>8</v>
      </c>
      <c r="W46" s="1574">
        <f t="shared" si="12"/>
        <v>100</v>
      </c>
      <c r="X46" s="1567"/>
      <c r="Y46" s="342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5"/>
      <c r="Q47" s="1572">
        <f t="shared" si="14"/>
        <v>111</v>
      </c>
      <c r="R47" s="1577" t="s">
        <v>8</v>
      </c>
      <c r="S47" s="1578">
        <f t="shared" si="10"/>
        <v>100</v>
      </c>
      <c r="T47" s="1577" t="s">
        <v>8</v>
      </c>
      <c r="U47" s="1578">
        <f t="shared" si="11"/>
        <v>100</v>
      </c>
      <c r="V47" s="1577" t="s">
        <v>8</v>
      </c>
      <c r="W47" s="1578">
        <f t="shared" si="12"/>
        <v>100</v>
      </c>
      <c r="X47" s="1579"/>
      <c r="Y47" s="3425"/>
      <c r="Z47" s="1580">
        <f t="shared" si="13"/>
        <v>111</v>
      </c>
      <c r="AA47" s="1576">
        <f t="shared" si="3"/>
        <v>1</v>
      </c>
      <c r="AB47" s="1576">
        <f t="shared" si="4"/>
        <v>1</v>
      </c>
      <c r="AC47" s="1576">
        <f t="shared" si="5"/>
        <v>1</v>
      </c>
    </row>
    <row r="48" spans="1:29" ht="20.25">
      <c r="A48" s="607" t="s">
        <v>557</v>
      </c>
      <c r="B48" s="608" t="s">
        <v>3162</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388" t="str">
        <f>A48</f>
        <v>成交单价</v>
      </c>
      <c r="Q48" s="3388"/>
      <c r="R48" s="3389">
        <f>E48</f>
        <v>27938</v>
      </c>
      <c r="S48" s="3389"/>
      <c r="T48" s="3389">
        <f>G48</f>
        <v>23998</v>
      </c>
      <c r="U48" s="3389"/>
      <c r="V48" s="3389">
        <f>I48</f>
        <v>24490</v>
      </c>
      <c r="W48" s="3389"/>
      <c r="X48" s="1559"/>
      <c r="Y48" s="1581"/>
      <c r="Z48" s="1559"/>
      <c r="AA48" s="1559"/>
      <c r="AB48" s="1559"/>
      <c r="AC48" s="1559"/>
    </row>
    <row r="49" spans="1:29" ht="21" thickBot="1">
      <c r="A49" s="615" t="s">
        <v>2699</v>
      </c>
      <c r="B49" s="616"/>
      <c r="C49" s="617">
        <f>R50</f>
        <v>23282</v>
      </c>
      <c r="D49" s="618"/>
      <c r="E49" s="617">
        <f>R49</f>
        <v>23856</v>
      </c>
      <c r="F49" s="619"/>
      <c r="G49" s="620">
        <f>T49</f>
        <v>21196</v>
      </c>
      <c r="H49" s="618"/>
      <c r="I49" s="617">
        <f>V49</f>
        <v>24794</v>
      </c>
      <c r="J49" s="618"/>
      <c r="K49" s="1341"/>
      <c r="L49" s="2145"/>
      <c r="M49" s="2133"/>
      <c r="N49" s="2133"/>
      <c r="O49" s="2146"/>
      <c r="P49" s="3388" t="str">
        <f>A49</f>
        <v>比较价格（元/平方米）</v>
      </c>
      <c r="Q49" s="3388"/>
      <c r="R49" s="3390">
        <f>ROUND(PRODUCT(R48,AA9:AA47),0)</f>
        <v>23856</v>
      </c>
      <c r="S49" s="3390"/>
      <c r="T49" s="3390">
        <f>ROUND(PRODUCT(T48,AB9:AB47),0)</f>
        <v>21196</v>
      </c>
      <c r="U49" s="3390"/>
      <c r="V49" s="3390">
        <f>ROUND(PRODUCT(V48,AC9:AC47),0)</f>
        <v>24794</v>
      </c>
      <c r="W49" s="3390"/>
      <c r="X49" s="1559"/>
      <c r="Y49" s="1559"/>
      <c r="Z49" s="1559"/>
      <c r="AA49" s="1559"/>
      <c r="AB49" s="1559"/>
      <c r="AC49" s="1559"/>
    </row>
    <row r="50" spans="1:29" ht="21" thickBot="1">
      <c r="A50" s="621" t="s">
        <v>2939</v>
      </c>
      <c r="B50" s="622"/>
      <c r="C50" s="623">
        <f>R50</f>
        <v>23282</v>
      </c>
      <c r="D50" s="623"/>
      <c r="E50" s="623"/>
      <c r="F50" s="623"/>
      <c r="G50" s="623"/>
      <c r="H50" s="623"/>
      <c r="I50" s="623"/>
      <c r="J50" s="623"/>
      <c r="K50" s="1342"/>
      <c r="L50" s="2145"/>
      <c r="M50" s="2133"/>
      <c r="N50" s="2133"/>
      <c r="O50" s="2146"/>
      <c r="P50" s="3385" t="str">
        <f>A50</f>
        <v>估价对象XX用房的比较价格（楼面单价，元/平方米）</v>
      </c>
      <c r="Q50" s="3386"/>
      <c r="R50" s="3387">
        <f>ROUND(AVERAGE(R49:V49),0)</f>
        <v>23282</v>
      </c>
      <c r="S50" s="3387"/>
      <c r="T50" s="3387"/>
      <c r="U50" s="3387"/>
      <c r="V50" s="3387"/>
      <c r="W50" s="338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0.17110999329309196</v>
      </c>
      <c r="F53" s="627" t="str">
        <f>IF(OR(E53&gt;=0.3,E53&lt;=-0.3),"超过30%","")</f>
        <v/>
      </c>
      <c r="G53" s="626">
        <f>IF(G48&lt;G49,G49/G48-1,G48/G49-1)</f>
        <v>0.13219475372711842</v>
      </c>
      <c r="H53" s="627" t="str">
        <f>IF(OR(G53&gt;=0.3,G53&lt;=-0.3),"超过30%","")</f>
        <v/>
      </c>
      <c r="I53" s="626">
        <f>IF(I48&lt;I49,I49/I48-1,I48/I49-1)</f>
        <v>1.2413229889751021E-2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0.12549537648612952</v>
      </c>
      <c r="F54" s="627" t="str">
        <f>IF(OR(E54&gt;=0.2,E54&lt;=-0.2),"超过20%","")</f>
        <v/>
      </c>
      <c r="G54" s="626">
        <f>IF(G49&lt;I49,I49/G49-1,G49/I49-1)</f>
        <v>0.16974900924702774</v>
      </c>
      <c r="H54" s="627" t="str">
        <f>IF(OR(G54&gt;=0.2,G54&lt;=-0.2),"超过20%","")</f>
        <v/>
      </c>
      <c r="I54" s="626">
        <f>IF(I49&lt;E49,E49/I49-1,I49/E49-1)</f>
        <v>3.9319248826291009E-2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414" t="s">
        <v>2283</v>
      </c>
      <c r="H57" s="3415"/>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23282</v>
      </c>
      <c r="C58" s="635">
        <v>1</v>
      </c>
      <c r="D58" s="2229">
        <v>1</v>
      </c>
      <c r="E58" s="635">
        <f>'数据-汇总表'!E8+'数据-汇总表'!E9</f>
        <v>52504.74</v>
      </c>
      <c r="F58" s="636">
        <f t="shared" ref="F58:F67" si="15">ROUND(B58*E58/10000,0)</f>
        <v>122242</v>
      </c>
      <c r="G58" s="3416"/>
      <c r="H58" s="341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3492</v>
      </c>
      <c r="C59" s="378">
        <f t="shared" ref="C59:C67" si="16">IF($C$57="北京市系数",I59,J59)</f>
        <v>0.6</v>
      </c>
      <c r="D59" s="2230">
        <v>0.25</v>
      </c>
      <c r="E59" s="639">
        <v>0</v>
      </c>
      <c r="F59" s="636">
        <f t="shared" si="15"/>
        <v>0</v>
      </c>
      <c r="G59" s="3418"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1746</v>
      </c>
      <c r="C60" s="378">
        <f t="shared" si="16"/>
        <v>0.3</v>
      </c>
      <c r="D60" s="2230">
        <v>0.25</v>
      </c>
      <c r="E60" s="639">
        <v>0</v>
      </c>
      <c r="F60" s="636">
        <f t="shared" si="15"/>
        <v>0</v>
      </c>
      <c r="G60" s="3418"/>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1164</v>
      </c>
      <c r="C61" s="378">
        <f t="shared" si="16"/>
        <v>0.2</v>
      </c>
      <c r="D61" s="2230">
        <v>0.25</v>
      </c>
      <c r="E61" s="639">
        <v>0</v>
      </c>
      <c r="F61" s="636">
        <f t="shared" si="15"/>
        <v>0</v>
      </c>
      <c r="G61" s="3418"/>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1164</v>
      </c>
      <c r="C62" s="378">
        <f t="shared" si="16"/>
        <v>0.2</v>
      </c>
      <c r="D62" s="2230">
        <v>0.25</v>
      </c>
      <c r="E62" s="639">
        <v>0</v>
      </c>
      <c r="F62" s="636">
        <f t="shared" si="15"/>
        <v>0</v>
      </c>
      <c r="G62" s="3418"/>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1164</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1164</v>
      </c>
      <c r="C64" s="378">
        <f t="shared" si="16"/>
        <v>0.2</v>
      </c>
      <c r="D64" s="2230">
        <v>0.25</v>
      </c>
      <c r="E64" s="641">
        <f>'数据-汇总表'!E12</f>
        <v>2049.86</v>
      </c>
      <c r="F64" s="636">
        <f t="shared" si="15"/>
        <v>239</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873</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873</v>
      </c>
      <c r="C67" s="378">
        <f t="shared" si="16"/>
        <v>0.15</v>
      </c>
      <c r="D67" s="2230">
        <v>0.25</v>
      </c>
      <c r="E67" s="641">
        <f>'数据-汇总表'!E15</f>
        <v>5553.4399999999987</v>
      </c>
      <c r="F67" s="636">
        <f t="shared" si="15"/>
        <v>485</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60108.039999999994</v>
      </c>
      <c r="F68" s="644">
        <f>IF(B48="楼面地价",SUM(F58:F67),ROUND(C50*E68/10000,0))</f>
        <v>122966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2653</v>
      </c>
      <c r="B73" s="479" t="str">
        <f>"北京市平均增长率"&amp;TEXT(SUMIF(基准地价!N21:N25,A73,基准地价!P21:P25),"0.00%")</f>
        <v>北京市平均增长率2.30%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2652</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4" t="s">
        <v>3156</v>
      </c>
      <c r="D110" s="3184" t="s">
        <v>3157</v>
      </c>
      <c r="E110" s="3184" t="s">
        <v>3158</v>
      </c>
      <c r="F110" s="3184" t="s">
        <v>3159</v>
      </c>
      <c r="G110" s="3184" t="s">
        <v>3160</v>
      </c>
      <c r="H110" s="3184" t="s">
        <v>3161</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4" t="s">
        <v>3145</v>
      </c>
      <c r="D121" s="3184" t="s">
        <v>3147</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3" t="s">
        <v>3148</v>
      </c>
      <c r="D123" s="3183" t="s">
        <v>3150</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3133</v>
      </c>
      <c r="D125" s="1375" t="s">
        <v>3135</v>
      </c>
      <c r="E125" s="1375" t="s">
        <v>3136</v>
      </c>
      <c r="F125" s="1375" t="s">
        <v>3131</v>
      </c>
      <c r="G125" s="1375" t="s">
        <v>3137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3" t="s">
        <v>3140</v>
      </c>
      <c r="D127" s="3183" t="s">
        <v>3139</v>
      </c>
      <c r="E127" s="3184" t="s">
        <v>3142</v>
      </c>
      <c r="F127" s="3184" t="s">
        <v>3143</v>
      </c>
      <c r="G127" s="3184"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94" t="s">
        <v>523</v>
      </c>
      <c r="D6" s="3395"/>
      <c r="E6" s="3428" t="s">
        <v>524</v>
      </c>
      <c r="F6" s="3429"/>
      <c r="G6" s="3394" t="s">
        <v>525</v>
      </c>
      <c r="H6" s="3395"/>
      <c r="I6" s="3394" t="s">
        <v>526</v>
      </c>
      <c r="J6" s="3395"/>
      <c r="K6" s="514" t="s">
        <v>527</v>
      </c>
      <c r="L6" s="2134"/>
      <c r="M6" s="2135"/>
      <c r="N6" s="2135"/>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29" ht="15">
      <c r="A7" s="515"/>
      <c r="B7" s="516"/>
      <c r="C7" s="3410" t="s">
        <v>2933</v>
      </c>
      <c r="D7" s="3411"/>
      <c r="E7" s="3430" t="s">
        <v>2934</v>
      </c>
      <c r="F7" s="3431"/>
      <c r="G7" s="3410" t="s">
        <v>2935</v>
      </c>
      <c r="H7" s="3411"/>
      <c r="I7" s="3410" t="s">
        <v>2936</v>
      </c>
      <c r="J7" s="3411"/>
      <c r="K7" s="514"/>
      <c r="L7" s="2134"/>
      <c r="M7" s="2135"/>
      <c r="N7" s="2135"/>
      <c r="O7" s="2135"/>
      <c r="P7" s="3398"/>
      <c r="Q7" s="3399"/>
      <c r="R7" s="3404"/>
      <c r="S7" s="3405"/>
      <c r="T7" s="3404"/>
      <c r="U7" s="3405"/>
      <c r="V7" s="3389"/>
      <c r="W7" s="3389"/>
      <c r="X7" s="1567"/>
      <c r="Y7" s="3404"/>
      <c r="Z7" s="3405"/>
      <c r="AA7" s="3392"/>
      <c r="AB7" s="3392"/>
      <c r="AC7" s="3392"/>
    </row>
    <row r="8" spans="1:29" ht="15.75" thickBot="1">
      <c r="A8" s="517"/>
      <c r="B8" s="518"/>
      <c r="C8" s="3408" t="s">
        <v>2937</v>
      </c>
      <c r="D8" s="3409"/>
      <c r="E8" s="3426" t="s">
        <v>2937</v>
      </c>
      <c r="F8" s="3427"/>
      <c r="G8" s="3408" t="s">
        <v>2937</v>
      </c>
      <c r="H8" s="3409"/>
      <c r="I8" s="3408" t="s">
        <v>2937</v>
      </c>
      <c r="J8" s="3409"/>
      <c r="K8" s="514" t="s">
        <v>529</v>
      </c>
      <c r="L8" s="2134"/>
      <c r="M8" s="2135"/>
      <c r="N8" s="2135"/>
      <c r="O8" s="2135"/>
      <c r="P8" s="3400"/>
      <c r="Q8" s="3401"/>
      <c r="R8" s="3404"/>
      <c r="S8" s="3405"/>
      <c r="T8" s="3406"/>
      <c r="U8" s="3407"/>
      <c r="V8" s="3389"/>
      <c r="W8" s="3389"/>
      <c r="X8" s="1567"/>
      <c r="Y8" s="3406"/>
      <c r="Z8" s="3407"/>
      <c r="AA8" s="3393"/>
      <c r="AB8" s="3393"/>
      <c r="AC8" s="3393"/>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9" t="s">
        <v>531</v>
      </c>
      <c r="Q9" s="3421"/>
      <c r="R9" s="1568" t="s">
        <v>8</v>
      </c>
      <c r="S9" s="1569">
        <f t="shared" ref="S9:S17" si="0">F9</f>
        <v>0</v>
      </c>
      <c r="T9" s="1568" t="s">
        <v>8</v>
      </c>
      <c r="U9" s="1569">
        <f t="shared" ref="U9:U17" si="1">H9</f>
        <v>0</v>
      </c>
      <c r="V9" s="1568" t="s">
        <v>8</v>
      </c>
      <c r="W9" s="1569">
        <f t="shared" ref="W9:W17" si="2">J9</f>
        <v>0</v>
      </c>
      <c r="X9" s="1570"/>
      <c r="Y9" s="3419" t="s">
        <v>531</v>
      </c>
      <c r="Z9" s="3420"/>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9" t="s">
        <v>534</v>
      </c>
      <c r="Q10" s="3420"/>
      <c r="R10" s="1568" t="s">
        <v>8</v>
      </c>
      <c r="S10" s="1569">
        <f t="shared" si="0"/>
        <v>0</v>
      </c>
      <c r="T10" s="1568" t="s">
        <v>8</v>
      </c>
      <c r="U10" s="1569">
        <f t="shared" si="1"/>
        <v>0</v>
      </c>
      <c r="V10" s="1568" t="s">
        <v>8</v>
      </c>
      <c r="W10" s="1569">
        <f t="shared" si="2"/>
        <v>0</v>
      </c>
      <c r="X10" s="1570"/>
      <c r="Y10" s="3419" t="s">
        <v>534</v>
      </c>
      <c r="Z10" s="3420"/>
      <c r="AA10" s="1571" t="e">
        <f t="shared" ref="AA10:AA42" si="3">D10/F10</f>
        <v>#DIV/0!</v>
      </c>
      <c r="AB10" s="1571" t="e">
        <f t="shared" ref="AB10:AB42" si="4">D10/H10</f>
        <v>#DIV/0!</v>
      </c>
      <c r="AC10" s="1571" t="e">
        <f t="shared" ref="AC10:AC42" si="5">D10/J10</f>
        <v>#DIV/0!</v>
      </c>
    </row>
    <row r="11" spans="1:29" s="1220" customFormat="1" ht="15">
      <c r="A11" s="2940"/>
      <c r="B11" s="2947" t="s">
        <v>2762</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30" t="s">
        <v>537</v>
      </c>
      <c r="Z11" s="1150" t="str">
        <f t="shared" ref="Z11:Z17" si="7">Q11</f>
        <v>用途</v>
      </c>
      <c r="AA11" s="1571">
        <f t="shared" si="3"/>
        <v>1</v>
      </c>
      <c r="AB11" s="1571">
        <f t="shared" si="4"/>
        <v>1</v>
      </c>
      <c r="AC11" s="1571">
        <f t="shared" si="5"/>
        <v>1</v>
      </c>
    </row>
    <row r="12" spans="1:29" s="1338" customFormat="1" ht="27">
      <c r="A12" s="2941"/>
      <c r="B12" s="2946" t="s">
        <v>2763</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0"/>
      <c r="Z12" s="1150" t="str">
        <f t="shared" si="7"/>
        <v>土地使用年限（年）</v>
      </c>
      <c r="AA12" s="1571">
        <f t="shared" si="3"/>
        <v>0.99009900990099009</v>
      </c>
      <c r="AB12" s="1571">
        <f t="shared" si="4"/>
        <v>0.99009900990099009</v>
      </c>
      <c r="AC12" s="1571">
        <f t="shared" si="5"/>
        <v>0.99009900990099009</v>
      </c>
    </row>
    <row r="13" spans="1:29" ht="15">
      <c r="A13" s="2942"/>
      <c r="B13" s="2946"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8" t="s">
        <v>8</v>
      </c>
      <c r="S13" s="1569" t="e">
        <f t="shared" si="0"/>
        <v>#N/A</v>
      </c>
      <c r="T13" s="1568" t="s">
        <v>8</v>
      </c>
      <c r="U13" s="1569" t="e">
        <f t="shared" si="1"/>
        <v>#N/A</v>
      </c>
      <c r="V13" s="1568" t="s">
        <v>8</v>
      </c>
      <c r="W13" s="1569" t="e">
        <f t="shared" si="2"/>
        <v>#N/A</v>
      </c>
      <c r="X13" s="1570"/>
      <c r="Y13" s="3330"/>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8" t="s">
        <v>8</v>
      </c>
      <c r="S15" s="1569">
        <f t="shared" si="0"/>
        <v>100</v>
      </c>
      <c r="T15" s="1568" t="s">
        <v>8</v>
      </c>
      <c r="U15" s="1569">
        <f t="shared" si="1"/>
        <v>100</v>
      </c>
      <c r="V15" s="1568" t="s">
        <v>8</v>
      </c>
      <c r="W15" s="1569">
        <f t="shared" si="2"/>
        <v>100</v>
      </c>
      <c r="X15" s="1570"/>
      <c r="Y15" s="3330"/>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8" t="s">
        <v>8</v>
      </c>
      <c r="S16" s="1569">
        <f t="shared" si="0"/>
        <v>100</v>
      </c>
      <c r="T16" s="1568" t="s">
        <v>8</v>
      </c>
      <c r="U16" s="1569">
        <f t="shared" si="1"/>
        <v>100</v>
      </c>
      <c r="V16" s="1568" t="s">
        <v>8</v>
      </c>
      <c r="W16" s="1569">
        <f t="shared" si="2"/>
        <v>100</v>
      </c>
      <c r="X16" s="1570"/>
      <c r="Y16" s="3330"/>
      <c r="Z16" s="1150">
        <f t="shared" si="7"/>
        <v>111</v>
      </c>
      <c r="AA16" s="1571">
        <f t="shared" si="3"/>
        <v>1</v>
      </c>
      <c r="AB16" s="1571">
        <f t="shared" si="4"/>
        <v>1</v>
      </c>
      <c r="AC16" s="1571">
        <f t="shared" si="5"/>
        <v>1</v>
      </c>
    </row>
    <row r="17" spans="1:29" ht="57">
      <c r="A17" s="2936"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2" t="s">
        <v>541</v>
      </c>
      <c r="Q17" s="1572" t="str">
        <f t="shared" si="6"/>
        <v>产业集聚程度</v>
      </c>
      <c r="R17" s="1573" t="s">
        <v>8</v>
      </c>
      <c r="S17" s="1574">
        <f t="shared" si="0"/>
        <v>100</v>
      </c>
      <c r="T17" s="1573" t="s">
        <v>8</v>
      </c>
      <c r="U17" s="1574">
        <f t="shared" si="1"/>
        <v>100</v>
      </c>
      <c r="V17" s="1573" t="s">
        <v>8</v>
      </c>
      <c r="W17" s="1574">
        <f t="shared" si="2"/>
        <v>100</v>
      </c>
      <c r="X17" s="1567"/>
      <c r="Y17" s="3422"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3"/>
      <c r="Q18" s="1572"/>
      <c r="R18" s="1573"/>
      <c r="S18" s="1574"/>
      <c r="T18" s="1573"/>
      <c r="U18" s="1574"/>
      <c r="V18" s="1573"/>
      <c r="W18" s="1574"/>
      <c r="X18" s="1567"/>
      <c r="Y18" s="3423"/>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3"/>
      <c r="Q22" s="1572"/>
      <c r="R22" s="1573"/>
      <c r="S22" s="1574"/>
      <c r="T22" s="1573"/>
      <c r="U22" s="1574"/>
      <c r="V22" s="1573"/>
      <c r="W22" s="1574"/>
      <c r="X22" s="1567"/>
      <c r="Y22" s="3423"/>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3"/>
      <c r="Q24" s="1572"/>
      <c r="R24" s="1573"/>
      <c r="S24" s="1574"/>
      <c r="T24" s="1573"/>
      <c r="U24" s="1574"/>
      <c r="V24" s="1573"/>
      <c r="W24" s="1574"/>
      <c r="X24" s="1567"/>
      <c r="Y24" s="3423"/>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3"/>
      <c r="Q25" s="1151" t="str">
        <f t="shared" si="8"/>
        <v>公共配套设施</v>
      </c>
      <c r="R25" s="1568" t="s">
        <v>8</v>
      </c>
      <c r="S25" s="1569">
        <f>F25</f>
        <v>100</v>
      </c>
      <c r="T25" s="1568" t="s">
        <v>8</v>
      </c>
      <c r="U25" s="1569">
        <f>H25</f>
        <v>100</v>
      </c>
      <c r="V25" s="1568" t="s">
        <v>8</v>
      </c>
      <c r="W25" s="1569">
        <f>J25</f>
        <v>100</v>
      </c>
      <c r="X25" s="1570"/>
      <c r="Y25" s="3423"/>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23"/>
      <c r="Q26" s="1151"/>
      <c r="R26" s="1568"/>
      <c r="S26" s="1569"/>
      <c r="T26" s="1568"/>
      <c r="U26" s="1569"/>
      <c r="V26" s="1568"/>
      <c r="W26" s="1569"/>
      <c r="X26" s="1570"/>
      <c r="Y26" s="3423"/>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3"/>
      <c r="Q27" s="2603" t="str">
        <f t="shared" ref="Q27" si="9">B27</f>
        <v>基础设施水平</v>
      </c>
      <c r="R27" s="1568" t="s">
        <v>8</v>
      </c>
      <c r="S27" s="1569">
        <f>F27</f>
        <v>100</v>
      </c>
      <c r="T27" s="1568" t="s">
        <v>8</v>
      </c>
      <c r="U27" s="1569">
        <f>H27</f>
        <v>100</v>
      </c>
      <c r="V27" s="1568" t="s">
        <v>8</v>
      </c>
      <c r="W27" s="1569">
        <f>J27</f>
        <v>100</v>
      </c>
      <c r="X27" s="1570"/>
      <c r="Y27" s="3423"/>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23"/>
      <c r="Q28" s="2603"/>
      <c r="R28" s="1568"/>
      <c r="S28" s="1569"/>
      <c r="T28" s="1568"/>
      <c r="U28" s="1569"/>
      <c r="V28" s="1568"/>
      <c r="W28" s="1569"/>
      <c r="X28" s="1570"/>
      <c r="Y28" s="3423"/>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423"/>
      <c r="Q31" s="1572"/>
      <c r="R31" s="1573"/>
      <c r="S31" s="1574"/>
      <c r="T31" s="1573"/>
      <c r="U31" s="1574"/>
      <c r="V31" s="1573"/>
      <c r="W31" s="1574"/>
      <c r="X31" s="1567"/>
      <c r="Y31" s="3423"/>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4" t="s">
        <v>551</v>
      </c>
      <c r="Q34" s="1572">
        <f t="shared" si="8"/>
        <v>111</v>
      </c>
      <c r="R34" s="1573" t="s">
        <v>8</v>
      </c>
      <c r="S34" s="1574">
        <f t="shared" si="10"/>
        <v>100</v>
      </c>
      <c r="T34" s="1573" t="s">
        <v>8</v>
      </c>
      <c r="U34" s="1574">
        <f t="shared" si="11"/>
        <v>100</v>
      </c>
      <c r="V34" s="1573" t="s">
        <v>8</v>
      </c>
      <c r="W34" s="1574">
        <f t="shared" si="12"/>
        <v>100</v>
      </c>
      <c r="X34" s="1567"/>
      <c r="Y34" s="3425"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t="s">
        <v>602</v>
      </c>
      <c r="Q39" s="1572" t="str">
        <f t="shared" si="14"/>
        <v>工程地质条件</v>
      </c>
      <c r="R39" s="1573" t="s">
        <v>8</v>
      </c>
      <c r="S39" s="1574">
        <f t="shared" si="10"/>
        <v>100</v>
      </c>
      <c r="T39" s="1573" t="s">
        <v>8</v>
      </c>
      <c r="U39" s="1574">
        <f t="shared" si="11"/>
        <v>100</v>
      </c>
      <c r="V39" s="1573" t="s">
        <v>8</v>
      </c>
      <c r="W39" s="1574">
        <f t="shared" si="12"/>
        <v>100</v>
      </c>
      <c r="X39" s="1567"/>
      <c r="Y39" s="3425"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7" t="s">
        <v>557</v>
      </c>
      <c r="B43" s="608" t="s">
        <v>2938</v>
      </c>
      <c r="C43" s="609" t="s">
        <v>1</v>
      </c>
      <c r="D43" s="610"/>
      <c r="E43" s="611"/>
      <c r="F43" s="612"/>
      <c r="G43" s="613"/>
      <c r="H43" s="614"/>
      <c r="I43" s="611"/>
      <c r="J43" s="614"/>
      <c r="K43" s="1340"/>
      <c r="L43" s="2145"/>
      <c r="M43" s="2135"/>
      <c r="N43" s="2135"/>
      <c r="O43" s="2146"/>
      <c r="P43" s="3388" t="str">
        <f>A43</f>
        <v>成交单价</v>
      </c>
      <c r="Q43" s="3388"/>
      <c r="R43" s="3389">
        <f>E43</f>
        <v>0</v>
      </c>
      <c r="S43" s="3389"/>
      <c r="T43" s="3389">
        <f>G43</f>
        <v>0</v>
      </c>
      <c r="U43" s="3389"/>
      <c r="V43" s="3389">
        <f>I43</f>
        <v>0</v>
      </c>
      <c r="W43" s="3389"/>
      <c r="X43" s="1559"/>
      <c r="Y43" s="1581"/>
      <c r="Z43" s="1559"/>
      <c r="AA43" s="1559"/>
      <c r="AB43" s="1559"/>
      <c r="AC43" s="1559"/>
    </row>
    <row r="44" spans="1:29" ht="15.75" thickBot="1">
      <c r="A44" s="615" t="s">
        <v>2699</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390" t="e">
        <f>ROUND(PRODUCT(R43,AA9:AA42),0)</f>
        <v>#DIV/0!</v>
      </c>
      <c r="S44" s="3390"/>
      <c r="T44" s="3390" t="e">
        <f>ROUND(PRODUCT(T43,AB9:AB42),0)</f>
        <v>#DIV/0!</v>
      </c>
      <c r="U44" s="3390"/>
      <c r="V44" s="3390" t="e">
        <f>ROUND(PRODUCT(V43,AC9:AC42),0)</f>
        <v>#DIV/0!</v>
      </c>
      <c r="W44" s="339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32" t="s">
        <v>2286</v>
      </c>
      <c r="H52" s="3433"/>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v>
      </c>
      <c r="F53" s="1951" t="e">
        <f t="shared" ref="F53:F62" si="15">ROUND(B53*E53/10000,0)</f>
        <v>#DIV/0!</v>
      </c>
      <c r="G53" s="3434"/>
      <c r="H53" s="343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36"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36"/>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36"/>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36"/>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2655</v>
      </c>
      <c r="B68" s="479" t="str">
        <f>"北京市平均增长率"&amp;TEXT(基准地价!P24,"0.00%")</f>
        <v>北京市平均增长率1.31%</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0" sqref="G3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t="s">
        <v>3188</v>
      </c>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C5" sqref="C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60108.039999999994</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2767</v>
      </c>
      <c r="S1" s="2962" t="s">
        <v>2768</v>
      </c>
      <c r="T1" s="2962" t="s">
        <v>2789</v>
      </c>
      <c r="U1" s="2962" t="s">
        <v>2790</v>
      </c>
      <c r="V1" s="2962" t="s">
        <v>2791</v>
      </c>
      <c r="W1" s="2190"/>
      <c r="X1" s="2190"/>
      <c r="Y1" s="2190"/>
      <c r="Z1" s="2190"/>
      <c r="AA1" s="2190"/>
      <c r="AB1" s="2190"/>
      <c r="AC1" s="2191"/>
    </row>
    <row r="2" spans="1:39" ht="15.75">
      <c r="A2" s="1406" t="s">
        <v>921</v>
      </c>
      <c r="B2" s="1038">
        <f ca="1">C26</f>
        <v>36874</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15266</v>
      </c>
      <c r="U2" s="2952"/>
      <c r="V2" s="2963">
        <f ca="1">ROUND(T2*U2/10000,0)</f>
        <v>0</v>
      </c>
      <c r="W2" s="2190"/>
      <c r="X2" s="2190"/>
      <c r="Y2" s="2190"/>
      <c r="Z2" s="2190"/>
      <c r="AA2" s="2190"/>
      <c r="AB2" s="2190"/>
      <c r="AC2" s="2191"/>
    </row>
    <row r="3" spans="1:39" ht="24">
      <c r="A3" s="1411" t="s">
        <v>1689</v>
      </c>
      <c r="B3" s="1038">
        <f ca="1">ROUND(B2*10000/D1,0)</f>
        <v>6135</v>
      </c>
      <c r="C3" s="1407" t="s">
        <v>928</v>
      </c>
      <c r="D3" s="1408" t="s">
        <v>929</v>
      </c>
      <c r="E3" s="1412" t="s">
        <v>3065</v>
      </c>
      <c r="F3" s="1413" t="s">
        <v>2940</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10061</v>
      </c>
      <c r="U3" s="2952"/>
      <c r="V3" s="2963">
        <f t="shared" ref="V3:V16" ca="1" si="1">ROUND(T3*U3/10000,0)</f>
        <v>0</v>
      </c>
      <c r="W3" s="2190"/>
      <c r="X3" s="2190"/>
      <c r="Y3" s="2190"/>
      <c r="Z3" s="2190"/>
      <c r="AA3" s="2190"/>
      <c r="AB3" s="2190"/>
      <c r="AC3" s="2191"/>
    </row>
    <row r="4" spans="1:39" ht="28.5">
      <c r="A4" s="1892" t="s">
        <v>2282</v>
      </c>
      <c r="B4" s="2478">
        <f ca="1">ROUND(B2*10000/F1,0)</f>
        <v>20916</v>
      </c>
      <c r="C4" s="1895" t="s">
        <v>2256</v>
      </c>
      <c r="D4" s="1895">
        <f ca="1">ROUND(B2/(F1/666.67),0)</f>
        <v>1394</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7918</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5915</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4449</v>
      </c>
      <c r="U6" s="2952"/>
      <c r="V6" s="2963">
        <f t="shared" ca="1" si="1"/>
        <v>0</v>
      </c>
      <c r="W6" s="2190"/>
      <c r="X6" s="2190"/>
      <c r="Y6" s="2190"/>
      <c r="Z6" s="2190"/>
      <c r="AA6" s="2190"/>
      <c r="AB6" s="2190"/>
      <c r="AC6" s="2192"/>
      <c r="AD6" s="1419"/>
      <c r="AE6" s="1419"/>
      <c r="AF6" s="1419"/>
      <c r="AG6" s="1419"/>
      <c r="AH6" s="1419"/>
      <c r="AI6" s="1419"/>
      <c r="AJ6" s="1420"/>
    </row>
    <row r="7" spans="1:39" ht="24">
      <c r="A7" s="3446"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3557</v>
      </c>
      <c r="U7" s="2952"/>
      <c r="V7" s="2963">
        <f t="shared" ca="1" si="1"/>
        <v>0</v>
      </c>
      <c r="W7" s="2961" t="s">
        <v>2770</v>
      </c>
      <c r="X7" s="2953" t="str">
        <f>G2</f>
        <v>八级</v>
      </c>
      <c r="Y7" s="2953" t="s">
        <v>2771</v>
      </c>
      <c r="Z7" s="2954">
        <f>G3</f>
        <v>3</v>
      </c>
      <c r="AA7" s="2193"/>
      <c r="AB7" s="2193"/>
      <c r="AC7" s="2194"/>
      <c r="AD7" s="2955"/>
      <c r="AE7" s="2955"/>
      <c r="AF7" s="2955"/>
      <c r="AG7" s="2955"/>
      <c r="AH7" s="2955"/>
      <c r="AI7" s="2955"/>
      <c r="AJ7" s="2956"/>
    </row>
    <row r="8" spans="1:39" ht="25.5">
      <c r="A8" s="3447"/>
      <c r="B8" s="1414" t="s">
        <v>935</v>
      </c>
      <c r="C8" s="1529" t="s">
        <v>3066</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38" t="s">
        <v>2788</v>
      </c>
      <c r="X8" s="3439"/>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447"/>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37" t="s">
        <v>2784</v>
      </c>
      <c r="X9" s="2957" t="s">
        <v>2785</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7"/>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3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7"/>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37" t="s">
        <v>2786</v>
      </c>
      <c r="X11" s="1048" t="s">
        <v>2771</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46"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37"/>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8"/>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37"/>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48"/>
      <c r="B14" s="1451"/>
      <c r="C14" s="1452" t="s">
        <v>3067</v>
      </c>
      <c r="D14" s="1453" t="s">
        <v>3067</v>
      </c>
      <c r="E14" s="1453" t="s">
        <v>3067</v>
      </c>
      <c r="F14" s="1454" t="s">
        <v>3068</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49"/>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46" t="s">
        <v>1840</v>
      </c>
      <c r="B16" s="1427" t="s">
        <v>951</v>
      </c>
      <c r="C16" s="1054">
        <f>ROUND(SUM(G17:J17)/C17,0)</f>
        <v>0</v>
      </c>
      <c r="D16" s="1460" t="s">
        <v>952</v>
      </c>
      <c r="E16" s="1461" t="s">
        <v>3185</v>
      </c>
      <c r="F16" s="1462" t="s">
        <v>2998</v>
      </c>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47"/>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ROUND(IF(H19="按公示增长率计算",SUMPRODUCT((地价!A4:A21=YEAR(G19)&amp;"-"&amp;ROUNDUP(MONTH(G19)/3,0))*(地价!X2:AB2=E2)*(地价!X4:AB21)),IF(H19="地价指数",M20/M19,(1+I19)^O19)),4)</f>
        <v>1.2636000000000001</v>
      </c>
      <c r="D19" s="1474" t="s">
        <v>959</v>
      </c>
      <c r="E19" s="1058">
        <v>41640</v>
      </c>
      <c r="F19" s="1474" t="s">
        <v>960</v>
      </c>
      <c r="G19" s="1059">
        <f>'数据-取费表'!B2</f>
        <v>43109</v>
      </c>
      <c r="H19" s="1475" t="s">
        <v>3186</v>
      </c>
      <c r="I19" s="2811" t="str">
        <f>IF(H19="季度增幅（自定义）",SUMIF(N21:N24,E2,O21:O24),"")</f>
        <v/>
      </c>
      <c r="J19" s="1471"/>
      <c r="K19" s="1481"/>
      <c r="L19" s="3065" t="s">
        <v>2846</v>
      </c>
      <c r="M19" s="3066">
        <f>ROUND(SUMIF(地价!B2:F2,E2,地价!B21:F21),0)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2847</v>
      </c>
      <c r="M20" s="3068">
        <f>ROUND(SUMPRODUCT((地价!A4:A21=YEAR(G19)&amp;"-"&amp;ROUNDUP(MONTH(G19)/3,0))*(地价!B2:F2=E2)*(地价!B4:F21)),0)</f>
        <v>326</v>
      </c>
      <c r="N20" s="2816" t="s">
        <v>2651</v>
      </c>
      <c r="O20" s="2814" t="s">
        <v>2650</v>
      </c>
      <c r="P20" s="2815"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3069</v>
      </c>
      <c r="C21" s="1158">
        <f>IF(B21="容积率修正",IF(G3&lt;=10,D22,J22),C23)</f>
        <v>0.86970000000000003</v>
      </c>
      <c r="D21" s="1481"/>
      <c r="E21" s="1481"/>
      <c r="F21" s="1481"/>
      <c r="G21" s="1481"/>
      <c r="H21" s="1481"/>
      <c r="I21" s="1481"/>
      <c r="J21" s="1482"/>
      <c r="K21" s="1481"/>
      <c r="L21" s="1481"/>
      <c r="M21" s="1481"/>
      <c r="N21" s="1478" t="s">
        <v>977</v>
      </c>
      <c r="O21" s="1542"/>
      <c r="P21" s="2796">
        <f>SUMPRODUCT((地价!A4:A21=YEAR(G19)&amp;"-"&amp;ROUNDUP(MONTH(G19)/3,0))*(地价!AD2:AH2=N21)*(地价!AD4:AH21))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SUMPRODUCT((地价!A4:A21=YEAR(G19)&amp;"-"&amp;ROUNDUP(MONTH(G19)/3,0))*(地价!AD2:AH2=N22)*(地价!AD4:AH21))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SUMPRODUCT((地价!A4:A21=YEAR(G19)&amp;"-"&amp;ROUNDUP(MONTH(G19)/3,0))*(地价!AD2:AH2=N23)*(地价!AD4:AH21))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1.0794999999999999</v>
      </c>
      <c r="D24" s="1535"/>
      <c r="E24" s="1536"/>
      <c r="F24" s="1536"/>
      <c r="G24" s="1536"/>
      <c r="H24" s="1536"/>
      <c r="I24" s="1536"/>
      <c r="J24" s="1536"/>
      <c r="K24" s="1481"/>
      <c r="L24" s="1481"/>
      <c r="M24" s="1481"/>
      <c r="N24" s="1484" t="s">
        <v>983</v>
      </c>
      <c r="O24" s="1543"/>
      <c r="P24" s="1541">
        <f>SUMPRODUCT((地价!A4:A21=YEAR(G19)&amp;"-"&amp;ROUNDUP(MONTH(G19)/3,0))*(地价!AD2:AH2=N24)*(地价!AD4:AH21))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2654</v>
      </c>
      <c r="O25" s="2196"/>
      <c r="P25" s="1541">
        <f>SUMPRODUCT((地价!A4:A21=YEAR(G19)&amp;"-"&amp;ROUNDUP(MONTH(G19)/3,0))*(地价!AD2:AH2=N25)*(地价!AD4:AH21))</f>
        <v>2.3E-2</v>
      </c>
      <c r="R25" s="2951"/>
      <c r="S25" s="2951"/>
      <c r="T25" s="2951"/>
      <c r="U25" s="2951"/>
      <c r="V25" s="2951"/>
      <c r="W25" s="2196"/>
      <c r="X25" s="2196"/>
      <c r="Y25" s="2196"/>
      <c r="Z25" s="2196"/>
      <c r="AA25" s="2196"/>
      <c r="AB25" s="2196"/>
      <c r="AC25" s="2196"/>
    </row>
    <row r="26" spans="1:40" ht="14.25">
      <c r="A26" s="1489"/>
      <c r="B26" s="1483" t="s">
        <v>988</v>
      </c>
      <c r="C26" s="1063">
        <f ca="1">E29+SUM(E33:E39)</f>
        <v>36874</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6837</v>
      </c>
      <c r="D29" s="1504">
        <f>'数据-汇总表'!F27</f>
        <v>52504.74</v>
      </c>
      <c r="E29" s="1850">
        <f ca="1">ROUND(C29*D29/10000,0)</f>
        <v>35897</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1709</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2" t="s">
        <v>2967</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3"/>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3"/>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4"/>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1572</v>
      </c>
      <c r="D37" s="1537"/>
      <c r="E37" s="1048">
        <f t="shared" ca="1" si="7"/>
        <v>0</v>
      </c>
      <c r="F37" s="1063">
        <f>SUMIF(修正!A45:A56,G2,修正!F45:F56)</f>
        <v>0.2</v>
      </c>
      <c r="G37" s="1048">
        <f t="shared" ca="1" si="6"/>
        <v>393</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1572</v>
      </c>
      <c r="D38" s="1537">
        <f>'数据-汇总表'!G22</f>
        <v>2049.86</v>
      </c>
      <c r="E38" s="1048">
        <f t="shared" ca="1" si="7"/>
        <v>322</v>
      </c>
      <c r="F38" s="1063">
        <f>SUMIF(修正!A45:A56,G2,修正!G45:G56)</f>
        <v>0.2</v>
      </c>
      <c r="G38" s="1048">
        <f t="shared" ca="1" si="6"/>
        <v>393</v>
      </c>
      <c r="H38" s="1048">
        <f t="shared" si="8"/>
        <v>2049.86</v>
      </c>
      <c r="I38" s="1048">
        <f t="shared" ca="1" si="9"/>
        <v>81</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1179</v>
      </c>
      <c r="D39" s="1538">
        <f>'数据-汇总表'!G21</f>
        <v>5553.4399999999987</v>
      </c>
      <c r="E39" s="1051">
        <f t="shared" ca="1" si="7"/>
        <v>655</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2942</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2941</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1.0794999999999999</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t="s">
        <v>3138</v>
      </c>
      <c r="D58" s="2442">
        <f t="shared" ref="D58:D66" si="15">SUMIF($J$57:$N$57,C58,J58:N58)</f>
        <v>1.7999999999999999E-2</v>
      </c>
      <c r="E58" s="2461">
        <f>ROUND(SUM(D58:D66),4)</f>
        <v>7.9500000000000001E-2</v>
      </c>
      <c r="F58" s="2462">
        <f>IF(E2="办公",SUMIF(L1:L12,G2,N1:N12),"——")</f>
        <v>0.15</v>
      </c>
      <c r="G58" s="2440">
        <v>1.7999999999999999E-2</v>
      </c>
      <c r="H58" s="2486">
        <f>IFERROR(ROUNDDOWN($F$58*I58/2,4),"——")</f>
        <v>1.7999999999999999E-2</v>
      </c>
      <c r="I58" s="2460">
        <v>0.24</v>
      </c>
      <c r="J58" s="2463">
        <f t="shared" ref="J58:J66" si="16">K58+$G58</f>
        <v>3.5999999999999997E-2</v>
      </c>
      <c r="K58" s="2463">
        <f t="shared" ref="K58:K66" si="17">$L58+$G58</f>
        <v>1.7999999999999999E-2</v>
      </c>
      <c r="L58" s="2463">
        <v>0</v>
      </c>
      <c r="M58" s="2463">
        <f t="shared" ref="M58:N66" si="18">L58-$G58</f>
        <v>-1.7999999999999999E-2</v>
      </c>
      <c r="N58" s="2463">
        <f t="shared" si="18"/>
        <v>-3.5999999999999997E-2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t="s">
        <v>3138</v>
      </c>
      <c r="D59" s="2442">
        <f t="shared" si="15"/>
        <v>2.2499999999999999E-2</v>
      </c>
      <c r="E59" s="2464"/>
      <c r="F59" s="2462"/>
      <c r="G59" s="2440">
        <v>2.2499999999999999E-2</v>
      </c>
      <c r="H59" s="2441">
        <f t="shared" ref="H59:H66" si="19">IFERROR($F$58*I59/2,"——")</f>
        <v>2.2499999999999999E-2</v>
      </c>
      <c r="I59" s="2460">
        <v>0.3</v>
      </c>
      <c r="J59" s="2463">
        <f t="shared" si="16"/>
        <v>4.4999999999999998E-2</v>
      </c>
      <c r="K59" s="2463">
        <f t="shared" si="17"/>
        <v>2.2499999999999999E-2</v>
      </c>
      <c r="L59" s="2463">
        <v>0</v>
      </c>
      <c r="M59" s="2463">
        <f t="shared" si="18"/>
        <v>-2.2499999999999999E-2</v>
      </c>
      <c r="N59" s="2463">
        <f t="shared" si="18"/>
        <v>-4.4999999999999998E-2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t="s">
        <v>3138</v>
      </c>
      <c r="D60" s="2442">
        <f t="shared" si="15"/>
        <v>6.0000000000000001E-3</v>
      </c>
      <c r="E60" s="2464"/>
      <c r="F60" s="2462"/>
      <c r="G60" s="2440">
        <v>6.0000000000000001E-3</v>
      </c>
      <c r="H60" s="2441">
        <f t="shared" si="19"/>
        <v>6.0000000000000001E-3</v>
      </c>
      <c r="I60" s="2460">
        <v>0.08</v>
      </c>
      <c r="J60" s="2463">
        <f t="shared" si="16"/>
        <v>1.2E-2</v>
      </c>
      <c r="K60" s="2463">
        <f t="shared" si="17"/>
        <v>6.0000000000000001E-3</v>
      </c>
      <c r="L60" s="2463">
        <v>0</v>
      </c>
      <c r="M60" s="2463">
        <f t="shared" si="18"/>
        <v>-6.0000000000000001E-3</v>
      </c>
      <c r="N60" s="2463">
        <f t="shared" si="18"/>
        <v>-1.2E-2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2943</v>
      </c>
      <c r="C61" s="1050" t="s">
        <v>3138</v>
      </c>
      <c r="D61" s="2442">
        <f t="shared" si="15"/>
        <v>3.0000000000000001E-3</v>
      </c>
      <c r="E61" s="2464"/>
      <c r="F61" s="2462"/>
      <c r="G61" s="2440">
        <v>3.0000000000000001E-3</v>
      </c>
      <c r="H61" s="2441">
        <f t="shared" si="19"/>
        <v>3.0000000000000001E-3</v>
      </c>
      <c r="I61" s="2460">
        <v>0.04</v>
      </c>
      <c r="J61" s="2463">
        <f t="shared" si="16"/>
        <v>6.0000000000000001E-3</v>
      </c>
      <c r="K61" s="2463">
        <f t="shared" si="17"/>
        <v>3.0000000000000001E-3</v>
      </c>
      <c r="L61" s="2463">
        <v>0</v>
      </c>
      <c r="M61" s="2463">
        <f t="shared" si="18"/>
        <v>-3.0000000000000001E-3</v>
      </c>
      <c r="N61" s="2463">
        <f t="shared" si="18"/>
        <v>-6.0000000000000001E-3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t="s">
        <v>3138</v>
      </c>
      <c r="D62" s="2442">
        <f t="shared" si="15"/>
        <v>3.7499999999999999E-3</v>
      </c>
      <c r="E62" s="2464"/>
      <c r="F62" s="2462"/>
      <c r="G62" s="2440">
        <v>3.7499999999999999E-3</v>
      </c>
      <c r="H62" s="2441">
        <f t="shared" si="19"/>
        <v>3.7499999999999999E-3</v>
      </c>
      <c r="I62" s="2460">
        <v>0.05</v>
      </c>
      <c r="J62" s="2463">
        <f t="shared" si="16"/>
        <v>7.4999999999999997E-3</v>
      </c>
      <c r="K62" s="2463">
        <f t="shared" si="17"/>
        <v>3.7499999999999999E-3</v>
      </c>
      <c r="L62" s="2463">
        <v>0</v>
      </c>
      <c r="M62" s="2463">
        <f t="shared" si="18"/>
        <v>-3.7499999999999999E-3</v>
      </c>
      <c r="N62" s="2463">
        <f t="shared" si="18"/>
        <v>-7.4999999999999997E-3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2941</v>
      </c>
      <c r="C63" s="1050" t="s">
        <v>3138</v>
      </c>
      <c r="D63" s="2442">
        <f t="shared" si="15"/>
        <v>3.7499999999999999E-3</v>
      </c>
      <c r="E63" s="2464"/>
      <c r="F63" s="2462"/>
      <c r="G63" s="2440">
        <v>3.7499999999999999E-3</v>
      </c>
      <c r="H63" s="2441">
        <f t="shared" si="19"/>
        <v>3.7499999999999999E-3</v>
      </c>
      <c r="I63" s="2460">
        <v>0.05</v>
      </c>
      <c r="J63" s="2463">
        <f t="shared" si="16"/>
        <v>7.4999999999999997E-3</v>
      </c>
      <c r="K63" s="2463">
        <f t="shared" si="17"/>
        <v>3.7499999999999999E-3</v>
      </c>
      <c r="L63" s="2463">
        <v>0</v>
      </c>
      <c r="M63" s="2463">
        <f t="shared" si="18"/>
        <v>-3.7499999999999999E-3</v>
      </c>
      <c r="N63" s="2463">
        <f t="shared" si="18"/>
        <v>-7.4999999999999997E-3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t="s">
        <v>3138</v>
      </c>
      <c r="D64" s="2442">
        <f t="shared" si="15"/>
        <v>4.4999999999999997E-3</v>
      </c>
      <c r="E64" s="2464"/>
      <c r="F64" s="2462"/>
      <c r="G64" s="2440">
        <v>4.4999999999999997E-3</v>
      </c>
      <c r="H64" s="2441">
        <f t="shared" si="19"/>
        <v>4.4999999999999997E-3</v>
      </c>
      <c r="I64" s="2460">
        <v>0.06</v>
      </c>
      <c r="J64" s="2463">
        <f t="shared" si="16"/>
        <v>8.9999999999999993E-3</v>
      </c>
      <c r="K64" s="2463">
        <f t="shared" si="17"/>
        <v>4.4999999999999997E-3</v>
      </c>
      <c r="L64" s="2463">
        <v>0</v>
      </c>
      <c r="M64" s="2463">
        <f t="shared" si="18"/>
        <v>-4.4999999999999997E-3</v>
      </c>
      <c r="N64" s="2463">
        <f t="shared" si="18"/>
        <v>-8.9999999999999993E-3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t="s">
        <v>3187</v>
      </c>
      <c r="D65" s="2442">
        <f t="shared" si="15"/>
        <v>1.7999999999999999E-2</v>
      </c>
      <c r="E65" s="2464"/>
      <c r="F65" s="2462"/>
      <c r="G65" s="2440">
        <v>8.9999999999999993E-3</v>
      </c>
      <c r="H65" s="2441">
        <f t="shared" si="19"/>
        <v>8.9999999999999993E-3</v>
      </c>
      <c r="I65" s="2460">
        <v>0.12</v>
      </c>
      <c r="J65" s="2463">
        <f t="shared" si="16"/>
        <v>1.7999999999999999E-2</v>
      </c>
      <c r="K65" s="2463">
        <f t="shared" si="17"/>
        <v>8.9999999999999993E-3</v>
      </c>
      <c r="L65" s="2463">
        <v>0</v>
      </c>
      <c r="M65" s="2463">
        <f t="shared" si="18"/>
        <v>-8.9999999999999993E-3</v>
      </c>
      <c r="N65" s="2463">
        <f t="shared" si="18"/>
        <v>-1.7999999999999999E-2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t="s">
        <v>3141</v>
      </c>
      <c r="D66" s="2442">
        <f t="shared" si="15"/>
        <v>0</v>
      </c>
      <c r="E66" s="2468"/>
      <c r="F66" s="2462"/>
      <c r="G66" s="2440">
        <v>4.4999999999999997E-3</v>
      </c>
      <c r="H66" s="2441">
        <f t="shared" si="19"/>
        <v>4.4999999999999997E-3</v>
      </c>
      <c r="I66" s="2467">
        <v>0.06</v>
      </c>
      <c r="J66" s="2463">
        <f t="shared" si="16"/>
        <v>8.9999999999999993E-3</v>
      </c>
      <c r="K66" s="2463">
        <f t="shared" si="17"/>
        <v>4.4999999999999997E-3</v>
      </c>
      <c r="L66" s="2463">
        <v>0</v>
      </c>
      <c r="M66" s="2463">
        <f t="shared" si="18"/>
        <v>-4.4999999999999997E-3</v>
      </c>
      <c r="N66" s="2463">
        <f t="shared" si="18"/>
        <v>-8.9999999999999993E-3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2941</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2941</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0" t="s">
        <v>1635</v>
      </c>
      <c r="B90" s="3450"/>
      <c r="C90" s="3450"/>
      <c r="D90" s="3450"/>
      <c r="E90" s="3450"/>
      <c r="F90" s="3450"/>
      <c r="G90" s="3450"/>
      <c r="H90" s="3450"/>
      <c r="I90" s="3450"/>
      <c r="J90" s="3450"/>
      <c r="K90" s="2475"/>
      <c r="L90" s="2475"/>
      <c r="M90" s="2475"/>
      <c r="N90" s="2475"/>
    </row>
    <row r="91" spans="1:40">
      <c r="A91" s="3451" t="s">
        <v>1445</v>
      </c>
      <c r="B91" s="3451" t="s">
        <v>1636</v>
      </c>
      <c r="C91" s="1140" t="s">
        <v>1637</v>
      </c>
      <c r="D91" s="1141"/>
      <c r="E91" s="1141"/>
      <c r="F91" s="1141"/>
      <c r="G91" s="1141"/>
      <c r="H91" s="1141"/>
      <c r="I91" s="1141"/>
      <c r="J91" s="1142"/>
      <c r="K91" s="1134"/>
      <c r="L91" s="1134"/>
      <c r="M91" s="1134"/>
      <c r="N91" s="1134"/>
    </row>
    <row r="92" spans="1:40">
      <c r="A92" s="3451"/>
      <c r="B92" s="345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40"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41"/>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41"/>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41"/>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41"/>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41"/>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41"/>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41"/>
      <c r="B108" s="344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45" t="s">
        <v>1641</v>
      </c>
      <c r="B110" s="3445"/>
      <c r="C110" s="3445"/>
      <c r="D110" s="3445"/>
      <c r="E110" s="3445"/>
      <c r="F110" s="3445"/>
      <c r="G110" s="3445"/>
      <c r="H110" s="3445"/>
      <c r="I110" s="3445"/>
      <c r="J110" s="3445"/>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51" t="s">
        <v>1009</v>
      </c>
      <c r="B18" s="1154" t="s">
        <v>1448</v>
      </c>
      <c r="C18" s="1131" t="s">
        <v>1449</v>
      </c>
      <c r="D18" s="1132"/>
      <c r="E18" s="1154">
        <v>1</v>
      </c>
      <c r="F18" s="1133" t="s">
        <v>1450</v>
      </c>
      <c r="G18" s="1134"/>
      <c r="H18" s="1105"/>
      <c r="I18" s="1105"/>
    </row>
    <row r="19" spans="1:9" s="1599" customFormat="1" ht="19.5" customHeight="1">
      <c r="A19" s="3451"/>
      <c r="B19" s="3451" t="s">
        <v>1451</v>
      </c>
      <c r="C19" s="1131" t="s">
        <v>1452</v>
      </c>
      <c r="D19" s="1132"/>
      <c r="E19" s="1154">
        <v>0.9</v>
      </c>
      <c r="F19" s="1133" t="s">
        <v>1453</v>
      </c>
      <c r="G19" s="1134"/>
      <c r="H19" s="1105"/>
      <c r="I19" s="1105"/>
    </row>
    <row r="20" spans="1:9" s="1599" customFormat="1" ht="19.5" customHeight="1">
      <c r="A20" s="3451"/>
      <c r="B20" s="3451"/>
      <c r="C20" s="1131" t="s">
        <v>1454</v>
      </c>
      <c r="D20" s="1132"/>
      <c r="E20" s="1154">
        <v>1.1000000000000001</v>
      </c>
      <c r="F20" s="1133" t="s">
        <v>1455</v>
      </c>
      <c r="G20" s="1134"/>
      <c r="H20" s="1105"/>
      <c r="I20" s="1105"/>
    </row>
    <row r="21" spans="1:9" s="1599" customFormat="1" ht="19.5" customHeight="1">
      <c r="A21" s="3451"/>
      <c r="B21" s="3451"/>
      <c r="C21" s="1131" t="s">
        <v>1456</v>
      </c>
      <c r="D21" s="1132"/>
      <c r="E21" s="1154">
        <v>0.8</v>
      </c>
      <c r="F21" s="1133" t="s">
        <v>1457</v>
      </c>
      <c r="G21" s="1134"/>
      <c r="H21" s="1105"/>
      <c r="I21" s="1105"/>
    </row>
    <row r="22" spans="1:9" s="1599" customFormat="1" ht="19.5" customHeight="1">
      <c r="A22" s="3451"/>
      <c r="B22" s="3451"/>
      <c r="C22" s="1131" t="s">
        <v>1458</v>
      </c>
      <c r="D22" s="1132"/>
      <c r="E22" s="1154">
        <v>0.5</v>
      </c>
      <c r="F22" s="1133"/>
      <c r="G22" s="1134"/>
      <c r="H22" s="1105"/>
      <c r="I22" s="1105"/>
    </row>
    <row r="23" spans="1:9" s="1599" customFormat="1" ht="19.5" customHeight="1">
      <c r="A23" s="3451" t="s">
        <v>1031</v>
      </c>
      <c r="B23" s="1154" t="s">
        <v>1448</v>
      </c>
      <c r="C23" s="1131" t="s">
        <v>1459</v>
      </c>
      <c r="D23" s="1132"/>
      <c r="E23" s="1154">
        <v>1</v>
      </c>
      <c r="F23" s="1133" t="s">
        <v>1460</v>
      </c>
      <c r="G23" s="1134"/>
      <c r="H23" s="1105"/>
      <c r="I23" s="1105"/>
    </row>
    <row r="24" spans="1:9" s="1599" customFormat="1" ht="19.5" customHeight="1">
      <c r="A24" s="3451"/>
      <c r="B24" s="3451" t="s">
        <v>1451</v>
      </c>
      <c r="C24" s="1131" t="s">
        <v>1461</v>
      </c>
      <c r="D24" s="1132"/>
      <c r="E24" s="1154">
        <v>0.5</v>
      </c>
      <c r="F24" s="1133"/>
      <c r="G24" s="1134"/>
      <c r="H24" s="1105"/>
      <c r="I24" s="1105"/>
    </row>
    <row r="25" spans="1:9" s="1599" customFormat="1" ht="19.5" customHeight="1">
      <c r="A25" s="3451"/>
      <c r="B25" s="3451"/>
      <c r="C25" s="1131" t="s">
        <v>1462</v>
      </c>
      <c r="D25" s="1132"/>
      <c r="E25" s="1154">
        <v>1.1000000000000001</v>
      </c>
      <c r="F25" s="1133"/>
      <c r="G25" s="1134"/>
      <c r="H25" s="1105"/>
      <c r="I25" s="1105"/>
    </row>
    <row r="26" spans="1:9" s="1599" customFormat="1" ht="19.5" customHeight="1">
      <c r="A26" s="3451"/>
      <c r="B26" s="3451"/>
      <c r="C26" s="1131" t="s">
        <v>1463</v>
      </c>
      <c r="D26" s="1132"/>
      <c r="E26" s="1154">
        <v>1.1000000000000001</v>
      </c>
      <c r="F26" s="1133"/>
      <c r="G26" s="1134"/>
      <c r="H26" s="1105"/>
      <c r="I26" s="1105"/>
    </row>
    <row r="27" spans="1:9" s="1599" customFormat="1" ht="19.5" customHeight="1">
      <c r="A27" s="3451"/>
      <c r="B27" s="3451"/>
      <c r="C27" s="1131" t="s">
        <v>1464</v>
      </c>
      <c r="D27" s="1132"/>
      <c r="E27" s="1154">
        <v>0.9</v>
      </c>
      <c r="F27" s="1133" t="s">
        <v>1465</v>
      </c>
      <c r="G27" s="1134"/>
      <c r="H27" s="1105"/>
      <c r="I27" s="1105"/>
    </row>
    <row r="28" spans="1:9" s="1599" customFormat="1" ht="19.5" customHeight="1">
      <c r="A28" s="3451"/>
      <c r="B28" s="3451"/>
      <c r="C28" s="1131" t="s">
        <v>1466</v>
      </c>
      <c r="D28" s="1132"/>
      <c r="E28" s="1154">
        <v>0.9</v>
      </c>
      <c r="F28" s="1133" t="s">
        <v>1467</v>
      </c>
      <c r="G28" s="1134"/>
      <c r="H28" s="1105"/>
      <c r="I28" s="1105"/>
    </row>
    <row r="29" spans="1:9" s="1599" customFormat="1" ht="19.5" customHeight="1">
      <c r="A29" s="3451"/>
      <c r="B29" s="3451"/>
      <c r="C29" s="1131" t="s">
        <v>1468</v>
      </c>
      <c r="D29" s="1132"/>
      <c r="E29" s="1154">
        <v>0.9</v>
      </c>
      <c r="F29" s="1133" t="s">
        <v>1469</v>
      </c>
      <c r="G29" s="1134"/>
      <c r="H29" s="1105"/>
      <c r="I29" s="1105"/>
    </row>
    <row r="30" spans="1:9" s="1599" customFormat="1" ht="19.5" customHeight="1">
      <c r="A30" s="3451"/>
      <c r="B30" s="3451"/>
      <c r="C30" s="1131" t="s">
        <v>1470</v>
      </c>
      <c r="D30" s="1132"/>
      <c r="E30" s="1154">
        <v>0.9</v>
      </c>
      <c r="F30" s="1133" t="s">
        <v>1471</v>
      </c>
      <c r="G30" s="1134"/>
      <c r="H30" s="1105"/>
      <c r="I30" s="1105"/>
    </row>
    <row r="31" spans="1:9" s="1599" customFormat="1" ht="19.5" customHeight="1">
      <c r="A31" s="3451"/>
      <c r="B31" s="3451"/>
      <c r="C31" s="1131" t="s">
        <v>1472</v>
      </c>
      <c r="D31" s="1132"/>
      <c r="E31" s="1154">
        <v>0.8</v>
      </c>
      <c r="F31" s="1133" t="s">
        <v>1473</v>
      </c>
      <c r="G31" s="1134"/>
      <c r="H31" s="1105"/>
      <c r="I31" s="1105"/>
    </row>
    <row r="32" spans="1:9" s="1599" customFormat="1" ht="19.5" customHeight="1">
      <c r="A32" s="3451"/>
      <c r="B32" s="3451"/>
      <c r="C32" s="1131" t="s">
        <v>1474</v>
      </c>
      <c r="D32" s="1132"/>
      <c r="E32" s="1154">
        <v>0.8</v>
      </c>
      <c r="F32" s="1133" t="s">
        <v>1475</v>
      </c>
      <c r="G32" s="1134"/>
      <c r="H32" s="1105"/>
      <c r="I32" s="1105"/>
    </row>
    <row r="33" spans="1:9" s="1599" customFormat="1" ht="19.5" customHeight="1">
      <c r="A33" s="3451" t="s">
        <v>1476</v>
      </c>
      <c r="B33" s="1154" t="s">
        <v>1448</v>
      </c>
      <c r="C33" s="1131" t="s">
        <v>1477</v>
      </c>
      <c r="D33" s="1132"/>
      <c r="E33" s="1154">
        <v>1</v>
      </c>
      <c r="F33" s="1133" t="s">
        <v>1478</v>
      </c>
      <c r="G33" s="1134"/>
      <c r="H33" s="1105"/>
      <c r="I33" s="1105"/>
    </row>
    <row r="34" spans="1:9" s="1599" customFormat="1" ht="19.5" customHeight="1">
      <c r="A34" s="3451"/>
      <c r="B34" s="1154" t="s">
        <v>1451</v>
      </c>
      <c r="C34" s="1131" t="s">
        <v>1479</v>
      </c>
      <c r="D34" s="1132"/>
      <c r="E34" s="1154">
        <v>1.5</v>
      </c>
      <c r="F34" s="1133" t="s">
        <v>1480</v>
      </c>
      <c r="G34" s="1134"/>
      <c r="H34" s="1105"/>
      <c r="I34" s="1105"/>
    </row>
    <row r="35" spans="1:9" s="1599" customFormat="1" ht="19.5" customHeight="1">
      <c r="A35" s="3451" t="s">
        <v>1434</v>
      </c>
      <c r="B35" s="1154" t="s">
        <v>1448</v>
      </c>
      <c r="C35" s="1131" t="s">
        <v>1481</v>
      </c>
      <c r="D35" s="1132"/>
      <c r="E35" s="1154">
        <v>1</v>
      </c>
      <c r="F35" s="1133" t="s">
        <v>1482</v>
      </c>
      <c r="G35" s="1134"/>
      <c r="H35" s="1105"/>
      <c r="I35" s="1105"/>
    </row>
    <row r="36" spans="1:9" s="1599" customFormat="1" ht="19.5" customHeight="1">
      <c r="A36" s="3451"/>
      <c r="B36" s="3451" t="s">
        <v>1451</v>
      </c>
      <c r="C36" s="1131" t="s">
        <v>1483</v>
      </c>
      <c r="D36" s="1132"/>
      <c r="E36" s="1154">
        <v>1</v>
      </c>
      <c r="F36" s="1133" t="s">
        <v>1484</v>
      </c>
      <c r="G36" s="1134"/>
      <c r="H36" s="1105"/>
      <c r="I36" s="1105"/>
    </row>
    <row r="37" spans="1:9" s="1599" customFormat="1" ht="19.5" customHeight="1">
      <c r="A37" s="3451"/>
      <c r="B37" s="3451"/>
      <c r="C37" s="1131" t="s">
        <v>1485</v>
      </c>
      <c r="D37" s="1132"/>
      <c r="E37" s="1154">
        <v>1.5</v>
      </c>
      <c r="F37" s="1133" t="s">
        <v>1486</v>
      </c>
      <c r="G37" s="1134"/>
      <c r="H37" s="1105"/>
      <c r="I37" s="1105"/>
    </row>
    <row r="38" spans="1:9" s="1599" customFormat="1" ht="19.5" customHeight="1">
      <c r="A38" s="3451"/>
      <c r="B38" s="3451"/>
      <c r="C38" s="1131" t="s">
        <v>1487</v>
      </c>
      <c r="D38" s="1132"/>
      <c r="E38" s="1154">
        <v>1</v>
      </c>
      <c r="F38" s="1133" t="s">
        <v>1488</v>
      </c>
      <c r="G38" s="1134"/>
      <c r="H38" s="1105"/>
      <c r="I38" s="1105"/>
    </row>
    <row r="39" spans="1:9" s="1599" customFormat="1" ht="19.5" customHeight="1">
      <c r="A39" s="3451"/>
      <c r="B39" s="3451"/>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51" t="s">
        <v>1503</v>
      </c>
      <c r="C61" s="1068" t="s">
        <v>1504</v>
      </c>
      <c r="D61" s="1068" t="s">
        <v>1505</v>
      </c>
      <c r="E61" s="1139">
        <v>0.5</v>
      </c>
      <c r="F61" s="1154">
        <v>80</v>
      </c>
      <c r="H61" s="1105">
        <f>SUMIF(C59:C119,基准地价!C8,E59:E119)</f>
        <v>0</v>
      </c>
    </row>
    <row r="62" spans="1:8" s="1105" customFormat="1" ht="24">
      <c r="A62" s="1154">
        <v>2</v>
      </c>
      <c r="B62" s="3451"/>
      <c r="C62" s="1068" t="s">
        <v>1506</v>
      </c>
      <c r="D62" s="1068" t="s">
        <v>1507</v>
      </c>
      <c r="E62" s="1139">
        <v>0.5</v>
      </c>
      <c r="F62" s="1154">
        <v>80</v>
      </c>
    </row>
    <row r="63" spans="1:8" s="1105" customFormat="1" ht="36">
      <c r="A63" s="1154">
        <v>3</v>
      </c>
      <c r="B63" s="3451"/>
      <c r="C63" s="1068" t="s">
        <v>1508</v>
      </c>
      <c r="D63" s="1068" t="s">
        <v>1509</v>
      </c>
      <c r="E63" s="1139">
        <v>0.5</v>
      </c>
      <c r="F63" s="1154">
        <v>80</v>
      </c>
    </row>
    <row r="64" spans="1:8" s="1105" customFormat="1" ht="36">
      <c r="A64" s="1154">
        <v>4</v>
      </c>
      <c r="B64" s="3451"/>
      <c r="C64" s="1068" t="s">
        <v>1510</v>
      </c>
      <c r="D64" s="1068" t="s">
        <v>1511</v>
      </c>
      <c r="E64" s="1139">
        <v>0.4</v>
      </c>
      <c r="F64" s="1154">
        <v>60</v>
      </c>
    </row>
    <row r="65" spans="1:6" s="1105" customFormat="1" ht="36">
      <c r="A65" s="1154">
        <v>5</v>
      </c>
      <c r="B65" s="3451"/>
      <c r="C65" s="1068" t="s">
        <v>1512</v>
      </c>
      <c r="D65" s="1068" t="s">
        <v>1513</v>
      </c>
      <c r="E65" s="1139">
        <v>0.2</v>
      </c>
      <c r="F65" s="1154">
        <v>30</v>
      </c>
    </row>
    <row r="66" spans="1:6" s="1105" customFormat="1" ht="36">
      <c r="A66" s="1154">
        <v>6</v>
      </c>
      <c r="B66" s="3451"/>
      <c r="C66" s="1068" t="s">
        <v>1514</v>
      </c>
      <c r="D66" s="1068" t="s">
        <v>1515</v>
      </c>
      <c r="E66" s="1139">
        <v>0.3</v>
      </c>
      <c r="F66" s="1154">
        <v>50</v>
      </c>
    </row>
    <row r="67" spans="1:6" s="1105" customFormat="1" ht="36">
      <c r="A67" s="1154">
        <v>7</v>
      </c>
      <c r="B67" s="3451"/>
      <c r="C67" s="1068" t="s">
        <v>1516</v>
      </c>
      <c r="D67" s="1068" t="s">
        <v>1517</v>
      </c>
      <c r="E67" s="1139">
        <v>0.2</v>
      </c>
      <c r="F67" s="1154">
        <v>30</v>
      </c>
    </row>
    <row r="68" spans="1:6" s="1105" customFormat="1" ht="36">
      <c r="A68" s="1154">
        <v>8</v>
      </c>
      <c r="B68" s="3451"/>
      <c r="C68" s="1068" t="s">
        <v>1518</v>
      </c>
      <c r="D68" s="1068" t="s">
        <v>1519</v>
      </c>
      <c r="E68" s="1139">
        <v>0.2</v>
      </c>
      <c r="F68" s="1154">
        <v>30</v>
      </c>
    </row>
    <row r="69" spans="1:6" s="1105" customFormat="1" ht="36">
      <c r="A69" s="1154">
        <v>9</v>
      </c>
      <c r="B69" s="3451"/>
      <c r="C69" s="1068" t="s">
        <v>1520</v>
      </c>
      <c r="D69" s="1068" t="s">
        <v>1521</v>
      </c>
      <c r="E69" s="1139">
        <v>0.2</v>
      </c>
      <c r="F69" s="1154">
        <v>30</v>
      </c>
    </row>
    <row r="70" spans="1:6" s="1105" customFormat="1" ht="48">
      <c r="A70" s="1154">
        <v>10</v>
      </c>
      <c r="B70" s="3451"/>
      <c r="C70" s="1068" t="s">
        <v>1522</v>
      </c>
      <c r="D70" s="1068" t="s">
        <v>1523</v>
      </c>
      <c r="E70" s="1139">
        <v>0.2</v>
      </c>
      <c r="F70" s="1154">
        <v>30</v>
      </c>
    </row>
    <row r="71" spans="1:6" s="1105" customFormat="1" ht="48">
      <c r="A71" s="1154">
        <v>11</v>
      </c>
      <c r="B71" s="3451"/>
      <c r="C71" s="1068" t="s">
        <v>1524</v>
      </c>
      <c r="D71" s="1068" t="s">
        <v>1525</v>
      </c>
      <c r="E71" s="1139">
        <v>0.2</v>
      </c>
      <c r="F71" s="1154">
        <v>30</v>
      </c>
    </row>
    <row r="72" spans="1:6" s="1105" customFormat="1" ht="36">
      <c r="A72" s="1154">
        <v>12</v>
      </c>
      <c r="B72" s="3451"/>
      <c r="C72" s="1068" t="s">
        <v>1526</v>
      </c>
      <c r="D72" s="1068" t="s">
        <v>1527</v>
      </c>
      <c r="E72" s="1139">
        <v>0.5</v>
      </c>
      <c r="F72" s="1154">
        <v>80</v>
      </c>
    </row>
    <row r="73" spans="1:6" s="1105" customFormat="1" ht="24">
      <c r="A73" s="1154">
        <v>13</v>
      </c>
      <c r="B73" s="3451"/>
      <c r="C73" s="1068" t="s">
        <v>1528</v>
      </c>
      <c r="D73" s="1068" t="s">
        <v>1529</v>
      </c>
      <c r="E73" s="1139">
        <v>0.4</v>
      </c>
      <c r="F73" s="1154">
        <v>60</v>
      </c>
    </row>
    <row r="74" spans="1:6" s="1105" customFormat="1" ht="24">
      <c r="A74" s="1154">
        <v>14</v>
      </c>
      <c r="B74" s="3451"/>
      <c r="C74" s="1068" t="s">
        <v>1530</v>
      </c>
      <c r="D74" s="1068" t="s">
        <v>1531</v>
      </c>
      <c r="E74" s="1139">
        <v>0.2</v>
      </c>
      <c r="F74" s="1154">
        <v>30</v>
      </c>
    </row>
    <row r="75" spans="1:6" s="1105" customFormat="1" ht="24">
      <c r="A75" s="1154">
        <v>15</v>
      </c>
      <c r="B75" s="3451"/>
      <c r="C75" s="1068" t="s">
        <v>1532</v>
      </c>
      <c r="D75" s="1068" t="s">
        <v>1533</v>
      </c>
      <c r="E75" s="1139">
        <v>0.2</v>
      </c>
      <c r="F75" s="1154">
        <v>30</v>
      </c>
    </row>
    <row r="76" spans="1:6" s="1105" customFormat="1" ht="24">
      <c r="A76" s="1154">
        <v>16</v>
      </c>
      <c r="B76" s="3451" t="s">
        <v>1534</v>
      </c>
      <c r="C76" s="1068" t="s">
        <v>1535</v>
      </c>
      <c r="D76" s="1068" t="s">
        <v>1536</v>
      </c>
      <c r="E76" s="1139">
        <v>0.5</v>
      </c>
      <c r="F76" s="1154">
        <v>80</v>
      </c>
    </row>
    <row r="77" spans="1:6" s="1105" customFormat="1" ht="24">
      <c r="A77" s="1154">
        <v>17</v>
      </c>
      <c r="B77" s="3451"/>
      <c r="C77" s="1068" t="s">
        <v>1537</v>
      </c>
      <c r="D77" s="1068" t="s">
        <v>1538</v>
      </c>
      <c r="E77" s="1139">
        <v>0.5</v>
      </c>
      <c r="F77" s="1154">
        <v>80</v>
      </c>
    </row>
    <row r="78" spans="1:6" s="1105" customFormat="1" ht="24">
      <c r="A78" s="1154">
        <v>18</v>
      </c>
      <c r="B78" s="3451"/>
      <c r="C78" s="1068" t="s">
        <v>1539</v>
      </c>
      <c r="D78" s="1068" t="s">
        <v>1540</v>
      </c>
      <c r="E78" s="1139">
        <v>0.2</v>
      </c>
      <c r="F78" s="1154">
        <v>30</v>
      </c>
    </row>
    <row r="79" spans="1:6" s="1105" customFormat="1" ht="24">
      <c r="A79" s="1154">
        <v>19</v>
      </c>
      <c r="B79" s="3451"/>
      <c r="C79" s="1068" t="s">
        <v>1541</v>
      </c>
      <c r="D79" s="1068" t="s">
        <v>1542</v>
      </c>
      <c r="E79" s="1139">
        <v>0.5</v>
      </c>
      <c r="F79" s="1154">
        <v>80</v>
      </c>
    </row>
    <row r="80" spans="1:6" s="1105" customFormat="1" ht="36">
      <c r="A80" s="1154">
        <v>20</v>
      </c>
      <c r="B80" s="3451"/>
      <c r="C80" s="1068" t="s">
        <v>1543</v>
      </c>
      <c r="D80" s="1068" t="s">
        <v>1544</v>
      </c>
      <c r="E80" s="1139">
        <v>0.2</v>
      </c>
      <c r="F80" s="1154">
        <v>30</v>
      </c>
    </row>
    <row r="81" spans="1:6" s="1105" customFormat="1" ht="36">
      <c r="A81" s="1154">
        <v>21</v>
      </c>
      <c r="B81" s="3451"/>
      <c r="C81" s="1068" t="s">
        <v>1545</v>
      </c>
      <c r="D81" s="1068" t="s">
        <v>1546</v>
      </c>
      <c r="E81" s="1139">
        <v>0.2</v>
      </c>
      <c r="F81" s="1154">
        <v>30</v>
      </c>
    </row>
    <row r="82" spans="1:6" s="1105" customFormat="1" ht="48">
      <c r="A82" s="1154">
        <v>22</v>
      </c>
      <c r="B82" s="3451"/>
      <c r="C82" s="1068" t="s">
        <v>1547</v>
      </c>
      <c r="D82" s="1068" t="s">
        <v>1548</v>
      </c>
      <c r="E82" s="1139">
        <v>0.2</v>
      </c>
      <c r="F82" s="1154">
        <v>30</v>
      </c>
    </row>
    <row r="83" spans="1:6" s="1105" customFormat="1" ht="48">
      <c r="A83" s="1154">
        <v>23</v>
      </c>
      <c r="B83" s="3451"/>
      <c r="C83" s="1068" t="s">
        <v>1549</v>
      </c>
      <c r="D83" s="1068" t="s">
        <v>1550</v>
      </c>
      <c r="E83" s="1139">
        <v>0.2</v>
      </c>
      <c r="F83" s="1154">
        <v>30</v>
      </c>
    </row>
    <row r="84" spans="1:6" s="1105" customFormat="1" ht="36">
      <c r="A84" s="1154">
        <v>24</v>
      </c>
      <c r="B84" s="3451"/>
      <c r="C84" s="1068" t="s">
        <v>1551</v>
      </c>
      <c r="D84" s="1068" t="s">
        <v>1552</v>
      </c>
      <c r="E84" s="1139">
        <v>0.2</v>
      </c>
      <c r="F84" s="1154">
        <v>30</v>
      </c>
    </row>
    <row r="85" spans="1:6" s="1105" customFormat="1" ht="36">
      <c r="A85" s="1154">
        <v>25</v>
      </c>
      <c r="B85" s="3451"/>
      <c r="C85" s="1068" t="s">
        <v>1553</v>
      </c>
      <c r="D85" s="1068" t="s">
        <v>1554</v>
      </c>
      <c r="E85" s="1139">
        <v>0.5</v>
      </c>
      <c r="F85" s="1154">
        <v>80</v>
      </c>
    </row>
    <row r="86" spans="1:6" s="1105" customFormat="1" ht="36">
      <c r="A86" s="1154">
        <v>26</v>
      </c>
      <c r="B86" s="3451"/>
      <c r="C86" s="1068" t="s">
        <v>1555</v>
      </c>
      <c r="D86" s="1068" t="s">
        <v>1556</v>
      </c>
      <c r="E86" s="1139">
        <v>0.2</v>
      </c>
      <c r="F86" s="1154">
        <v>30</v>
      </c>
    </row>
    <row r="87" spans="1:6" s="1105" customFormat="1" ht="36">
      <c r="A87" s="1154">
        <v>27</v>
      </c>
      <c r="B87" s="3451"/>
      <c r="C87" s="1068" t="s">
        <v>1557</v>
      </c>
      <c r="D87" s="1068" t="s">
        <v>1558</v>
      </c>
      <c r="E87" s="1139">
        <v>0.2</v>
      </c>
      <c r="F87" s="1154">
        <v>30</v>
      </c>
    </row>
    <row r="88" spans="1:6" s="1105" customFormat="1" ht="36">
      <c r="A88" s="1154">
        <v>28</v>
      </c>
      <c r="B88" s="3451"/>
      <c r="C88" s="1068" t="s">
        <v>1559</v>
      </c>
      <c r="D88" s="1068" t="s">
        <v>1560</v>
      </c>
      <c r="E88" s="1139">
        <v>0.2</v>
      </c>
      <c r="F88" s="1154">
        <v>30</v>
      </c>
    </row>
    <row r="89" spans="1:6" s="1105" customFormat="1" ht="24">
      <c r="A89" s="1154">
        <v>29</v>
      </c>
      <c r="B89" s="3451"/>
      <c r="C89" s="1068" t="s">
        <v>1561</v>
      </c>
      <c r="D89" s="1068" t="s">
        <v>1562</v>
      </c>
      <c r="E89" s="1139">
        <v>0.2</v>
      </c>
      <c r="F89" s="1154">
        <v>30</v>
      </c>
    </row>
    <row r="90" spans="1:6" s="1105" customFormat="1" ht="24">
      <c r="A90" s="1154">
        <v>30</v>
      </c>
      <c r="B90" s="3451"/>
      <c r="C90" s="1068" t="s">
        <v>1563</v>
      </c>
      <c r="D90" s="1068" t="s">
        <v>1564</v>
      </c>
      <c r="E90" s="1139">
        <v>0.2</v>
      </c>
      <c r="F90" s="1154">
        <v>30</v>
      </c>
    </row>
    <row r="91" spans="1:6" s="1105" customFormat="1" ht="36">
      <c r="A91" s="1154">
        <v>31</v>
      </c>
      <c r="B91" s="3451"/>
      <c r="C91" s="1068" t="s">
        <v>1565</v>
      </c>
      <c r="D91" s="1068" t="s">
        <v>1566</v>
      </c>
      <c r="E91" s="1139">
        <v>0.2</v>
      </c>
      <c r="F91" s="1154">
        <v>30</v>
      </c>
    </row>
    <row r="92" spans="1:6" s="1105" customFormat="1" ht="24">
      <c r="A92" s="1154">
        <v>32</v>
      </c>
      <c r="B92" s="3451" t="s">
        <v>1567</v>
      </c>
      <c r="C92" s="1154" t="s">
        <v>1568</v>
      </c>
      <c r="D92" s="1068" t="s">
        <v>1569</v>
      </c>
      <c r="E92" s="1139">
        <v>0.2</v>
      </c>
      <c r="F92" s="1154">
        <v>30</v>
      </c>
    </row>
    <row r="93" spans="1:6" s="1105" customFormat="1" ht="36">
      <c r="A93" s="1154">
        <v>33</v>
      </c>
      <c r="B93" s="3451"/>
      <c r="C93" s="1154" t="s">
        <v>1570</v>
      </c>
      <c r="D93" s="1068" t="s">
        <v>1571</v>
      </c>
      <c r="E93" s="1139">
        <v>0.2</v>
      </c>
      <c r="F93" s="1154">
        <v>30</v>
      </c>
    </row>
    <row r="94" spans="1:6" s="1105" customFormat="1" ht="48">
      <c r="A94" s="1154">
        <v>34</v>
      </c>
      <c r="B94" s="3451"/>
      <c r="C94" s="1154" t="s">
        <v>1572</v>
      </c>
      <c r="D94" s="1068" t="s">
        <v>1573</v>
      </c>
      <c r="E94" s="1139">
        <v>0.2</v>
      </c>
      <c r="F94" s="1154">
        <v>30</v>
      </c>
    </row>
    <row r="95" spans="1:6" s="1105" customFormat="1" ht="36">
      <c r="A95" s="1154">
        <v>35</v>
      </c>
      <c r="B95" s="3451"/>
      <c r="C95" s="1154" t="s">
        <v>1574</v>
      </c>
      <c r="D95" s="1068" t="s">
        <v>1575</v>
      </c>
      <c r="E95" s="1139">
        <v>0.2</v>
      </c>
      <c r="F95" s="1154">
        <v>30</v>
      </c>
    </row>
    <row r="96" spans="1:6" s="1105" customFormat="1" ht="48">
      <c r="A96" s="1154">
        <v>36</v>
      </c>
      <c r="B96" s="3451"/>
      <c r="C96" s="1068" t="s">
        <v>1576</v>
      </c>
      <c r="D96" s="1068" t="s">
        <v>1577</v>
      </c>
      <c r="E96" s="1139">
        <v>0.2</v>
      </c>
      <c r="F96" s="1154">
        <v>30</v>
      </c>
    </row>
    <row r="97" spans="1:6" s="1105" customFormat="1" ht="36">
      <c r="A97" s="1154">
        <v>37</v>
      </c>
      <c r="B97" s="3451"/>
      <c r="C97" s="1154" t="s">
        <v>1578</v>
      </c>
      <c r="D97" s="1068" t="s">
        <v>1579</v>
      </c>
      <c r="E97" s="1139">
        <v>0.2</v>
      </c>
      <c r="F97" s="1154">
        <v>30</v>
      </c>
    </row>
    <row r="98" spans="1:6" s="1105" customFormat="1" ht="36">
      <c r="A98" s="1154">
        <v>38</v>
      </c>
      <c r="B98" s="3451"/>
      <c r="C98" s="1154" t="s">
        <v>1580</v>
      </c>
      <c r="D98" s="1068" t="s">
        <v>1581</v>
      </c>
      <c r="E98" s="1139">
        <v>0.2</v>
      </c>
      <c r="F98" s="1154">
        <v>30</v>
      </c>
    </row>
    <row r="99" spans="1:6" s="1105" customFormat="1" ht="36">
      <c r="A99" s="1154">
        <v>39</v>
      </c>
      <c r="B99" s="3451" t="s">
        <v>1582</v>
      </c>
      <c r="C99" s="1154" t="s">
        <v>1583</v>
      </c>
      <c r="D99" s="1068" t="s">
        <v>1584</v>
      </c>
      <c r="E99" s="1139">
        <v>0.3</v>
      </c>
      <c r="F99" s="1154">
        <v>50</v>
      </c>
    </row>
    <row r="100" spans="1:6" s="1105" customFormat="1" ht="24">
      <c r="A100" s="1154">
        <v>40</v>
      </c>
      <c r="B100" s="3451"/>
      <c r="C100" s="1154" t="s">
        <v>1585</v>
      </c>
      <c r="D100" s="1068" t="s">
        <v>1586</v>
      </c>
      <c r="E100" s="1139">
        <v>0.2</v>
      </c>
      <c r="F100" s="1154">
        <v>30</v>
      </c>
    </row>
    <row r="101" spans="1:6" s="1105" customFormat="1" ht="36">
      <c r="A101" s="1154">
        <v>41</v>
      </c>
      <c r="B101" s="345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51" t="s">
        <v>1597</v>
      </c>
      <c r="C105" s="1154" t="s">
        <v>1598</v>
      </c>
      <c r="D105" s="1068" t="s">
        <v>1599</v>
      </c>
      <c r="E105" s="1139">
        <v>0.2</v>
      </c>
      <c r="F105" s="1154">
        <v>30</v>
      </c>
    </row>
    <row r="106" spans="1:6" s="1105" customFormat="1" ht="36">
      <c r="A106" s="1154">
        <v>46</v>
      </c>
      <c r="B106" s="3451"/>
      <c r="C106" s="1154" t="s">
        <v>1600</v>
      </c>
      <c r="D106" s="1068" t="s">
        <v>1601</v>
      </c>
      <c r="E106" s="1139">
        <v>0.2</v>
      </c>
      <c r="F106" s="1154">
        <v>30</v>
      </c>
    </row>
    <row r="107" spans="1:6" s="1105" customFormat="1" ht="36">
      <c r="A107" s="1154">
        <v>47</v>
      </c>
      <c r="B107" s="3451" t="s">
        <v>1602</v>
      </c>
      <c r="C107" s="1154" t="s">
        <v>1603</v>
      </c>
      <c r="D107" s="1068" t="s">
        <v>1604</v>
      </c>
      <c r="E107" s="1139">
        <v>0.3</v>
      </c>
      <c r="F107" s="1154">
        <v>50</v>
      </c>
    </row>
    <row r="108" spans="1:6" s="1105" customFormat="1" ht="36">
      <c r="A108" s="1154">
        <v>48</v>
      </c>
      <c r="B108" s="345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51" t="s">
        <v>1613</v>
      </c>
      <c r="C111" s="1154" t="s">
        <v>1614</v>
      </c>
      <c r="D111" s="1068" t="s">
        <v>1615</v>
      </c>
      <c r="E111" s="1139">
        <v>0.2</v>
      </c>
      <c r="F111" s="1154">
        <v>30</v>
      </c>
    </row>
    <row r="112" spans="1:6" s="1105" customFormat="1" ht="24">
      <c r="A112" s="1154">
        <v>52</v>
      </c>
      <c r="B112" s="3451"/>
      <c r="C112" s="1154" t="s">
        <v>1616</v>
      </c>
      <c r="D112" s="1068" t="s">
        <v>1617</v>
      </c>
      <c r="E112" s="1139">
        <v>0.2</v>
      </c>
      <c r="F112" s="1154">
        <v>30</v>
      </c>
    </row>
    <row r="113" spans="1:14" s="1105" customFormat="1" ht="24">
      <c r="A113" s="1154">
        <v>53</v>
      </c>
      <c r="B113" s="345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51" t="s">
        <v>1626</v>
      </c>
      <c r="C116" s="1154" t="s">
        <v>1627</v>
      </c>
      <c r="D116" s="1068" t="s">
        <v>1628</v>
      </c>
      <c r="E116" s="1139">
        <v>0.2</v>
      </c>
      <c r="F116" s="1154">
        <v>30</v>
      </c>
    </row>
    <row r="117" spans="1:14" ht="36">
      <c r="A117" s="1154">
        <v>57</v>
      </c>
      <c r="B117" s="345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50" t="s">
        <v>1635</v>
      </c>
      <c r="B121" s="3450"/>
      <c r="C121" s="3450"/>
      <c r="D121" s="3450"/>
      <c r="E121" s="3450"/>
      <c r="F121" s="3450"/>
      <c r="G121" s="3450"/>
      <c r="H121" s="3450"/>
      <c r="I121" s="3450"/>
      <c r="J121" s="345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5" t="s">
        <v>1041</v>
      </c>
      <c r="B1" s="3455"/>
      <c r="C1" s="3455"/>
      <c r="D1" s="3455"/>
      <c r="E1" s="3455"/>
      <c r="F1" s="345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6" t="s">
        <v>1054</v>
      </c>
      <c r="B2" s="3456"/>
      <c r="C2" s="3456"/>
      <c r="D2" s="3456"/>
      <c r="E2" s="3456"/>
      <c r="F2" s="345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9" t="s">
        <v>2081</v>
      </c>
      <c r="B1" s="3459"/>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f ca="1">SUMIF(B7:B14,"&lt;&gt;#ref!",B7:B14)</f>
        <v>36874</v>
      </c>
      <c r="C2" s="3136" t="s">
        <v>2950</v>
      </c>
      <c r="D2" s="3135"/>
      <c r="E2" s="3135"/>
      <c r="F2" s="3135"/>
    </row>
    <row r="3" spans="1:6" ht="14.25">
      <c r="A3" s="3136" t="s">
        <v>2952</v>
      </c>
      <c r="B3" s="3137" t="e">
        <f ca="1">ROUND(B2*10000/E3,0)</f>
        <v>#REF!</v>
      </c>
      <c r="C3" s="3136" t="s">
        <v>2080</v>
      </c>
      <c r="D3" s="3136" t="s">
        <v>2951</v>
      </c>
      <c r="E3" s="3137" t="e">
        <f ca="1">SUM(E7:E14)</f>
        <v>#REF!</v>
      </c>
      <c r="F3" s="3135"/>
    </row>
    <row r="4" spans="1:6" ht="14.25">
      <c r="A4" s="3136" t="s">
        <v>2959</v>
      </c>
      <c r="B4" s="3137" t="e">
        <f ca="1">ROUND(B2*10000/E4,0)</f>
        <v>#REF!</v>
      </c>
      <c r="C4" s="3136" t="s">
        <v>2080</v>
      </c>
      <c r="D4" s="3136" t="s">
        <v>2960</v>
      </c>
      <c r="E4" s="3137" t="e">
        <f ca="1">SUM(F7:F14)</f>
        <v>#REF!</v>
      </c>
      <c r="F4" s="3135"/>
    </row>
    <row r="5" spans="1:6" ht="14.25">
      <c r="A5" s="3138"/>
      <c r="B5" s="1882"/>
      <c r="C5" s="1882"/>
      <c r="D5" s="1882"/>
      <c r="E5" s="1882"/>
      <c r="F5" s="3135"/>
    </row>
    <row r="6" spans="1:6" ht="28.5">
      <c r="A6" s="3139" t="s">
        <v>2956</v>
      </c>
      <c r="B6" s="3136" t="s">
        <v>2953</v>
      </c>
      <c r="C6" s="3137"/>
      <c r="D6" s="1882"/>
      <c r="E6" s="3136" t="s">
        <v>2954</v>
      </c>
      <c r="F6" s="3136" t="s">
        <v>2958</v>
      </c>
    </row>
    <row r="7" spans="1:6" ht="14.25">
      <c r="A7" s="260" t="s">
        <v>2957</v>
      </c>
      <c r="B7" s="3140">
        <f ca="1">SUMIF(INDIRECT("'"&amp;A7&amp;"'"&amp;"!A:A"),"总价",INDIRECT("'"&amp;A7&amp;"'"&amp;"!B:B"))</f>
        <v>36874</v>
      </c>
      <c r="C7" s="3136" t="s">
        <v>2950</v>
      </c>
      <c r="D7" s="1882"/>
      <c r="E7" s="3141">
        <f ca="1">SUMIF(INDIRECT("'"&amp;A7&amp;"'"&amp;"!C:C"),"建筑面积",INDIRECT("'"&amp;A7&amp;"'"&amp;"!D:D"))</f>
        <v>60108.039999999994</v>
      </c>
      <c r="F7" s="3141">
        <f ca="1">SUMIF(INDIRECT("'"&amp;A7&amp;"'"&amp;"!E:E"),"土地面积",INDIRECT("'"&amp;A7&amp;"'"&amp;"!F:F"))</f>
        <v>17629.735000000001</v>
      </c>
    </row>
    <row r="8" spans="1:6" ht="14.25">
      <c r="A8" s="260"/>
      <c r="B8" s="3140" t="e">
        <f t="shared" ref="B8:B14" ca="1" si="0">SUMIF(INDIRECT("'"&amp;A8&amp;"'"&amp;"!A:A"),"总价",INDIRECT("'"&amp;A8&amp;"'"&amp;"!B:B"))</f>
        <v>#REF!</v>
      </c>
      <c r="C8" s="3136" t="s">
        <v>2950</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2"/>
      <c r="E9" s="3141" t="e">
        <f t="shared" ca="1" si="1"/>
        <v>#REF!</v>
      </c>
      <c r="F9" s="3141" t="e">
        <f t="shared" ca="1" si="2"/>
        <v>#REF!</v>
      </c>
    </row>
    <row r="10" spans="1:6" ht="14.25">
      <c r="A10" s="260"/>
      <c r="B10" s="3140" t="e">
        <f t="shared" ca="1" si="0"/>
        <v>#REF!</v>
      </c>
      <c r="C10" s="3136" t="s">
        <v>2950</v>
      </c>
      <c r="D10" s="1882"/>
      <c r="E10" s="3141" t="e">
        <f t="shared" ca="1" si="1"/>
        <v>#REF!</v>
      </c>
      <c r="F10" s="3141" t="e">
        <f t="shared" ca="1" si="2"/>
        <v>#REF!</v>
      </c>
    </row>
    <row r="11" spans="1:6" ht="14.25">
      <c r="A11" s="260"/>
      <c r="B11" s="3140" t="e">
        <f t="shared" ca="1" si="0"/>
        <v>#REF!</v>
      </c>
      <c r="C11" s="3136" t="s">
        <v>2950</v>
      </c>
      <c r="D11" s="1882"/>
      <c r="E11" s="3141" t="e">
        <f t="shared" ca="1" si="1"/>
        <v>#REF!</v>
      </c>
      <c r="F11" s="3141" t="e">
        <f t="shared" ca="1" si="2"/>
        <v>#REF!</v>
      </c>
    </row>
    <row r="12" spans="1:6" ht="14.25">
      <c r="A12" s="260"/>
      <c r="B12" s="3140" t="e">
        <f t="shared" ca="1" si="0"/>
        <v>#REF!</v>
      </c>
      <c r="C12" s="3136" t="s">
        <v>2950</v>
      </c>
      <c r="D12" s="1882"/>
      <c r="E12" s="3141" t="e">
        <f t="shared" ca="1" si="1"/>
        <v>#REF!</v>
      </c>
      <c r="F12" s="3141" t="e">
        <f t="shared" ca="1" si="2"/>
        <v>#REF!</v>
      </c>
    </row>
    <row r="13" spans="1:6" ht="14.25">
      <c r="A13" s="260"/>
      <c r="B13" s="3140" t="e">
        <f t="shared" ca="1" si="0"/>
        <v>#REF!</v>
      </c>
      <c r="C13" s="3136" t="s">
        <v>2950</v>
      </c>
      <c r="D13" s="1882"/>
      <c r="E13" s="3141" t="e">
        <f t="shared" ca="1" si="1"/>
        <v>#REF!</v>
      </c>
      <c r="F13" s="3141" t="e">
        <f t="shared" ca="1" si="2"/>
        <v>#REF!</v>
      </c>
    </row>
    <row r="14" spans="1:6" ht="14.25">
      <c r="A14" s="3134"/>
      <c r="B14" s="3140" t="e">
        <f t="shared" ca="1" si="0"/>
        <v>#REF!</v>
      </c>
      <c r="C14" s="3136" t="s">
        <v>2950</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61" t="s">
        <v>2467</v>
      </c>
      <c r="C8" s="1826">
        <f ca="1">ROUND(F8*F10*F9*(1-F11)/10000,0)</f>
        <v>0</v>
      </c>
      <c r="D8" s="1823" t="s">
        <v>2539</v>
      </c>
      <c r="E8" s="61" t="s">
        <v>638</v>
      </c>
      <c r="F8" s="785">
        <f ca="1">INDIRECT("'数据-取费表'!u"&amp;$G$1)</f>
        <v>0</v>
      </c>
      <c r="G8" s="1592"/>
      <c r="H8" s="2529" t="s">
        <v>1826</v>
      </c>
      <c r="I8" s="3461" t="s">
        <v>2467</v>
      </c>
      <c r="J8" s="783">
        <f ca="1">ROUND(M8*M10*M9*(1-M11)/10000,0)</f>
        <v>0</v>
      </c>
      <c r="K8" s="341" t="s">
        <v>2539</v>
      </c>
      <c r="L8" s="784" t="s">
        <v>1740</v>
      </c>
      <c r="M8" s="785">
        <f ca="1">INDIRECT("'数据-取费表'!z"&amp;$G$1)</f>
        <v>0</v>
      </c>
    </row>
    <row r="9" spans="1:25" ht="18" customHeight="1">
      <c r="A9" s="2525"/>
      <c r="B9" s="3462"/>
      <c r="C9" s="1827"/>
      <c r="D9" s="1824"/>
      <c r="E9" s="61" t="s">
        <v>639</v>
      </c>
      <c r="F9" s="785">
        <f ca="1">IF(INDIRECT("'数据-取费表'!ah"&amp;$G$1)="",INDIRECT("'数据-取费表'!k"&amp;$G$1),INDIRECT("'数据-取费表'!ah"&amp;$G$1))</f>
        <v>0</v>
      </c>
      <c r="G9" s="1592"/>
      <c r="H9" s="2514"/>
      <c r="I9" s="3462"/>
      <c r="J9" s="788"/>
      <c r="K9" s="789"/>
      <c r="L9" s="784" t="s">
        <v>1741</v>
      </c>
      <c r="M9" s="785">
        <f ca="1">F9</f>
        <v>0</v>
      </c>
    </row>
    <row r="10" spans="1:25" ht="18" customHeight="1">
      <c r="A10" s="2518"/>
      <c r="B10" s="3463"/>
      <c r="C10" s="1827"/>
      <c r="D10" s="1824"/>
      <c r="E10" s="61" t="s">
        <v>640</v>
      </c>
      <c r="F10" s="785">
        <f ca="1">INDIRECT("'数据-取费表'!ai"&amp;$G$1)</f>
        <v>365</v>
      </c>
      <c r="G10" s="1592"/>
      <c r="H10" s="2514"/>
      <c r="I10" s="3463"/>
      <c r="J10" s="788"/>
      <c r="K10" s="789"/>
      <c r="L10" s="784" t="s">
        <v>1742</v>
      </c>
      <c r="M10" s="785">
        <f ca="1">INDIRECT("'数据-取费表'!ai"&amp;$G$1)</f>
        <v>365</v>
      </c>
    </row>
    <row r="11" spans="1:25" ht="18" customHeight="1">
      <c r="A11" s="786"/>
      <c r="B11" s="3464"/>
      <c r="C11" s="1827"/>
      <c r="D11" s="1824"/>
      <c r="E11" s="61" t="s">
        <v>641</v>
      </c>
      <c r="F11" s="794">
        <f ca="1">INDIRECT("'数据-取费表'!w"&amp;$G$1)</f>
        <v>0</v>
      </c>
      <c r="G11" s="1592"/>
      <c r="H11" s="2530"/>
      <c r="I11" s="3463"/>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1.4999999999999999E-2</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2827</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8" t="s">
        <v>2829</v>
      </c>
      <c r="J31" s="825" t="e">
        <f ca="1">ROUND(J28/(1+F45)^F46,0)</f>
        <v>#N/A</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60"/>
      <c r="J36" s="2080"/>
      <c r="K36" s="2081"/>
      <c r="L36" s="2080"/>
      <c r="M36" s="2080"/>
    </row>
    <row r="37" spans="1:18" ht="18" customHeight="1">
      <c r="A37" s="815"/>
      <c r="B37" s="793"/>
      <c r="C37" s="69"/>
      <c r="D37" s="816"/>
      <c r="E37" s="784" t="s">
        <v>675</v>
      </c>
      <c r="F37" s="785">
        <f ca="1">INDIRECT("'数据-取费表'!r"&amp;$G$1)</f>
        <v>0</v>
      </c>
      <c r="G37" s="2063"/>
      <c r="H37" s="2066"/>
      <c r="I37" s="3460"/>
      <c r="J37" s="2078"/>
      <c r="K37" s="2079"/>
      <c r="L37" s="2078"/>
      <c r="M37" s="2078"/>
    </row>
    <row r="38" spans="1:18" ht="18" customHeight="1">
      <c r="A38" s="803" t="s">
        <v>1879</v>
      </c>
      <c r="B38" s="784" t="s">
        <v>677</v>
      </c>
      <c r="C38" s="53">
        <f ca="1">ROUND(C31*F38,1)</f>
        <v>0</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2968</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t="e">
        <f ca="1">ROUND(-PV(F45,F46,C44,0),0)</f>
        <v>#N/A</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2971</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47.88</v>
      </c>
      <c r="O49" s="2423" t="s">
        <v>2382</v>
      </c>
      <c r="P49" s="2424" t="s">
        <v>2408</v>
      </c>
      <c r="Q49" s="2425" t="e">
        <f ca="1">C41+J31</f>
        <v>#N/A</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65"/>
      <c r="L54" s="3466"/>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t="e">
        <f ca="1">Q49+Q50</f>
        <v>#N/A</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47.88</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t="e">
        <f ca="1">C41+J31</f>
        <v>#N/A</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2947</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#N/A</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t="e">
        <f ca="1">C41+J31</f>
        <v>#N/A</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#N/A</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2946</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D5" sqref="AD5:AH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3" t="s">
        <v>2581</v>
      </c>
      <c r="C1" s="3473"/>
      <c r="D1" s="3473"/>
      <c r="E1" s="3473"/>
      <c r="F1" s="3473"/>
      <c r="G1" s="3472" t="s">
        <v>2582</v>
      </c>
      <c r="H1" s="3472"/>
      <c r="I1" s="3472"/>
      <c r="J1" s="3472"/>
      <c r="K1" s="3472"/>
      <c r="L1" s="3472"/>
      <c r="N1" s="3472" t="s">
        <v>2583</v>
      </c>
      <c r="O1" s="3472"/>
      <c r="P1" s="3472"/>
      <c r="Q1" s="3472"/>
      <c r="R1" s="2680"/>
      <c r="S1" s="3472" t="s">
        <v>2584</v>
      </c>
      <c r="T1" s="3472"/>
      <c r="U1" s="3472"/>
      <c r="V1" s="3472"/>
      <c r="X1" s="3471" t="s">
        <v>2645</v>
      </c>
      <c r="Y1" s="3472"/>
      <c r="Z1" s="3472"/>
      <c r="AA1" s="3472"/>
      <c r="AB1" s="3472"/>
      <c r="AD1" s="3471" t="s">
        <v>2649</v>
      </c>
      <c r="AE1" s="3472"/>
      <c r="AF1" s="3472"/>
      <c r="AG1" s="3472"/>
      <c r="AH1" s="3472"/>
    </row>
    <row r="2" spans="1:34" s="2782" customFormat="1" ht="14.25" thickBot="1">
      <c r="B2" s="2791" t="s">
        <v>2585</v>
      </c>
      <c r="C2" s="2791" t="s">
        <v>2647</v>
      </c>
      <c r="D2" s="2783" t="s">
        <v>1646</v>
      </c>
      <c r="E2" s="2783" t="s">
        <v>1953</v>
      </c>
      <c r="F2" s="2791" t="s">
        <v>2648</v>
      </c>
      <c r="G2" s="2786"/>
      <c r="H2" s="2785"/>
      <c r="I2" s="2791" t="s">
        <v>2962</v>
      </c>
      <c r="J2" s="2783" t="s">
        <v>2964</v>
      </c>
      <c r="K2" s="2783" t="s">
        <v>2965</v>
      </c>
      <c r="L2" s="2791" t="s">
        <v>2966</v>
      </c>
      <c r="N2" s="2791" t="s">
        <v>2585</v>
      </c>
      <c r="O2" s="2783" t="s">
        <v>2963</v>
      </c>
      <c r="P2" s="2783" t="s">
        <v>1953</v>
      </c>
      <c r="Q2" s="2791" t="s">
        <v>2648</v>
      </c>
      <c r="R2" s="2784"/>
      <c r="S2" s="2791" t="s">
        <v>2585</v>
      </c>
      <c r="T2" s="2783" t="s">
        <v>2963</v>
      </c>
      <c r="U2" s="2783" t="s">
        <v>1953</v>
      </c>
      <c r="V2" s="2791" t="s">
        <v>2648</v>
      </c>
      <c r="X2" s="2791" t="s">
        <v>2585</v>
      </c>
      <c r="Y2" s="2791" t="s">
        <v>2647</v>
      </c>
      <c r="Z2" s="2783" t="s">
        <v>1646</v>
      </c>
      <c r="AA2" s="2783" t="s">
        <v>1953</v>
      </c>
      <c r="AB2" s="2791" t="s">
        <v>2648</v>
      </c>
      <c r="AD2" s="2791" t="s">
        <v>2585</v>
      </c>
      <c r="AE2" s="2791" t="s">
        <v>2647</v>
      </c>
      <c r="AF2" s="2783" t="s">
        <v>1646</v>
      </c>
      <c r="AG2" s="2783" t="s">
        <v>1953</v>
      </c>
      <c r="AH2" s="2791" t="s">
        <v>2648</v>
      </c>
    </row>
    <row r="3" spans="1:34" s="3205" customFormat="1" ht="13.5">
      <c r="B3" s="3206"/>
      <c r="C3" s="3206"/>
      <c r="D3" s="3207"/>
      <c r="E3" s="3207"/>
      <c r="F3" s="3206"/>
      <c r="G3" s="3208"/>
      <c r="H3" s="3209"/>
      <c r="I3" s="3206"/>
      <c r="J3" s="3207"/>
      <c r="K3" s="3207"/>
      <c r="L3" s="3206"/>
      <c r="N3" s="3206"/>
      <c r="O3" s="3207"/>
      <c r="P3" s="3207"/>
      <c r="Q3" s="3206"/>
      <c r="R3" s="3210"/>
      <c r="S3" s="3206"/>
      <c r="T3" s="3207"/>
      <c r="U3" s="3207"/>
      <c r="V3" s="3206"/>
      <c r="X3" s="3206"/>
      <c r="Y3" s="3206"/>
      <c r="Z3" s="3207"/>
      <c r="AA3" s="3207"/>
      <c r="AB3" s="3206"/>
      <c r="AD3" s="3206"/>
      <c r="AE3" s="3206"/>
      <c r="AF3" s="3207"/>
      <c r="AG3" s="3207"/>
      <c r="AH3" s="3206"/>
    </row>
    <row r="4" spans="1:34" s="2775" customFormat="1" ht="14.25">
      <c r="B4" s="2776"/>
      <c r="C4" s="2776"/>
      <c r="D4" s="2777"/>
      <c r="E4" s="2777"/>
      <c r="F4" s="2776"/>
      <c r="G4" s="2781"/>
      <c r="H4" s="2778"/>
      <c r="I4" s="3162"/>
      <c r="J4" s="3162"/>
      <c r="K4" s="3162"/>
      <c r="L4" s="3162"/>
      <c r="N4" s="2781"/>
      <c r="O4" s="2779"/>
      <c r="P4" s="2779"/>
      <c r="Q4" s="2779"/>
      <c r="R4" s="2779"/>
      <c r="S4" s="2781"/>
      <c r="T4" s="2779"/>
      <c r="U4" s="2779"/>
      <c r="V4" s="2779"/>
      <c r="X4" s="2780"/>
      <c r="Y4" s="2780"/>
      <c r="Z4" s="2780"/>
      <c r="AA4" s="2780"/>
      <c r="AB4" s="2780"/>
      <c r="AD4" s="2700"/>
      <c r="AE4" s="2700"/>
      <c r="AF4" s="2700"/>
      <c r="AG4" s="2700"/>
      <c r="AH4" s="2700"/>
    </row>
    <row r="5" spans="1:34" s="2775" customFormat="1" ht="13.5" thickBot="1">
      <c r="A5" s="2681" t="s">
        <v>2974</v>
      </c>
      <c r="B5" s="2695">
        <f>B6*(1+N5)</f>
        <v>439.19121308559727</v>
      </c>
      <c r="C5" s="2695">
        <f t="shared" ref="C5" si="0">C6*(1+O5)</f>
        <v>326.28510789673351</v>
      </c>
      <c r="D5" s="2695">
        <f t="shared" ref="D5:D10" si="1">C5</f>
        <v>326.28510789673351</v>
      </c>
      <c r="E5" s="2695">
        <f t="shared" ref="E5" si="2">E6*(1+P5)</f>
        <v>626.49404043656455</v>
      </c>
      <c r="F5" s="2695">
        <f t="shared" ref="F5" si="3">F6*(1+Q5)</f>
        <v>283.46416215500358</v>
      </c>
      <c r="G5" s="2781">
        <v>2018</v>
      </c>
      <c r="H5" s="2778">
        <v>1</v>
      </c>
      <c r="I5" s="3162">
        <v>0</v>
      </c>
      <c r="J5" s="3162">
        <v>0</v>
      </c>
      <c r="K5" s="3162">
        <v>0</v>
      </c>
      <c r="L5" s="3162">
        <v>0</v>
      </c>
      <c r="N5" s="3160">
        <f t="shared" ref="N5:N10" si="4">I5/100</f>
        <v>0</v>
      </c>
      <c r="O5" s="3161">
        <f t="shared" ref="O5" si="5">J5/100</f>
        <v>0</v>
      </c>
      <c r="P5" s="3161">
        <f t="shared" ref="P5" si="6">K5/100</f>
        <v>0</v>
      </c>
      <c r="Q5" s="3161">
        <f t="shared" ref="Q5" si="7">L5/100</f>
        <v>0</v>
      </c>
      <c r="R5" s="2779"/>
      <c r="S5" s="2781"/>
      <c r="T5" s="2779"/>
      <c r="U5" s="2779"/>
      <c r="V5" s="2779"/>
      <c r="W5" s="3204" t="s">
        <v>3189</v>
      </c>
      <c r="X5" s="3203">
        <f>ROUND(SUMPRODUCT(PRODUCT(1+N5:N$20)),4)</f>
        <v>1.4274</v>
      </c>
      <c r="Y5" s="3203">
        <f>ROUND(SUMPRODUCT(PRODUCT(1+O5:O$20)),4)</f>
        <v>1.2685</v>
      </c>
      <c r="Z5" s="3203">
        <f t="shared" ref="Z5" si="8">Y5</f>
        <v>1.2685</v>
      </c>
      <c r="AA5" s="3203">
        <f>ROUND(SUMPRODUCT(PRODUCT(1+P5:P$20)),4)</f>
        <v>1.4825999999999999</v>
      </c>
      <c r="AB5" s="3203">
        <f>ROUND(SUMPRODUCT(PRODUCT(1+Q5:Q$20)),4)</f>
        <v>1.2309000000000001</v>
      </c>
      <c r="AD5" s="3211">
        <f>ROUND(AVERAGE(I5:I$21)/100,4)</f>
        <v>2.3E-2</v>
      </c>
      <c r="AE5" s="3211">
        <f>ROUND(AVERAGE(J5:J$21)/100,4)</f>
        <v>1.55E-2</v>
      </c>
      <c r="AF5" s="3211">
        <f t="shared" ref="AF5" si="9">AE5</f>
        <v>1.55E-2</v>
      </c>
      <c r="AG5" s="3211">
        <f>ROUND(AVERAGE(K5:K$21)/100,4)</f>
        <v>2.5499999999999998E-2</v>
      </c>
      <c r="AH5" s="3211">
        <f>ROUND(AVERAGE(L5:L$21)/100,4)</f>
        <v>1.3100000000000001E-2</v>
      </c>
    </row>
    <row r="6" spans="1:34" s="3145" customFormat="1">
      <c r="A6" s="3143" t="s">
        <v>2973</v>
      </c>
      <c r="B6" s="2822">
        <f t="shared" ref="B6" si="10">B7*(1+N6)</f>
        <v>439.19121308559727</v>
      </c>
      <c r="C6" s="2822">
        <f t="shared" ref="C6" si="11">C7*(1+O6)</f>
        <v>326.28510789673351</v>
      </c>
      <c r="D6" s="2822">
        <f t="shared" si="1"/>
        <v>326.28510789673351</v>
      </c>
      <c r="E6" s="2822">
        <f t="shared" ref="E6" si="12">E7*(1+P6)</f>
        <v>626.49404043656455</v>
      </c>
      <c r="F6" s="2822">
        <f t="shared" ref="F6" si="13">F7*(1+Q6)</f>
        <v>283.46416215500358</v>
      </c>
      <c r="G6" s="3470">
        <v>2017</v>
      </c>
      <c r="H6" s="3144">
        <v>4</v>
      </c>
      <c r="I6" s="3201">
        <v>1.71</v>
      </c>
      <c r="J6" s="3201">
        <v>1.78</v>
      </c>
      <c r="K6" s="3201">
        <v>1.71</v>
      </c>
      <c r="L6" s="3202">
        <v>1.43</v>
      </c>
      <c r="N6" s="2788">
        <f t="shared" si="4"/>
        <v>1.7100000000000001E-2</v>
      </c>
      <c r="O6" s="2788">
        <f t="shared" ref="O6" si="14">J6/100</f>
        <v>1.78E-2</v>
      </c>
      <c r="P6" s="2788">
        <f t="shared" ref="P6" si="15">K6/100</f>
        <v>1.7100000000000001E-2</v>
      </c>
      <c r="Q6" s="2788">
        <f t="shared" ref="Q6" si="16">L6/100</f>
        <v>1.43E-2</v>
      </c>
      <c r="R6" s="3146"/>
      <c r="S6" s="3147"/>
      <c r="T6" s="3146"/>
      <c r="U6" s="3146"/>
      <c r="V6" s="3146"/>
      <c r="W6" s="2789"/>
      <c r="X6" s="3148">
        <f>ROUND(SUMPRODUCT(PRODUCT(1+N6:N$20)),4)</f>
        <v>1.4274</v>
      </c>
      <c r="Y6" s="3148">
        <f>ROUND(SUMPRODUCT(PRODUCT(1+O6:O$20)),4)</f>
        <v>1.2685</v>
      </c>
      <c r="Z6" s="3148">
        <f t="shared" ref="Z6:Z18" si="17">Y6</f>
        <v>1.2685</v>
      </c>
      <c r="AA6" s="3148">
        <f>ROUND(SUMPRODUCT(PRODUCT(1+P6:P$20)),4)</f>
        <v>1.4825999999999999</v>
      </c>
      <c r="AB6" s="3148">
        <f>ROUND(SUMPRODUCT(PRODUCT(1+Q6:Q$20)),4)</f>
        <v>1.2309000000000001</v>
      </c>
      <c r="AD6" s="3149">
        <f>ROUND(AVERAGE(I6:I$21)/100,4)</f>
        <v>2.4500000000000001E-2</v>
      </c>
      <c r="AE6" s="3149">
        <f>ROUND(AVERAGE(J6:J$21)/100,4)</f>
        <v>1.6500000000000001E-2</v>
      </c>
      <c r="AF6" s="3149">
        <f t="shared" ref="AF6:AF19" si="18">AE6</f>
        <v>1.6500000000000001E-2</v>
      </c>
      <c r="AG6" s="3149">
        <f>ROUND(AVERAGE(K6:K$21)/100,4)</f>
        <v>2.7099999999999999E-2</v>
      </c>
      <c r="AH6" s="3149">
        <f>ROUND(AVERAGE(L6:L$21)/100,4)</f>
        <v>1.3899999999999999E-2</v>
      </c>
    </row>
    <row r="7" spans="1:34" s="3145" customFormat="1">
      <c r="A7" s="2681" t="s">
        <v>2586</v>
      </c>
      <c r="B7" s="2695">
        <f t="shared" ref="B7:C9" si="19">B8*(1+N7)</f>
        <v>431.80730811680002</v>
      </c>
      <c r="C7" s="2695">
        <f t="shared" si="19"/>
        <v>320.57880516480003</v>
      </c>
      <c r="D7" s="2695">
        <f t="shared" si="1"/>
        <v>320.57880516480003</v>
      </c>
      <c r="E7" s="2695">
        <f t="shared" ref="E7:F9" si="20">E8*(1+P7)</f>
        <v>615.96110553196797</v>
      </c>
      <c r="F7" s="2695">
        <f t="shared" si="20"/>
        <v>279.46777300108801</v>
      </c>
      <c r="G7" s="3468"/>
      <c r="H7" s="2685">
        <v>3</v>
      </c>
      <c r="I7" s="2685">
        <v>2.98</v>
      </c>
      <c r="J7" s="2685">
        <v>2.11</v>
      </c>
      <c r="K7" s="2685">
        <v>3.24</v>
      </c>
      <c r="L7" s="2696">
        <v>1.72</v>
      </c>
      <c r="N7" s="2690">
        <f t="shared" si="4"/>
        <v>2.98E-2</v>
      </c>
      <c r="O7" s="2691">
        <f t="shared" ref="O7:O8" si="21">J7/100</f>
        <v>2.1099999999999997E-2</v>
      </c>
      <c r="P7" s="2691">
        <f t="shared" ref="P7:P8" si="22">K7/100</f>
        <v>3.2400000000000005E-2</v>
      </c>
      <c r="Q7" s="2691">
        <f t="shared" ref="Q7:Q8" si="23">L7/100</f>
        <v>1.72E-2</v>
      </c>
      <c r="R7" s="3146"/>
      <c r="S7" s="2684"/>
      <c r="T7" s="3159"/>
      <c r="U7" s="3159"/>
      <c r="V7" s="3159"/>
      <c r="W7" s="2679"/>
      <c r="X7" s="2780">
        <f>ROUND(SUMPRODUCT(PRODUCT(1+N7:N$20)),4)</f>
        <v>1.4034</v>
      </c>
      <c r="Y7" s="2780">
        <f>ROUND(SUMPRODUCT(PRODUCT(1+O7:O$20)),4)</f>
        <v>1.2463</v>
      </c>
      <c r="Z7" s="2780">
        <f t="shared" si="17"/>
        <v>1.2463</v>
      </c>
      <c r="AA7" s="2780">
        <f>ROUND(SUMPRODUCT(PRODUCT(1+P7:P$20)),4)</f>
        <v>1.4577</v>
      </c>
      <c r="AB7" s="2780">
        <f>ROUND(SUMPRODUCT(PRODUCT(1+Q7:Q$20)),4)</f>
        <v>1.2136</v>
      </c>
      <c r="AC7" s="2679"/>
      <c r="AD7" s="2700">
        <f>ROUND(AVERAGE(I7:I$21)/100,4)</f>
        <v>2.4899999999999999E-2</v>
      </c>
      <c r="AE7" s="2700">
        <f>ROUND(AVERAGE(J7:J$21)/100,4)</f>
        <v>1.6400000000000001E-2</v>
      </c>
      <c r="AF7" s="2700">
        <f t="shared" si="18"/>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1"/>
        <v>313.95436800000004</v>
      </c>
      <c r="E8" s="2695">
        <f t="shared" si="20"/>
        <v>596.63028431999999</v>
      </c>
      <c r="F8" s="2695">
        <f t="shared" si="20"/>
        <v>274.74220703999998</v>
      </c>
      <c r="G8" s="3468"/>
      <c r="H8" s="2686">
        <v>2</v>
      </c>
      <c r="I8" s="2686">
        <v>3.4</v>
      </c>
      <c r="J8" s="2686">
        <v>2</v>
      </c>
      <c r="K8" s="2686">
        <v>3.82</v>
      </c>
      <c r="L8" s="2697">
        <v>1.68</v>
      </c>
      <c r="N8" s="2690">
        <f t="shared" si="4"/>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17"/>
        <v>1.2205999999999999</v>
      </c>
      <c r="AA8" s="2780">
        <f>ROUND(SUMPRODUCT(PRODUCT(1+P8:P$20)),4)</f>
        <v>1.4118999999999999</v>
      </c>
      <c r="AB8" s="2780">
        <f>ROUND(SUMPRODUCT(PRODUCT(1+Q8:Q$20)),4)</f>
        <v>1.1930000000000001</v>
      </c>
      <c r="AD8" s="2700">
        <f>ROUND(AVERAGE(I8:I$21)/100,4)</f>
        <v>2.46E-2</v>
      </c>
      <c r="AE8" s="2700">
        <f>ROUND(AVERAGE(J8:J$21)/100,4)</f>
        <v>1.6E-2</v>
      </c>
      <c r="AF8" s="2700">
        <f t="shared" si="18"/>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1"/>
        <v>307.79840000000002</v>
      </c>
      <c r="E9" s="2695">
        <f t="shared" si="20"/>
        <v>574.67759999999998</v>
      </c>
      <c r="F9" s="2695">
        <f t="shared" si="20"/>
        <v>270.20280000000002</v>
      </c>
      <c r="G9" s="3469"/>
      <c r="H9" s="2685">
        <v>1</v>
      </c>
      <c r="I9" s="2685">
        <v>3.45</v>
      </c>
      <c r="J9" s="2685">
        <v>1.92</v>
      </c>
      <c r="K9" s="2685">
        <v>3.92</v>
      </c>
      <c r="L9" s="2696">
        <v>1.58</v>
      </c>
      <c r="M9" s="2689"/>
      <c r="N9" s="2690">
        <f t="shared" si="4"/>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17"/>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8"/>
        <v>1.5699999999999999E-2</v>
      </c>
      <c r="AG9" s="2700">
        <f>ROUND(AVERAGE(K9:K$21)/100,4)</f>
        <v>2.6599999999999999E-2</v>
      </c>
      <c r="AH9" s="2700">
        <f>ROUND(AVERAGE(L9:L$21)/100,4)</f>
        <v>1.34E-2</v>
      </c>
    </row>
    <row r="10" spans="1:34">
      <c r="A10" s="2681" t="s">
        <v>972</v>
      </c>
      <c r="B10" s="2687">
        <v>392</v>
      </c>
      <c r="C10" s="2687">
        <v>302</v>
      </c>
      <c r="D10" s="2687">
        <f t="shared" si="1"/>
        <v>302</v>
      </c>
      <c r="E10" s="2687">
        <v>553</v>
      </c>
      <c r="F10" s="2688">
        <v>266</v>
      </c>
      <c r="G10" s="3470">
        <v>2016</v>
      </c>
      <c r="H10" s="2682">
        <v>4</v>
      </c>
      <c r="I10" s="2682">
        <v>4.5599999999999996</v>
      </c>
      <c r="J10" s="2682">
        <v>2.15</v>
      </c>
      <c r="K10" s="2682">
        <v>5.32</v>
      </c>
      <c r="L10" s="2683">
        <v>1.57</v>
      </c>
      <c r="N10" s="2690">
        <f t="shared" si="4"/>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17"/>
        <v>1.1740999999999999</v>
      </c>
      <c r="AA10" s="2780">
        <f>ROUND(SUMPRODUCT(PRODUCT(1+P10:P$20)),4)</f>
        <v>1.3087</v>
      </c>
      <c r="AB10" s="2780">
        <f>ROUND(SUMPRODUCT(PRODUCT(1+Q10:Q$20)),4)</f>
        <v>1.1551</v>
      </c>
      <c r="AD10" s="2700">
        <f>ROUND(AVERAGE(I10:I$21)/100,4)</f>
        <v>2.3E-2</v>
      </c>
      <c r="AE10" s="2700">
        <f>ROUND(AVERAGE(J10:J$21)/100,4)</f>
        <v>1.55E-2</v>
      </c>
      <c r="AF10" s="2700">
        <f t="shared" si="18"/>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468"/>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17"/>
        <v>1.1494</v>
      </c>
      <c r="AA11" s="2780">
        <f>ROUND(SUMPRODUCT(PRODUCT(1+P11:P$20)),4)</f>
        <v>1.2425999999999999</v>
      </c>
      <c r="AB11" s="2780">
        <f>ROUND(SUMPRODUCT(PRODUCT(1+Q11:Q$20)),4)</f>
        <v>1.1372</v>
      </c>
      <c r="AD11" s="2700">
        <f>ROUND(AVERAGE(I11:I$21)/100,4)</f>
        <v>2.0899999999999998E-2</v>
      </c>
      <c r="AE11" s="2700">
        <f>ROUND(AVERAGE(J11:J$21)/100,4)</f>
        <v>1.49E-2</v>
      </c>
      <c r="AF11" s="2700">
        <f t="shared" si="18"/>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468"/>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17"/>
        <v>1.1269</v>
      </c>
      <c r="AA12" s="2780">
        <f>ROUND(SUMPRODUCT(PRODUCT(1+P12:P$20)),4)</f>
        <v>1.1858</v>
      </c>
      <c r="AB12" s="2780">
        <f>ROUND(SUMPRODUCT(PRODUCT(1+Q12:Q$20)),4)</f>
        <v>1.1152</v>
      </c>
      <c r="AD12" s="2700">
        <f>ROUND(AVERAGE(I12:I$21)/100,4)</f>
        <v>1.89E-2</v>
      </c>
      <c r="AE12" s="2700">
        <f>ROUND(AVERAGE(J12:J$21)/100,4)</f>
        <v>1.44E-2</v>
      </c>
      <c r="AF12" s="2700">
        <f t="shared" si="18"/>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469"/>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17"/>
        <v>1.1052999999999999</v>
      </c>
      <c r="AA13" s="2780">
        <f>ROUND(SUMPRODUCT(PRODUCT(1+P13:P$20)),4)</f>
        <v>1.1349</v>
      </c>
      <c r="AB13" s="2780">
        <f>ROUND(SUMPRODUCT(PRODUCT(1+Q13:Q$20)),4)</f>
        <v>1.0996999999999999</v>
      </c>
      <c r="AD13" s="2700">
        <f>ROUND(AVERAGE(I13:I$21)/100,4)</f>
        <v>1.67E-2</v>
      </c>
      <c r="AE13" s="2700">
        <f>ROUND(AVERAGE(J13:J$21)/100,4)</f>
        <v>1.38E-2</v>
      </c>
      <c r="AF13" s="2700">
        <f t="shared" si="18"/>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467">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17"/>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8"/>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468"/>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17"/>
        <v>1.0621</v>
      </c>
      <c r="AA15" s="2780">
        <f>ROUND(SUMPRODUCT(PRODUCT(1+P15:P$20)),4)</f>
        <v>1.0668</v>
      </c>
      <c r="AB15" s="2780">
        <f>ROUND(SUMPRODUCT(PRODUCT(1+Q15:Q$20)),4)</f>
        <v>1.0636000000000001</v>
      </c>
      <c r="AD15" s="2700">
        <f>ROUND(AVERAGE(I15:I$21)/100,4)</f>
        <v>1.3299999999999999E-2</v>
      </c>
      <c r="AE15" s="2700">
        <f>ROUND(AVERAGE(J15:J$21)/100,4)</f>
        <v>1.2E-2</v>
      </c>
      <c r="AF15" s="2700">
        <f t="shared" si="18"/>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468"/>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17"/>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8"/>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469"/>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17"/>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8"/>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467">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17"/>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8"/>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468"/>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8"/>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468"/>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469"/>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90" t="s">
        <v>2646</v>
      </c>
      <c r="X21" s="2792">
        <v>1</v>
      </c>
      <c r="Y21" s="2792">
        <v>1</v>
      </c>
      <c r="Z21" s="2792">
        <v>1</v>
      </c>
      <c r="AA21" s="2792">
        <v>1</v>
      </c>
      <c r="AB21" s="2792">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474">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475"/>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475"/>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3"/>
      <c r="Y24" s="2795"/>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476"/>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4"/>
      <c r="Y25" s="2700"/>
      <c r="Z25" s="2700"/>
    </row>
    <row r="26" spans="1:34" ht="13.5" thickBot="1">
      <c r="A26" s="2681" t="s">
        <v>2593</v>
      </c>
      <c r="B26" s="2725">
        <v>278</v>
      </c>
      <c r="C26" s="2725">
        <v>234</v>
      </c>
      <c r="D26" s="2725">
        <f t="shared" si="29"/>
        <v>234</v>
      </c>
      <c r="E26" s="2725">
        <v>379</v>
      </c>
      <c r="F26" s="2726">
        <v>220</v>
      </c>
      <c r="G26" s="3467">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468"/>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468"/>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469"/>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467">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468">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468">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469">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467">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468">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468">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469">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467">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468">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468">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469">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467">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468">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468">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469">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467">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468">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468">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469">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467">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468">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468">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469">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467">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468">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468">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469">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467">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468">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468">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469">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467">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468">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468">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469">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467">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468">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468">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469">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2">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6:G9"/>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6</v>
      </c>
    </row>
    <row r="2" spans="1:31" s="2042" customFormat="1" ht="18" customHeight="1">
      <c r="A2" s="2102" t="s">
        <v>467</v>
      </c>
      <c r="B2" s="2106">
        <f ca="1">C36</f>
        <v>75420</v>
      </c>
      <c r="C2" s="2105"/>
      <c r="D2" s="2105"/>
      <c r="E2" s="2105"/>
      <c r="F2" s="2105"/>
      <c r="G2" s="2105"/>
      <c r="H2" s="2105"/>
      <c r="I2" s="2105"/>
      <c r="J2" s="2105"/>
      <c r="K2" s="2105"/>
    </row>
    <row r="3" spans="1:31" s="2042" customFormat="1" ht="18" customHeight="1">
      <c r="A3" s="2107" t="s">
        <v>1686</v>
      </c>
      <c r="B3" s="2108">
        <f ca="1">ROUND(B2*10000/IF(B1="",'数据-汇总表'!E3,INDIRECT("'数据-取费表'!K"&amp;$K$1)),0)</f>
        <v>11447</v>
      </c>
      <c r="C3" s="2105"/>
      <c r="D3" s="2105"/>
      <c r="E3" s="2105"/>
      <c r="F3" s="2105"/>
      <c r="G3" s="2105"/>
      <c r="H3" s="2105"/>
      <c r="I3" s="2105"/>
      <c r="J3" s="2105"/>
      <c r="K3" s="2105"/>
    </row>
    <row r="4" spans="1:31" s="2042" customFormat="1" ht="18" customHeight="1">
      <c r="A4" s="426" t="s">
        <v>468</v>
      </c>
      <c r="B4" s="427">
        <f ca="1">ROUND(B2*10000/IF(B1="",'数据-汇总表'!D3,INDIRECT("'数据-取费表'!R"&amp;$K$1)),0)</f>
        <v>42780</v>
      </c>
      <c r="C4" s="428"/>
      <c r="D4" s="422"/>
      <c r="E4" s="422"/>
      <c r="F4" s="422"/>
      <c r="G4" s="422"/>
      <c r="H4" s="422"/>
      <c r="I4" s="422"/>
      <c r="J4" s="422"/>
      <c r="K4" s="422"/>
    </row>
    <row r="5" spans="1:31" s="2042" customFormat="1" ht="18" customHeight="1" thickBot="1">
      <c r="A5" s="429"/>
      <c r="B5" s="430">
        <f ca="1">ROUND(B2/(IF(B1="",'数据-汇总表'!D3,INDIRECT("'数据-取费表'!R"&amp;$K$1))/666.67),0)</f>
        <v>2852</v>
      </c>
      <c r="C5" s="431" t="s">
        <v>469</v>
      </c>
      <c r="D5" s="422"/>
      <c r="E5" s="422"/>
      <c r="F5" s="422"/>
      <c r="G5" s="422"/>
      <c r="H5" s="422"/>
      <c r="I5" s="422"/>
      <c r="J5" s="422"/>
      <c r="K5" s="422"/>
    </row>
    <row r="6" spans="1:31" s="2112" customFormat="1" ht="16.5" customHeight="1">
      <c r="A6" s="2855" t="s">
        <v>1844</v>
      </c>
      <c r="B6" s="2856"/>
      <c r="C6" s="2857">
        <f ca="1">SUM(C10:K10)</f>
        <v>136565</v>
      </c>
      <c r="D6" s="2856"/>
      <c r="E6" s="2856"/>
      <c r="F6" s="2856"/>
      <c r="G6" s="2856"/>
      <c r="H6" s="2856"/>
      <c r="I6" s="2856"/>
      <c r="J6" s="2856"/>
      <c r="K6" s="2858"/>
    </row>
    <row r="7" spans="1:31" s="2114" customFormat="1" ht="15">
      <c r="A7" s="2859" t="s">
        <v>470</v>
      </c>
      <c r="B7" s="2860" t="s">
        <v>471</v>
      </c>
      <c r="C7" s="436"/>
      <c r="D7" s="436" t="s">
        <v>1679</v>
      </c>
      <c r="E7" s="436" t="s">
        <v>3002</v>
      </c>
      <c r="F7" s="436" t="s">
        <v>3164</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f ca="1">'不动产收益法-办公'!B3</f>
        <v>25461</v>
      </c>
      <c r="E8" s="2861">
        <f ca="1">'不动产收益法-车库'!B3</f>
        <v>3598</v>
      </c>
      <c r="F8" s="2861">
        <f ca="1">'不动产收益法-仓储'!B3</f>
        <v>4312</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52504.74</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c r="D10" s="3054">
        <f ca="1">'不动产收益法-办公'!B2</f>
        <v>133683</v>
      </c>
      <c r="E10" s="3054">
        <f ca="1">'不动产收益法-车库'!B2</f>
        <v>1998</v>
      </c>
      <c r="F10" s="2864">
        <f ca="1">'不动产收益法-仓储'!B2</f>
        <v>884</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15324</v>
      </c>
      <c r="D13" s="2871"/>
      <c r="E13" s="2872"/>
      <c r="F13" s="2873"/>
      <c r="G13" s="2839"/>
      <c r="H13" s="2840"/>
      <c r="I13" s="2840"/>
      <c r="J13" s="2840"/>
      <c r="K13" s="2841"/>
    </row>
    <row r="14" spans="1:31" s="2117" customFormat="1" ht="13.5" customHeight="1">
      <c r="A14" s="2869" t="s">
        <v>1851</v>
      </c>
      <c r="B14" s="2870" t="s">
        <v>480</v>
      </c>
      <c r="C14" s="53">
        <f ca="1">ROUND(C13*F14,0)</f>
        <v>613</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230</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17485</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2657</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2839</v>
      </c>
      <c r="C23" s="2879">
        <f ca="1">ROUND((C18+C19+C20)*F23,0)</f>
        <v>376</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2842</v>
      </c>
      <c r="C24" s="2879">
        <f ca="1">ROUND(C6*F24,0)</f>
        <v>2731</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2840</v>
      </c>
      <c r="C25" s="467">
        <f>ROUND(F25/(1+'数据-取费表'!C42),4)</f>
        <v>2.9000000000000001E-2</v>
      </c>
      <c r="D25" s="462" t="s">
        <v>2834</v>
      </c>
      <c r="E25" s="469"/>
      <c r="F25" s="2883">
        <f>'数据-取费表'!B48+'数据-取费表'!B49</f>
        <v>3.0499999999999999E-2</v>
      </c>
      <c r="G25" s="2847" t="s">
        <v>2291</v>
      </c>
      <c r="H25" s="2840"/>
      <c r="I25" s="2840"/>
      <c r="J25" s="2840"/>
      <c r="K25" s="2841"/>
    </row>
    <row r="26" spans="1:14" s="2119" customFormat="1" ht="13.5" customHeight="1">
      <c r="A26" s="2877" t="s">
        <v>1863</v>
      </c>
      <c r="B26" s="3061" t="s">
        <v>2841</v>
      </c>
      <c r="C26" s="2884">
        <f ca="1">C28</f>
        <v>1309</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2843</v>
      </c>
      <c r="C28" s="2887">
        <f ca="1">ROUND(IF('数据-取费表'!B22&lt;=1,(C18+C19+C20+C23+C24)*F26*'数据-取费表'!B24/2,(C18+C19+C20+C23+C24)*(POWER((1+F26),'数据-取费表'!B24/2)-1)),0)</f>
        <v>1309</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7283</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30502</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30502</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2838</v>
      </c>
      <c r="B33" s="3057" t="s">
        <v>2836</v>
      </c>
      <c r="C33" s="478">
        <f ca="1">C35</f>
        <v>4163</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2844</v>
      </c>
      <c r="C35" s="1628">
        <f ca="1">ROUND((C18+C19+C20+C23+C24)*F33,0)</f>
        <v>4163</v>
      </c>
      <c r="D35" s="1629"/>
      <c r="E35" s="2891"/>
      <c r="F35" s="1630"/>
      <c r="G35" s="2849"/>
      <c r="H35" s="2850"/>
      <c r="I35" s="2850"/>
      <c r="J35" s="2850"/>
      <c r="K35" s="2851"/>
    </row>
    <row r="36" spans="1:11" s="2086" customFormat="1" ht="13.5" customHeight="1" thickBot="1">
      <c r="A36" s="284" t="s">
        <v>1846</v>
      </c>
      <c r="B36" s="2853"/>
      <c r="C36" s="2892">
        <f ca="1">ROUND((C6-C30-C33)/(1+D30+D33),0)</f>
        <v>75420</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3001</v>
      </c>
      <c r="D1" s="3157" t="s">
        <v>3063</v>
      </c>
      <c r="E1" s="2412" t="s">
        <v>2377</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t="e">
        <f ca="1">C6+C10+C12</f>
        <v>#N/A</v>
      </c>
      <c r="D5" s="2521" t="s">
        <v>2465</v>
      </c>
      <c r="E5" s="2515"/>
      <c r="F5" s="2516"/>
      <c r="G5" s="1592"/>
      <c r="H5" s="781">
        <v>1</v>
      </c>
      <c r="I5" s="782" t="s">
        <v>2462</v>
      </c>
      <c r="J5" s="55" t="e">
        <f ca="1">J6+J10+J12</f>
        <v>#N/A</v>
      </c>
      <c r="K5" s="2521" t="s">
        <v>2465</v>
      </c>
      <c r="L5" s="2515"/>
      <c r="M5" s="2516"/>
    </row>
    <row r="6" spans="1:33" ht="18" customHeight="1">
      <c r="A6" s="1831" t="s">
        <v>1826</v>
      </c>
      <c r="B6" s="3461" t="s">
        <v>2467</v>
      </c>
      <c r="C6" s="783" t="e">
        <f ca="1">ROUND(F6*F8*F7*(1-F9)/10000,0)</f>
        <v>#N/A</v>
      </c>
      <c r="D6" s="2522" t="s">
        <v>2466</v>
      </c>
      <c r="E6" s="784" t="s">
        <v>1740</v>
      </c>
      <c r="F6" s="785" t="e">
        <f ca="1">INDIRECT("'数据-取费表'!u"&amp;$G$1)</f>
        <v>#N/A</v>
      </c>
      <c r="G6" s="1592"/>
      <c r="H6" s="2529" t="s">
        <v>2473</v>
      </c>
      <c r="I6" s="3461" t="s">
        <v>2467</v>
      </c>
      <c r="J6" s="783" t="e">
        <f ca="1">ROUND(M6*M8*M7*(1-M9)/10000,0)</f>
        <v>#N/A</v>
      </c>
      <c r="K6" s="341" t="s">
        <v>1739</v>
      </c>
      <c r="L6" s="784" t="s">
        <v>1740</v>
      </c>
      <c r="M6" s="785" t="e">
        <f ca="1">INDIRECT("'数据-取费表'!z"&amp;$G$1)</f>
        <v>#N/A</v>
      </c>
    </row>
    <row r="7" spans="1:33" ht="18" customHeight="1">
      <c r="A7" s="2525"/>
      <c r="B7" s="3462"/>
      <c r="C7" s="788"/>
      <c r="D7" s="789"/>
      <c r="E7" s="784" t="s">
        <v>1741</v>
      </c>
      <c r="F7" s="785" t="e">
        <f ca="1">IF(INDIRECT("'数据-取费表'!ah"&amp;$G$1)="",INDIRECT("'数据-取费表'!k"&amp;$G$1),INDIRECT("'数据-取费表'!ah"&amp;$G$1))</f>
        <v>#N/A</v>
      </c>
      <c r="G7" s="1592"/>
      <c r="H7" s="2514"/>
      <c r="I7" s="3462"/>
      <c r="J7" s="788"/>
      <c r="K7" s="789"/>
      <c r="L7" s="784" t="s">
        <v>1741</v>
      </c>
      <c r="M7" s="785" t="e">
        <f ca="1">F7</f>
        <v>#N/A</v>
      </c>
    </row>
    <row r="8" spans="1:33" ht="18" customHeight="1">
      <c r="A8" s="2518"/>
      <c r="B8" s="3463"/>
      <c r="C8" s="788"/>
      <c r="D8" s="789"/>
      <c r="E8" s="784" t="s">
        <v>1742</v>
      </c>
      <c r="F8" s="785" t="e">
        <f ca="1">INDIRECT("'数据-取费表'!ai"&amp;$G$1)</f>
        <v>#N/A</v>
      </c>
      <c r="G8" s="1592"/>
      <c r="H8" s="2514"/>
      <c r="I8" s="3463"/>
      <c r="J8" s="788"/>
      <c r="K8" s="789"/>
      <c r="L8" s="784" t="s">
        <v>1742</v>
      </c>
      <c r="M8" s="785" t="e">
        <f ca="1">INDIRECT("'数据-取费表'!ai"&amp;$G$1)</f>
        <v>#N/A</v>
      </c>
    </row>
    <row r="9" spans="1:33" ht="18" customHeight="1">
      <c r="A9" s="786"/>
      <c r="B9" s="3464"/>
      <c r="C9" s="788"/>
      <c r="D9" s="789"/>
      <c r="E9" s="784" t="s">
        <v>1743</v>
      </c>
      <c r="F9" s="794" t="e">
        <f ca="1">INDIRECT("'数据-取费表'!w"&amp;$G$1)</f>
        <v>#N/A</v>
      </c>
      <c r="G9" s="1592"/>
      <c r="H9" s="2530"/>
      <c r="I9" s="3463"/>
      <c r="J9" s="788"/>
      <c r="K9" s="789"/>
      <c r="L9" s="795" t="s">
        <v>1743</v>
      </c>
      <c r="M9" s="796" t="e">
        <f ca="1">INDIRECT("'数据-取费表'!ab"&amp;$G$1)</f>
        <v>#N/A</v>
      </c>
    </row>
    <row r="10" spans="1:33" ht="18" customHeight="1">
      <c r="A10" s="1831" t="s">
        <v>2471</v>
      </c>
      <c r="B10" s="2519" t="s">
        <v>2463</v>
      </c>
      <c r="C10" s="799" t="e">
        <f ca="1">ROUND(IF(F10="押一",F6*F8*F7/12*F11,IF(F10="押二",F6*F8*F7/12*2*F11,IF(F10="押三",F6*F8*F7/12*3*F11,C11*F11)))/10000,0)</f>
        <v>#N/A</v>
      </c>
      <c r="D10" s="2526" t="s">
        <v>2470</v>
      </c>
      <c r="E10" s="2523" t="s">
        <v>2468</v>
      </c>
      <c r="F10" s="2646" t="s">
        <v>3062</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0.04</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2827</v>
      </c>
      <c r="J25" s="792" t="e">
        <f ca="1">J5-J16</f>
        <v>#N/A</v>
      </c>
      <c r="K25" s="2573" t="s">
        <v>1779</v>
      </c>
      <c r="L25" s="2574"/>
      <c r="M25" s="2575"/>
    </row>
    <row r="26" spans="1:33" ht="18" customHeight="1">
      <c r="A26" s="1648" t="s">
        <v>1833</v>
      </c>
      <c r="B26" s="784" t="s">
        <v>2441</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2422</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2422</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2970</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2345</v>
      </c>
      <c r="J46" s="2380"/>
      <c r="K46" s="2381"/>
      <c r="L46" s="2382" t="e">
        <f ca="1">IF(M47="住宅",0,IF(L48&gt;J51,L60,J60))</f>
        <v>#N/A</v>
      </c>
      <c r="O46" s="2419" t="s">
        <v>2413</v>
      </c>
      <c r="P46" s="1592"/>
      <c r="Q46" s="1604"/>
      <c r="R46" s="1592"/>
    </row>
    <row r="47" spans="1:18" s="2060" customFormat="1" ht="18" customHeight="1" thickBot="1">
      <c r="A47" s="2373">
        <v>1</v>
      </c>
      <c r="B47" s="2374" t="s">
        <v>636</v>
      </c>
      <c r="C47" s="2599" t="e">
        <f ca="1">C48+C52+C54</f>
        <v>#N/A</v>
      </c>
      <c r="D47" s="2086"/>
      <c r="E47" s="2086"/>
      <c r="F47" s="2086"/>
      <c r="I47" s="2383" t="s">
        <v>2346</v>
      </c>
      <c r="J47" s="2388" t="s">
        <v>3064</v>
      </c>
      <c r="K47" s="2389" t="s">
        <v>2352</v>
      </c>
      <c r="L47" s="2390" t="e">
        <f ca="1">INDIRECT("'数据-取费表'!d"&amp;$G$1)</f>
        <v>#N/A</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t="e">
        <f ca="1">ROUND(F48*F50*F49*(1-F51)/10000,0)</f>
        <v>#N/A</v>
      </c>
      <c r="D48" s="2376" t="s">
        <v>637</v>
      </c>
      <c r="E48" s="2377" t="s">
        <v>2298</v>
      </c>
      <c r="F48" s="2378"/>
      <c r="G48" s="2091"/>
      <c r="I48" s="2384" t="s">
        <v>2347</v>
      </c>
      <c r="J48" s="2391" t="s">
        <v>2353</v>
      </c>
      <c r="K48" s="2392" t="s">
        <v>2354</v>
      </c>
      <c r="L48" s="2393" t="e">
        <f ca="1">INDIRECT("'数据-取费表'!f"&amp;$G$1)</f>
        <v>#N/A</v>
      </c>
      <c r="O48" s="2423" t="s">
        <v>2382</v>
      </c>
      <c r="P48" s="2424" t="s">
        <v>2408</v>
      </c>
      <c r="Q48" s="2425" t="e">
        <f ca="1">C40+J29</f>
        <v>#N/A</v>
      </c>
      <c r="R48" s="2424" t="s">
        <v>2383</v>
      </c>
    </row>
    <row r="49" spans="1:18" s="2060" customFormat="1" ht="18" customHeight="1" thickBot="1">
      <c r="A49" s="786"/>
      <c r="B49" s="787"/>
      <c r="C49" s="788"/>
      <c r="D49" s="789"/>
      <c r="E49" s="784" t="s">
        <v>1741</v>
      </c>
      <c r="F49" s="785" t="e">
        <f ca="1">F7</f>
        <v>#N/A</v>
      </c>
      <c r="G49" s="2091"/>
      <c r="H49" s="2094"/>
      <c r="I49" s="2384" t="s">
        <v>2348</v>
      </c>
      <c r="J49" s="2394"/>
      <c r="K49" s="2395" t="s">
        <v>2355</v>
      </c>
      <c r="L49" s="2396"/>
      <c r="O49" s="2423" t="s">
        <v>2384</v>
      </c>
      <c r="P49" s="2424" t="s">
        <v>2409</v>
      </c>
      <c r="Q49" s="2425" t="e">
        <f ca="1">J60</f>
        <v>#N/A</v>
      </c>
      <c r="R49" s="2424" t="s">
        <v>2385</v>
      </c>
    </row>
    <row r="50" spans="1:18" s="2060" customFormat="1" ht="18" customHeight="1" thickBot="1">
      <c r="A50" s="786"/>
      <c r="B50" s="787"/>
      <c r="C50" s="788"/>
      <c r="D50" s="789"/>
      <c r="E50" s="784" t="s">
        <v>1742</v>
      </c>
      <c r="F50" s="785" t="e">
        <f ca="1">F8</f>
        <v>#N/A</v>
      </c>
      <c r="G50" s="2096"/>
      <c r="H50" s="2094"/>
      <c r="I50" s="2384" t="s">
        <v>2349</v>
      </c>
      <c r="J50" s="2397">
        <f>SUMPRODUCT((I63:I65=J47)*(J62:L62=J48)*(J63:L65))</f>
        <v>60</v>
      </c>
      <c r="K50" s="2395" t="s">
        <v>2356</v>
      </c>
      <c r="L50" s="2396"/>
      <c r="O50" s="2426" t="s">
        <v>2386</v>
      </c>
      <c r="P50" s="2424" t="s">
        <v>2410</v>
      </c>
      <c r="Q50" s="2425" t="e">
        <f ca="1">C29</f>
        <v>#N/A</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t="e">
        <f ca="1">ROUND(-PV(INDIRECT("'数据-取费表'!h"&amp;$G$1),L48,(C39-C13*J36),0),0)</f>
        <v>#N/A</v>
      </c>
      <c r="O51" s="2426" t="s">
        <v>2387</v>
      </c>
      <c r="P51" s="2424" t="s">
        <v>2388</v>
      </c>
      <c r="Q51" s="2427" t="e">
        <f ca="1">J58</f>
        <v>#N/A</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t="e">
        <f ca="1">IF(M47="住宅",J51,IF(D1="——",MIN(J51,L48),IF(D1="土地（套用方法）",MIN(J51,L48-'数据-取费表'!B20))))</f>
        <v>#N/A</v>
      </c>
      <c r="K53" s="3477" t="s">
        <v>2972</v>
      </c>
      <c r="L53" s="3478"/>
      <c r="O53" s="2426" t="s">
        <v>2391</v>
      </c>
      <c r="P53" s="2424" t="s">
        <v>2392</v>
      </c>
      <c r="Q53" s="2425" t="e">
        <f ca="1">J53</f>
        <v>#N/A</v>
      </c>
      <c r="R53" s="2424" t="s">
        <v>2393</v>
      </c>
    </row>
    <row r="54" spans="1:18" s="2060" customFormat="1" ht="18" customHeight="1" thickBot="1">
      <c r="A54" s="2562" t="s">
        <v>2472</v>
      </c>
      <c r="B54" s="2563" t="s">
        <v>2464</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2394</v>
      </c>
      <c r="P54" s="2424" t="s">
        <v>2411</v>
      </c>
      <c r="Q54" s="2425" t="e">
        <f ca="1">Q48+Q49</f>
        <v>#N/A</v>
      </c>
      <c r="R54" s="2428" t="s">
        <v>2395</v>
      </c>
    </row>
    <row r="55" spans="1:18" s="2060" customFormat="1" ht="18" customHeight="1" thickTop="1" thickBot="1">
      <c r="A55" s="797">
        <v>2</v>
      </c>
      <c r="B55" s="798" t="s">
        <v>645</v>
      </c>
      <c r="C55" s="799" t="e">
        <f ca="1">C13</f>
        <v>#N/A</v>
      </c>
      <c r="D55" s="795"/>
      <c r="E55" s="795"/>
      <c r="F55" s="800"/>
      <c r="I55" s="3128" t="s">
        <v>2358</v>
      </c>
      <c r="J55" s="3127" t="e">
        <f ca="1">ROUND(IF(J47="钢混",J57/J50,1-(1-2%)*(J50-J57)/J50),3)</f>
        <v>#N/A</v>
      </c>
      <c r="K55" s="2402" t="s">
        <v>2359</v>
      </c>
      <c r="L55" s="2403"/>
      <c r="O55" s="2429" t="s">
        <v>2414</v>
      </c>
      <c r="P55" s="1592"/>
      <c r="Q55" s="1604"/>
      <c r="R55" s="1592"/>
    </row>
    <row r="56" spans="1:18" s="2060" customFormat="1" ht="42.75" customHeight="1" thickBot="1">
      <c r="A56" s="1650"/>
      <c r="B56" s="2232" t="s">
        <v>2304</v>
      </c>
      <c r="C56" s="53" t="e">
        <f ca="1">C29</f>
        <v>#N/A</v>
      </c>
      <c r="D56" s="2665"/>
      <c r="E56" s="784"/>
      <c r="F56" s="809"/>
      <c r="I56" s="2404" t="s">
        <v>2360</v>
      </c>
      <c r="J56" s="3151" t="s">
        <v>1680</v>
      </c>
      <c r="K56" s="2384" t="s">
        <v>2365</v>
      </c>
      <c r="L56" s="2393" t="e">
        <f ca="1">IF(L48&lt;J51,"——",L48-J51)</f>
        <v>#N/A</v>
      </c>
      <c r="O56" s="2420" t="s">
        <v>2378</v>
      </c>
      <c r="P56" s="2421" t="s">
        <v>2379</v>
      </c>
      <c r="Q56" s="2422" t="s">
        <v>2380</v>
      </c>
      <c r="R56" s="2421" t="s">
        <v>2381</v>
      </c>
    </row>
    <row r="57" spans="1:18" s="2060" customFormat="1" ht="28.5" customHeight="1" thickBot="1">
      <c r="A57" s="797" t="s">
        <v>1750</v>
      </c>
      <c r="B57" s="798" t="s">
        <v>652</v>
      </c>
      <c r="C57" s="799" t="e">
        <f ca="1">ROUND(C58+C63+C64+C65,0)</f>
        <v>#N/A</v>
      </c>
      <c r="D57" s="26" t="s">
        <v>1752</v>
      </c>
      <c r="E57" s="2666"/>
      <c r="F57" s="56"/>
      <c r="I57" s="2405" t="s">
        <v>2361</v>
      </c>
      <c r="J57" s="2407" t="e">
        <f ca="1">IF(OR(M47="住宅",J51&lt;L48,J56="是"),"——",J51-L48)</f>
        <v>#N/A</v>
      </c>
      <c r="K57" s="2384" t="s">
        <v>2366</v>
      </c>
      <c r="L57" s="2393" t="e">
        <f ca="1">IF(L48&lt;J51,"——",IF(L55="比较法",L49,IF(L55="基准地价",L50,L51)))</f>
        <v>#N/A</v>
      </c>
      <c r="O57" s="2423" t="s">
        <v>2382</v>
      </c>
      <c r="P57" s="2424" t="s">
        <v>2412</v>
      </c>
      <c r="Q57" s="2425" t="e">
        <f ca="1">C40+J29</f>
        <v>#N/A</v>
      </c>
      <c r="R57" s="2424" t="s">
        <v>2383</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2362</v>
      </c>
      <c r="J58" s="3129" t="e">
        <f ca="1">IF(J55&lt;0.4,0.4,J55)</f>
        <v>#N/A</v>
      </c>
      <c r="K58" s="2384" t="s">
        <v>2367</v>
      </c>
      <c r="L58" s="2393" t="e">
        <f ca="1">ROUND(POWER(1+L52,L47-L48)*(POWER(1+L52,L48)-1)/(POWER(1+L52,L47)-1),4)</f>
        <v>#N/A</v>
      </c>
      <c r="O58" s="2423" t="s">
        <v>2384</v>
      </c>
      <c r="P58" s="2424" t="s">
        <v>2415</v>
      </c>
      <c r="Q58" s="2425" t="e">
        <f ca="1">L60</f>
        <v>#N/A</v>
      </c>
      <c r="R58" s="2428" t="s">
        <v>2417</v>
      </c>
    </row>
    <row r="59" spans="1:18" s="2060" customFormat="1" ht="28.5" customHeight="1" thickBot="1">
      <c r="A59" s="1648" t="s">
        <v>1833</v>
      </c>
      <c r="B59" s="784" t="s">
        <v>661</v>
      </c>
      <c r="C59" s="53" t="e">
        <f ca="1">ROUND(C47*F59/1.05,1)</f>
        <v>#N/A</v>
      </c>
      <c r="D59" s="2665" t="s">
        <v>1758</v>
      </c>
      <c r="E59" s="784" t="s">
        <v>1749</v>
      </c>
      <c r="F59" s="809">
        <f t="shared" ref="F59:F65" si="0">F32</f>
        <v>5.6000000000000001E-2</v>
      </c>
      <c r="I59" s="2405" t="s">
        <v>2363</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2386</v>
      </c>
      <c r="P59" s="2424" t="s">
        <v>2416</v>
      </c>
      <c r="Q59" s="2425">
        <f>IF(L55="比较法",L49,IF(L55="基准地价",L50,0))</f>
        <v>0</v>
      </c>
      <c r="R59" s="2424" t="s">
        <v>2383</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2364</v>
      </c>
      <c r="J60" s="2408" t="e">
        <f ca="1">IF(OR(M47="住宅",J51&lt;L48,J56="是"),"0",ROUND(J59/(1+J52)^J53,0))</f>
        <v>#N/A</v>
      </c>
      <c r="K60" s="2409" t="s">
        <v>2369</v>
      </c>
      <c r="L60" s="2408" t="e">
        <f ca="1">IF(OR(M47="住宅",L48&lt;J51),0,ROUND(L57*(L58/L59-1),0))</f>
        <v>#N/A</v>
      </c>
      <c r="O60" s="2426" t="s">
        <v>2387</v>
      </c>
      <c r="P60" s="2424" t="s">
        <v>2396</v>
      </c>
      <c r="Q60" s="2427">
        <f>L52</f>
        <v>0</v>
      </c>
      <c r="R60" s="2428"/>
    </row>
    <row r="61" spans="1:18" s="2060" customFormat="1" ht="18" customHeight="1" thickBot="1">
      <c r="A61" s="1651" t="s">
        <v>1835</v>
      </c>
      <c r="B61" s="341" t="s">
        <v>669</v>
      </c>
      <c r="C61" s="54" t="e">
        <f ca="1">ROUND(F61*F62/10000,1)</f>
        <v>#N/A</v>
      </c>
      <c r="D61" s="814" t="s">
        <v>670</v>
      </c>
      <c r="E61" s="784" t="s">
        <v>671</v>
      </c>
      <c r="F61" s="640">
        <f t="shared" si="0"/>
        <v>1.5</v>
      </c>
      <c r="K61" s="2087"/>
      <c r="O61" s="2426" t="s">
        <v>2389</v>
      </c>
      <c r="P61" s="2424" t="s">
        <v>2397</v>
      </c>
      <c r="Q61" s="2425" t="e">
        <f ca="1">L58</f>
        <v>#N/A</v>
      </c>
      <c r="R61" s="2428" t="s">
        <v>2398</v>
      </c>
    </row>
    <row r="62" spans="1:18" s="2060" customFormat="1" ht="15.75" thickBot="1">
      <c r="A62" s="815"/>
      <c r="B62" s="793"/>
      <c r="C62" s="69"/>
      <c r="D62" s="816"/>
      <c r="E62" s="784" t="s">
        <v>675</v>
      </c>
      <c r="F62" s="785" t="e">
        <f t="shared" ca="1" si="0"/>
        <v>#N/A</v>
      </c>
      <c r="I62" s="2410" t="s">
        <v>2370</v>
      </c>
      <c r="J62" s="2411" t="s">
        <v>2371</v>
      </c>
      <c r="K62" s="2411" t="s">
        <v>2372</v>
      </c>
      <c r="L62" s="2411" t="s">
        <v>2353</v>
      </c>
      <c r="M62" s="3130" t="s">
        <v>2947</v>
      </c>
      <c r="O62" s="2426" t="s">
        <v>2391</v>
      </c>
      <c r="P62" s="2424" t="str">
        <f>K59</f>
        <v>建设期及建筑物耐用年限下的土地年期修正系数Kn</v>
      </c>
      <c r="Q62" s="2425" t="e">
        <f ca="1">L59</f>
        <v>#N/A</v>
      </c>
      <c r="R62" s="2428" t="s">
        <v>2400</v>
      </c>
    </row>
    <row r="63" spans="1:18" s="2060" customFormat="1" ht="15.75" thickBot="1">
      <c r="A63" s="1649" t="s">
        <v>1891</v>
      </c>
      <c r="B63" s="784" t="s">
        <v>677</v>
      </c>
      <c r="C63" s="53" t="e">
        <f ca="1">ROUND(C56*F63,1)</f>
        <v>#N/A</v>
      </c>
      <c r="D63" s="2665" t="s">
        <v>1805</v>
      </c>
      <c r="E63" s="784" t="s">
        <v>1749</v>
      </c>
      <c r="F63" s="817" t="e">
        <f t="shared" ca="1" si="0"/>
        <v>#N/A</v>
      </c>
      <c r="I63" s="2410" t="s">
        <v>2373</v>
      </c>
      <c r="J63" s="2411">
        <v>70</v>
      </c>
      <c r="K63" s="2411">
        <v>50</v>
      </c>
      <c r="L63" s="2411">
        <v>80</v>
      </c>
      <c r="M63" s="3131">
        <v>0.02</v>
      </c>
      <c r="O63" s="2423" t="s">
        <v>2394</v>
      </c>
      <c r="P63" s="2424" t="s">
        <v>2411</v>
      </c>
      <c r="Q63" s="2425" t="e">
        <f ca="1">Q57+Q58</f>
        <v>#N/A</v>
      </c>
      <c r="R63" s="2428" t="s">
        <v>2395</v>
      </c>
    </row>
    <row r="64" spans="1:18" s="2060" customFormat="1" ht="16.5" thickBot="1">
      <c r="A64" s="1649" t="s">
        <v>1892</v>
      </c>
      <c r="B64" s="784" t="s">
        <v>680</v>
      </c>
      <c r="C64" s="53" t="e">
        <f ca="1">ROUND(C55*F64,1)</f>
        <v>#N/A</v>
      </c>
      <c r="D64" s="2665" t="s">
        <v>681</v>
      </c>
      <c r="E64" s="784" t="s">
        <v>1749</v>
      </c>
      <c r="F64" s="818" t="e">
        <f t="shared" ca="1" si="0"/>
        <v>#N/A</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t="e">
        <f ca="1">C47-C57</f>
        <v>#N/A</v>
      </c>
      <c r="D66" s="2664" t="s">
        <v>701</v>
      </c>
      <c r="E66" s="2663"/>
      <c r="F66" s="820"/>
      <c r="K66" s="2087"/>
      <c r="O66" s="2423" t="s">
        <v>2382</v>
      </c>
      <c r="P66" s="2424" t="s">
        <v>2412</v>
      </c>
      <c r="Q66" s="2425" t="e">
        <f ca="1">C40+J29</f>
        <v>#N/A</v>
      </c>
      <c r="R66" s="2424" t="s">
        <v>2383</v>
      </c>
    </row>
    <row r="67" spans="1:18" s="2060" customFormat="1" ht="20.25" thickBot="1">
      <c r="A67" s="781" t="s">
        <v>1782</v>
      </c>
      <c r="B67" s="2233" t="s">
        <v>2303</v>
      </c>
      <c r="C67" s="783" t="e">
        <f ca="1">ROUND(C66*(1-((1+F69)/(1+F67))^F68)/(F67-F69),0)</f>
        <v>#N/A</v>
      </c>
      <c r="D67" s="814" t="s">
        <v>705</v>
      </c>
      <c r="E67" s="784" t="s">
        <v>706</v>
      </c>
      <c r="F67" s="794" t="e">
        <f ca="1">F40</f>
        <v>#N/A</v>
      </c>
      <c r="K67" s="2087"/>
      <c r="O67" s="2423" t="s">
        <v>2384</v>
      </c>
      <c r="P67" s="2424" t="s">
        <v>2415</v>
      </c>
      <c r="Q67" s="2425" t="e">
        <f ca="1">L60</f>
        <v>#N/A</v>
      </c>
      <c r="R67" s="2428" t="s">
        <v>2417</v>
      </c>
    </row>
    <row r="68" spans="1:18" ht="21.75" thickBot="1">
      <c r="A68" s="786"/>
      <c r="B68" s="787"/>
      <c r="C68" s="788"/>
      <c r="D68" s="821" t="s">
        <v>1810</v>
      </c>
      <c r="E68" s="784" t="s">
        <v>1786</v>
      </c>
      <c r="F68" s="822" t="e">
        <f ca="1">F41</f>
        <v>#N/A</v>
      </c>
      <c r="O68" s="2426" t="s">
        <v>2386</v>
      </c>
      <c r="P68" s="2424" t="s">
        <v>2416</v>
      </c>
      <c r="Q68" s="2430" t="e">
        <f ca="1">L51</f>
        <v>#N/A</v>
      </c>
      <c r="R68" s="2431" t="s">
        <v>2419</v>
      </c>
    </row>
    <row r="69" spans="1:18" ht="20.25" thickBot="1">
      <c r="A69" s="790"/>
      <c r="B69" s="791"/>
      <c r="C69" s="792"/>
      <c r="D69" s="816"/>
      <c r="E69" s="784" t="s">
        <v>711</v>
      </c>
      <c r="F69" s="2372"/>
      <c r="O69" s="2426" t="s">
        <v>2387</v>
      </c>
      <c r="P69" s="2432" t="s">
        <v>2401</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2402</v>
      </c>
      <c r="P70" s="2432" t="s">
        <v>2403</v>
      </c>
      <c r="Q70" s="2425" t="e">
        <f ca="1">C39</f>
        <v>#N/A</v>
      </c>
      <c r="R70" s="2424" t="s">
        <v>2383</v>
      </c>
    </row>
    <row r="71" spans="1:18" ht="15.75" thickBot="1">
      <c r="O71" s="2426" t="s">
        <v>2404</v>
      </c>
      <c r="P71" s="2432" t="s">
        <v>2405</v>
      </c>
      <c r="Q71" s="2425" t="e">
        <f ca="1">C13</f>
        <v>#N/A</v>
      </c>
      <c r="R71" s="2424" t="s">
        <v>2383</v>
      </c>
    </row>
    <row r="72" spans="1:18" ht="15.75" thickBot="1">
      <c r="O72" s="2426" t="s">
        <v>2406</v>
      </c>
      <c r="P72" s="2432" t="s">
        <v>2407</v>
      </c>
      <c r="Q72" s="2427" t="e">
        <f ca="1">J36</f>
        <v>#N/A</v>
      </c>
      <c r="R72" s="2428"/>
    </row>
    <row r="73" spans="1:18" ht="15.75" thickBot="1">
      <c r="O73" s="2426" t="s">
        <v>2389</v>
      </c>
      <c r="P73" s="2424" t="s">
        <v>2396</v>
      </c>
      <c r="Q73" s="2427">
        <f>L52</f>
        <v>0</v>
      </c>
      <c r="R73" s="2428"/>
    </row>
    <row r="74" spans="1:18" ht="20.25" thickBot="1">
      <c r="O74" s="2426" t="s">
        <v>2391</v>
      </c>
      <c r="P74" s="2424" t="s">
        <v>2397</v>
      </c>
      <c r="Q74" s="2425" t="e">
        <f ca="1">L58</f>
        <v>#N/A</v>
      </c>
      <c r="R74" s="2428" t="s">
        <v>2398</v>
      </c>
    </row>
    <row r="75" spans="1:18" ht="15.75" thickBot="1">
      <c r="O75" s="2426" t="s">
        <v>2420</v>
      </c>
      <c r="P75" s="2424" t="str">
        <f>K59</f>
        <v>建设期及建筑物耐用年限下的土地年期修正系数Kn</v>
      </c>
      <c r="Q75" s="2425" t="e">
        <f ca="1">L59</f>
        <v>#N/A</v>
      </c>
      <c r="R75" s="2428" t="s">
        <v>2400</v>
      </c>
    </row>
    <row r="76" spans="1:18" ht="15.75" thickBot="1">
      <c r="O76" s="2423" t="s">
        <v>2394</v>
      </c>
      <c r="P76" s="2424" t="s">
        <v>2411</v>
      </c>
      <c r="Q76" s="2425" t="e">
        <f ca="1">Q66+Q67</f>
        <v>#N/A</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D45" sqref="D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3063</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133683</v>
      </c>
      <c r="C2" s="2058"/>
      <c r="D2" s="2056"/>
      <c r="E2" s="2057"/>
      <c r="F2" s="2057"/>
      <c r="G2" s="1590"/>
      <c r="H2" s="2058"/>
      <c r="I2" s="2058"/>
      <c r="J2" s="2058"/>
      <c r="K2" s="2059"/>
      <c r="L2" s="2058"/>
      <c r="M2" s="2058"/>
    </row>
    <row r="3" spans="1:33" ht="18" customHeight="1" thickBot="1">
      <c r="A3" s="833" t="s">
        <v>1729</v>
      </c>
      <c r="B3" s="834">
        <f ca="1">IF(ISERROR(B2*10000/F43),0,ROUND(B2*10000/F43,0))</f>
        <v>25461</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8636</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8624</v>
      </c>
      <c r="D6" s="2522" t="s">
        <v>2466</v>
      </c>
      <c r="E6" s="784" t="s">
        <v>1740</v>
      </c>
      <c r="F6" s="785">
        <f ca="1">INDIRECT("'数据-取费表'!u"&amp;$G$1)</f>
        <v>5</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52504.74</v>
      </c>
      <c r="G7" s="1592"/>
      <c r="H7" s="2514"/>
      <c r="I7" s="3462"/>
      <c r="J7" s="788"/>
      <c r="K7" s="789"/>
      <c r="L7" s="784" t="s">
        <v>1741</v>
      </c>
      <c r="M7" s="785">
        <f ca="1">F7</f>
        <v>52504.74</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12</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21686</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13651</v>
      </c>
      <c r="D14" s="3169" t="s">
        <v>1747</v>
      </c>
      <c r="E14" s="3168"/>
      <c r="F14" s="805"/>
      <c r="G14" s="1592"/>
      <c r="H14" s="1649" t="s">
        <v>1832</v>
      </c>
      <c r="I14" s="2232" t="s">
        <v>2830</v>
      </c>
      <c r="J14" s="53">
        <f ca="1">C29</f>
        <v>21686</v>
      </c>
      <c r="K14" s="26"/>
      <c r="L14" s="801"/>
      <c r="M14" s="802"/>
    </row>
    <row r="15" spans="1:33" s="2065" customFormat="1" ht="18" customHeight="1" thickBot="1">
      <c r="A15" s="1648" t="s">
        <v>1887</v>
      </c>
      <c r="B15" s="784" t="s">
        <v>648</v>
      </c>
      <c r="C15" s="53">
        <f ca="1">ROUND(C14*F15,0)</f>
        <v>546</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509</v>
      </c>
      <c r="K16" s="1822" t="s">
        <v>1752</v>
      </c>
      <c r="L16" s="3171"/>
      <c r="M16" s="2516"/>
    </row>
    <row r="17" spans="1:33" s="2065" customFormat="1" ht="18" customHeight="1">
      <c r="A17" s="1648" t="s">
        <v>1889</v>
      </c>
      <c r="B17" s="784" t="s">
        <v>654</v>
      </c>
      <c r="C17" s="53">
        <f ca="1">ROUND(F17*(F43+INDIRECT("'数据-取费表'!S"&amp;$G$1))/10000,0)</f>
        <v>1151</v>
      </c>
      <c r="D17" s="784" t="s">
        <v>1753</v>
      </c>
      <c r="E17" s="784" t="s">
        <v>1754</v>
      </c>
      <c r="F17" s="56">
        <f>'数据-取费表'!B35</f>
        <v>200</v>
      </c>
      <c r="G17" s="1593"/>
      <c r="H17" s="1649" t="s">
        <v>1832</v>
      </c>
      <c r="I17" s="784" t="s">
        <v>657</v>
      </c>
      <c r="J17" s="53">
        <f ca="1">ROUND(IF(项目基本情况!B11="自然人",J5*M17,J18+J19+J20),0)</f>
        <v>184</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205</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15553</v>
      </c>
      <c r="D19" s="261" t="s">
        <v>1759</v>
      </c>
      <c r="E19" s="3172"/>
      <c r="F19" s="56"/>
      <c r="G19" s="1592"/>
      <c r="H19" s="1648" t="s">
        <v>1887</v>
      </c>
      <c r="I19" s="784" t="s">
        <v>1760</v>
      </c>
      <c r="J19" s="53">
        <f ca="1">IF(K19="按租金收入计税",ROUND(J5*M19,1),ROUND(C29*F33*0.7,1))</f>
        <v>182.2</v>
      </c>
      <c r="K19" s="811" t="s">
        <v>666</v>
      </c>
      <c r="L19" s="784" t="s">
        <v>1749</v>
      </c>
      <c r="M19" s="809">
        <f>IF(K19="按租金收入计税",'数据-取费表'!B51,'数据-取费表'!B50)</f>
        <v>1.2E-2</v>
      </c>
    </row>
    <row r="20" spans="1:33" s="2065" customFormat="1" ht="18" customHeight="1">
      <c r="A20" s="1649" t="s">
        <v>1891</v>
      </c>
      <c r="B20" s="784" t="s">
        <v>667</v>
      </c>
      <c r="C20" s="53">
        <f ca="1">ROUND(C19*F20,0)</f>
        <v>311</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15399.69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325</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947</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-509</v>
      </c>
      <c r="K25" s="2573" t="s">
        <v>1779</v>
      </c>
      <c r="L25" s="2574"/>
      <c r="M25" s="2575"/>
    </row>
    <row r="26" spans="1:33" ht="18" customHeight="1">
      <c r="A26" s="1648" t="s">
        <v>1833</v>
      </c>
      <c r="B26" s="784" t="s">
        <v>2441</v>
      </c>
      <c r="C26" s="53">
        <f ca="1">ROUND((C19+C20)*F26,0)</f>
        <v>3173</v>
      </c>
      <c r="D26" s="812" t="s">
        <v>1780</v>
      </c>
      <c r="E26" s="795" t="s">
        <v>1781</v>
      </c>
      <c r="F26" s="794">
        <f ca="1">INDIRECT("'数据-取费表'!q"&amp;$G$1)</f>
        <v>0.2</v>
      </c>
      <c r="G26" s="1592"/>
      <c r="H26" s="2527" t="s">
        <v>1782</v>
      </c>
      <c r="I26" s="2233" t="s">
        <v>2832</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21686</v>
      </c>
      <c r="D29" s="2570"/>
      <c r="E29" s="2571"/>
      <c r="F29" s="2572"/>
      <c r="G29" s="1593"/>
      <c r="H29" s="823" t="s">
        <v>1789</v>
      </c>
      <c r="I29" s="824" t="s">
        <v>1790</v>
      </c>
      <c r="J29" s="825">
        <f ca="1">ROUND(J26/(1+F40)^F41,0)</f>
        <v>0</v>
      </c>
      <c r="K29" s="826" t="s">
        <v>1791</v>
      </c>
      <c r="L29" s="827"/>
      <c r="M29" s="828">
        <f ca="1">INDIRECT("'数据-取费表'!k"&amp;$G$1)</f>
        <v>52504.74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1132</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645.1</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460.6</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182.2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2.2999999999999998</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15399.69</v>
      </c>
      <c r="G35" s="2063"/>
      <c r="H35" s="2066"/>
      <c r="I35" s="837" t="s">
        <v>1816</v>
      </c>
      <c r="J35" s="838">
        <f ca="1">ROUND(C13*J36,0)</f>
        <v>1735</v>
      </c>
      <c r="K35" s="2079"/>
      <c r="L35" s="2078"/>
      <c r="M35" s="2078"/>
    </row>
    <row r="36" spans="1:18" ht="18" customHeight="1">
      <c r="A36" s="1649" t="s">
        <v>1891</v>
      </c>
      <c r="B36" s="784" t="s">
        <v>1804</v>
      </c>
      <c r="C36" s="53">
        <f ca="1">ROUND(C29*F36,1)</f>
        <v>325.3</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32.5</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129.5</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7504</v>
      </c>
      <c r="D39" s="2573" t="s">
        <v>1808</v>
      </c>
      <c r="E39" s="2574"/>
      <c r="F39" s="2575"/>
      <c r="G39" s="2063"/>
      <c r="H39" s="2078"/>
      <c r="I39" s="837" t="s">
        <v>1820</v>
      </c>
      <c r="J39" s="845">
        <f ca="1">ROUND(J35/C39,3)</f>
        <v>0.23100000000000001</v>
      </c>
      <c r="K39" s="2084"/>
      <c r="L39" s="2078"/>
      <c r="M39" s="2078"/>
    </row>
    <row r="40" spans="1:18" ht="18" customHeight="1">
      <c r="A40" s="781" t="s">
        <v>1897</v>
      </c>
      <c r="B40" s="2233" t="s">
        <v>2303</v>
      </c>
      <c r="C40" s="783">
        <f ca="1">ROUND(C39*(1-((1+F42)/(1+F40))^F41)/(F40-F42),0)</f>
        <v>133683</v>
      </c>
      <c r="D40" s="814" t="s">
        <v>1783</v>
      </c>
      <c r="E40" s="784" t="s">
        <v>2422</v>
      </c>
      <c r="F40" s="794">
        <f ca="1">INDIRECT("'数据-取费表'!I"&amp;$G$1)</f>
        <v>0.05</v>
      </c>
      <c r="G40" s="2063"/>
      <c r="H40" s="2063"/>
      <c r="I40" s="837" t="s">
        <v>1821</v>
      </c>
      <c r="J40" s="845">
        <f ca="1">1-J39</f>
        <v>0.76900000000000002</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0.16200000000000001</v>
      </c>
      <c r="K42" s="2083"/>
      <c r="L42" s="1989"/>
      <c r="M42" s="1989"/>
    </row>
    <row r="43" spans="1:18" ht="18" customHeight="1" thickBot="1">
      <c r="A43" s="823" t="s">
        <v>1789</v>
      </c>
      <c r="B43" s="824" t="s">
        <v>1812</v>
      </c>
      <c r="C43" s="825">
        <f ca="1">ROUND(C40*10000/F43,0)</f>
        <v>25461</v>
      </c>
      <c r="D43" s="826" t="s">
        <v>1813</v>
      </c>
      <c r="E43" s="827" t="s">
        <v>1814</v>
      </c>
      <c r="F43" s="828">
        <f ca="1">INDIRECT("'数据-取费表'!k"&amp;$G$1)</f>
        <v>52504.74</v>
      </c>
      <c r="G43" s="2063"/>
      <c r="H43" s="1989"/>
      <c r="I43" s="847" t="s">
        <v>1824</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-143339</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133683</v>
      </c>
      <c r="R48" s="2424" t="s">
        <v>2383</v>
      </c>
    </row>
    <row r="49" spans="1:18" s="2060" customFormat="1" ht="18" customHeight="1" thickBot="1">
      <c r="A49" s="786"/>
      <c r="B49" s="787"/>
      <c r="C49" s="788"/>
      <c r="D49" s="789"/>
      <c r="E49" s="784" t="s">
        <v>1741</v>
      </c>
      <c r="F49" s="785">
        <f ca="1">F7</f>
        <v>52504.74</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21686</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112621</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133683</v>
      </c>
      <c r="R54" s="2428" t="s">
        <v>2395</v>
      </c>
    </row>
    <row r="55" spans="1:18" s="2060" customFormat="1" ht="18" customHeight="1" thickTop="1" thickBot="1">
      <c r="A55" s="797">
        <v>2</v>
      </c>
      <c r="B55" s="798" t="s">
        <v>645</v>
      </c>
      <c r="C55" s="799">
        <f ca="1">C13</f>
        <v>21686</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21686</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542</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133683</v>
      </c>
      <c r="R57" s="2424" t="s">
        <v>2383</v>
      </c>
    </row>
    <row r="58" spans="1:18" s="2060" customFormat="1" ht="28.5" customHeight="1" thickBot="1">
      <c r="A58" s="1649" t="s">
        <v>1826</v>
      </c>
      <c r="B58" s="784" t="s">
        <v>657</v>
      </c>
      <c r="C58" s="53">
        <f ca="1">ROUND(IF(项目基本情况!B11="自然人",C47*F58,C59+C60+C61),1)</f>
        <v>184.5</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182.2</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2.2999999999999998</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15399.69</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325.3</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133683</v>
      </c>
      <c r="R63" s="2428" t="s">
        <v>2395</v>
      </c>
    </row>
    <row r="64" spans="1:18" s="2060" customFormat="1" ht="16.5" thickBot="1">
      <c r="A64" s="1649" t="s">
        <v>1892</v>
      </c>
      <c r="B64" s="784" t="s">
        <v>680</v>
      </c>
      <c r="C64" s="53">
        <f ca="1">ROUND(C55*F64,1)</f>
        <v>32.5</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-542</v>
      </c>
      <c r="D66" s="3169" t="s">
        <v>701</v>
      </c>
      <c r="E66" s="3167"/>
      <c r="F66" s="820"/>
      <c r="K66" s="2087"/>
      <c r="O66" s="2423" t="s">
        <v>2382</v>
      </c>
      <c r="P66" s="2424" t="s">
        <v>2408</v>
      </c>
      <c r="Q66" s="2425">
        <f ca="1">C40+J29</f>
        <v>133683</v>
      </c>
      <c r="R66" s="2424" t="s">
        <v>2383</v>
      </c>
    </row>
    <row r="67" spans="1:18" s="2060" customFormat="1" ht="20.25" thickBot="1">
      <c r="A67" s="781" t="s">
        <v>1782</v>
      </c>
      <c r="B67" s="2233" t="s">
        <v>2303</v>
      </c>
      <c r="C67" s="783">
        <f ca="1">ROUND(C66*(1-((1+F69)/(1+F67))^F68)/(F67-F69),0)</f>
        <v>-9656</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112621</v>
      </c>
      <c r="R68" s="2431" t="s">
        <v>2419</v>
      </c>
    </row>
    <row r="69" spans="1:18" ht="20.25" thickBot="1">
      <c r="A69" s="790"/>
      <c r="B69" s="791"/>
      <c r="C69" s="792"/>
      <c r="D69" s="816"/>
      <c r="E69" s="784" t="s">
        <v>711</v>
      </c>
      <c r="F69" s="2372"/>
      <c r="O69" s="2426" t="s">
        <v>2387</v>
      </c>
      <c r="P69" s="2432" t="s">
        <v>2401</v>
      </c>
      <c r="Q69" s="2425">
        <f ca="1">ROUND(Q70-Q71*Q72,0)</f>
        <v>5769</v>
      </c>
      <c r="R69" s="2428"/>
    </row>
    <row r="70" spans="1:18" ht="15.75" thickBot="1">
      <c r="A70" s="823" t="s">
        <v>1789</v>
      </c>
      <c r="B70" s="824" t="s">
        <v>1812</v>
      </c>
      <c r="C70" s="825">
        <f ca="1">ROUND(C67*10000/F70,0)</f>
        <v>-1839</v>
      </c>
      <c r="D70" s="826" t="s">
        <v>1813</v>
      </c>
      <c r="E70" s="827" t="s">
        <v>1814</v>
      </c>
      <c r="F70" s="828">
        <f ca="1">F43</f>
        <v>52504.74</v>
      </c>
      <c r="O70" s="2426" t="s">
        <v>2402</v>
      </c>
      <c r="P70" s="2432" t="s">
        <v>2403</v>
      </c>
      <c r="Q70" s="2425">
        <f ca="1">C39</f>
        <v>7504</v>
      </c>
      <c r="R70" s="2424" t="s">
        <v>2383</v>
      </c>
    </row>
    <row r="71" spans="1:18" ht="15.75" thickBot="1">
      <c r="O71" s="2426" t="s">
        <v>2404</v>
      </c>
      <c r="P71" s="2432" t="s">
        <v>2405</v>
      </c>
      <c r="Q71" s="2425">
        <f ca="1">C13</f>
        <v>21686</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133683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70" zoomScaleNormal="70" workbookViewId="0">
      <selection activeCell="D45" sqref="D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3063</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1998</v>
      </c>
      <c r="C2" s="2058"/>
      <c r="D2" s="2056"/>
      <c r="E2" s="2057"/>
      <c r="F2" s="2057"/>
      <c r="G2" s="1590"/>
      <c r="H2" s="2058"/>
      <c r="I2" s="2058"/>
      <c r="J2" s="2058"/>
      <c r="K2" s="2059"/>
      <c r="L2" s="2058"/>
      <c r="M2" s="2058"/>
    </row>
    <row r="3" spans="1:33" ht="18" customHeight="1" thickBot="1">
      <c r="A3" s="833" t="s">
        <v>1729</v>
      </c>
      <c r="B3" s="834">
        <f ca="1">IF(ISERROR(B2*10000/F43),0,ROUND(B2*10000/F43,0))</f>
        <v>3598</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160</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160</v>
      </c>
      <c r="D6" s="2522" t="s">
        <v>2466</v>
      </c>
      <c r="E6" s="784" t="s">
        <v>1740</v>
      </c>
      <c r="F6" s="785">
        <f ca="1">INDIRECT("'数据-取费表'!u"&amp;$G$1)</f>
        <v>800</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185</v>
      </c>
      <c r="G7" s="1592"/>
      <c r="H7" s="2514"/>
      <c r="I7" s="3462"/>
      <c r="J7" s="788"/>
      <c r="K7" s="789"/>
      <c r="L7" s="784" t="s">
        <v>1741</v>
      </c>
      <c r="M7" s="785">
        <f ca="1">F7</f>
        <v>185</v>
      </c>
    </row>
    <row r="8" spans="1:33" ht="18" customHeight="1">
      <c r="A8" s="2518"/>
      <c r="B8" s="3463"/>
      <c r="C8" s="788"/>
      <c r="D8" s="789"/>
      <c r="E8" s="784" t="s">
        <v>1742</v>
      </c>
      <c r="F8" s="785">
        <f ca="1">INDIRECT("'数据-取费表'!ai"&amp;$G$1)</f>
        <v>12</v>
      </c>
      <c r="G8" s="1592"/>
      <c r="H8" s="2514"/>
      <c r="I8" s="3463"/>
      <c r="J8" s="788"/>
      <c r="K8" s="789"/>
      <c r="L8" s="784" t="s">
        <v>1742</v>
      </c>
      <c r="M8" s="785">
        <f ca="1">INDIRECT("'数据-取费表'!ai"&amp;$G$1)</f>
        <v>12</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1807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1222</v>
      </c>
      <c r="D14" s="3169" t="s">
        <v>1747</v>
      </c>
      <c r="E14" s="3168"/>
      <c r="F14" s="805"/>
      <c r="G14" s="1592"/>
      <c r="H14" s="1649" t="s">
        <v>1832</v>
      </c>
      <c r="I14" s="2232" t="s">
        <v>2830</v>
      </c>
      <c r="J14" s="53">
        <f ca="1">C29</f>
        <v>1807</v>
      </c>
      <c r="K14" s="26"/>
      <c r="L14" s="801"/>
      <c r="M14" s="802"/>
    </row>
    <row r="15" spans="1:33" s="2065" customFormat="1" ht="18" customHeight="1" thickBot="1">
      <c r="A15" s="1648" t="s">
        <v>1887</v>
      </c>
      <c r="B15" s="784" t="s">
        <v>648</v>
      </c>
      <c r="C15" s="53">
        <f ca="1">ROUND(C14*F15,0)</f>
        <v>49</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42</v>
      </c>
      <c r="K16" s="1822" t="s">
        <v>1752</v>
      </c>
      <c r="L16" s="3171"/>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15</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18</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1411</v>
      </c>
      <c r="D19" s="261" t="s">
        <v>1759</v>
      </c>
      <c r="E19" s="3172"/>
      <c r="F19" s="56"/>
      <c r="G19" s="1592"/>
      <c r="H19" s="1648" t="s">
        <v>1887</v>
      </c>
      <c r="I19" s="784" t="s">
        <v>1760</v>
      </c>
      <c r="J19" s="53">
        <f ca="1">IF(K19="按租金收入计税",ROUND(J5*M19,1),ROUND(C29*F33*0.7,1))</f>
        <v>15.2</v>
      </c>
      <c r="K19" s="811" t="s">
        <v>666</v>
      </c>
      <c r="L19" s="784" t="s">
        <v>1749</v>
      </c>
      <c r="M19" s="809">
        <f>IF(K19="按租金收入计税",'数据-取费表'!B51,'数据-取费表'!B50)</f>
        <v>1.2E-2</v>
      </c>
    </row>
    <row r="20" spans="1:33" s="2065" customFormat="1" ht="18" customHeight="1">
      <c r="A20" s="1649" t="s">
        <v>1891</v>
      </c>
      <c r="B20" s="784" t="s">
        <v>667</v>
      </c>
      <c r="C20" s="53">
        <f ca="1">ROUND(C19*F20,0)</f>
        <v>28</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27</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86</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-42</v>
      </c>
      <c r="K25" s="2573" t="s">
        <v>1779</v>
      </c>
      <c r="L25" s="2574"/>
      <c r="M25" s="2575"/>
    </row>
    <row r="26" spans="1:33" ht="18" customHeight="1">
      <c r="A26" s="1648" t="s">
        <v>1833</v>
      </c>
      <c r="B26" s="784" t="s">
        <v>2441</v>
      </c>
      <c r="C26" s="53">
        <f ca="1">ROUND((C19+C20)*F26,0)</f>
        <v>144</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1807</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56</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23.9</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8.5</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15.2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145</v>
      </c>
      <c r="K35" s="2079"/>
      <c r="L35" s="2078"/>
      <c r="M35" s="2078"/>
    </row>
    <row r="36" spans="1:18" ht="18" customHeight="1">
      <c r="A36" s="1649" t="s">
        <v>1891</v>
      </c>
      <c r="B36" s="784" t="s">
        <v>1804</v>
      </c>
      <c r="C36" s="53">
        <f ca="1">ROUND(C29*F36,1)</f>
        <v>27.1</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2.7</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2.4</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104</v>
      </c>
      <c r="D39" s="2573" t="s">
        <v>1808</v>
      </c>
      <c r="E39" s="2574"/>
      <c r="F39" s="2575"/>
      <c r="G39" s="2063"/>
      <c r="H39" s="2078"/>
      <c r="I39" s="837" t="s">
        <v>1820</v>
      </c>
      <c r="J39" s="845">
        <f ca="1">ROUND(J35/C39,3)</f>
        <v>1.3939999999999999</v>
      </c>
      <c r="K39" s="2084"/>
      <c r="L39" s="2078"/>
      <c r="M39" s="2078"/>
    </row>
    <row r="40" spans="1:18" ht="18" customHeight="1">
      <c r="A40" s="781" t="s">
        <v>1897</v>
      </c>
      <c r="B40" s="2233" t="s">
        <v>2303</v>
      </c>
      <c r="C40" s="783">
        <f ca="1">ROUND(C39*(1-((1+F42)/(1+F40))^F41)/(F40-F42),0)</f>
        <v>1998</v>
      </c>
      <c r="D40" s="814" t="s">
        <v>1783</v>
      </c>
      <c r="E40" s="784" t="s">
        <v>2422</v>
      </c>
      <c r="F40" s="794">
        <f ca="1">INDIRECT("'数据-取费表'!I"&amp;$G$1)</f>
        <v>4.4999999999999998E-2</v>
      </c>
      <c r="G40" s="2063"/>
      <c r="H40" s="2063"/>
      <c r="I40" s="837" t="s">
        <v>1821</v>
      </c>
      <c r="J40" s="845">
        <f ca="1">1-J39</f>
        <v>-0.39399999999999991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0.90400000000000003</v>
      </c>
      <c r="K42" s="2083"/>
      <c r="L42" s="1989"/>
      <c r="M42" s="1989"/>
    </row>
    <row r="43" spans="1:18" ht="18" customHeight="1" thickBot="1">
      <c r="A43" s="823" t="s">
        <v>1789</v>
      </c>
      <c r="B43" s="824" t="s">
        <v>1812</v>
      </c>
      <c r="C43" s="825">
        <f ca="1">ROUND(C40*10000/F43,0)</f>
        <v>3598</v>
      </c>
      <c r="D43" s="826" t="s">
        <v>1813</v>
      </c>
      <c r="E43" s="827" t="s">
        <v>1814</v>
      </c>
      <c r="F43" s="828">
        <f ca="1">INDIRECT("'数据-取费表'!k"&amp;$G$1)</f>
        <v>5553.4399999999987</v>
      </c>
      <c r="G43" s="2063"/>
      <c r="H43" s="1989"/>
      <c r="I43" s="847" t="s">
        <v>1824</v>
      </c>
      <c r="J43" s="848">
        <f ca="1">1-J42</f>
        <v>9.5999999999999974E-2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-2862</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1998</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1807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-859</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1998</v>
      </c>
      <c r="R54" s="2428" t="s">
        <v>2395</v>
      </c>
    </row>
    <row r="55" spans="1:18" s="2060" customFormat="1" ht="18" customHeight="1" thickTop="1" thickBot="1">
      <c r="A55" s="797">
        <v>2</v>
      </c>
      <c r="B55" s="798" t="s">
        <v>645</v>
      </c>
      <c r="C55" s="799">
        <f ca="1">C13</f>
        <v>1807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1807</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45</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1998</v>
      </c>
      <c r="R57" s="2424" t="s">
        <v>2383</v>
      </c>
    </row>
    <row r="58" spans="1:18" s="2060" customFormat="1" ht="28.5" customHeight="1" thickBot="1">
      <c r="A58" s="1649" t="s">
        <v>1826</v>
      </c>
      <c r="B58" s="784" t="s">
        <v>657</v>
      </c>
      <c r="C58" s="53">
        <f ca="1">ROUND(IF(项目基本情况!B11="自然人",C47*F58,C59+C60+C61),1)</f>
        <v>15.4</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15.2</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27.1</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1998</v>
      </c>
      <c r="R63" s="2428" t="s">
        <v>2395</v>
      </c>
    </row>
    <row r="64" spans="1:18" s="2060" customFormat="1" ht="16.5" thickBot="1">
      <c r="A64" s="1649" t="s">
        <v>1892</v>
      </c>
      <c r="B64" s="784" t="s">
        <v>680</v>
      </c>
      <c r="C64" s="53">
        <f ca="1">ROUND(C55*F64,1)</f>
        <v>2.7</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-45</v>
      </c>
      <c r="D66" s="3169" t="s">
        <v>701</v>
      </c>
      <c r="E66" s="3167"/>
      <c r="F66" s="820"/>
      <c r="K66" s="2087"/>
      <c r="O66" s="2423" t="s">
        <v>2382</v>
      </c>
      <c r="P66" s="2424" t="s">
        <v>2408</v>
      </c>
      <c r="Q66" s="2425">
        <f ca="1">C40+J29</f>
        <v>1998</v>
      </c>
      <c r="R66" s="2424" t="s">
        <v>2383</v>
      </c>
    </row>
    <row r="67" spans="1:18" s="2060" customFormat="1" ht="20.25" thickBot="1">
      <c r="A67" s="781" t="s">
        <v>1782</v>
      </c>
      <c r="B67" s="2233" t="s">
        <v>2303</v>
      </c>
      <c r="C67" s="783">
        <f ca="1">ROUND(C66*(1-((1+F69)/(1+F67))^F68)/(F67-F69),0)</f>
        <v>-864</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-859</v>
      </c>
      <c r="R68" s="2431" t="s">
        <v>2419</v>
      </c>
    </row>
    <row r="69" spans="1:18" ht="20.25" thickBot="1">
      <c r="A69" s="790"/>
      <c r="B69" s="791"/>
      <c r="C69" s="792"/>
      <c r="D69" s="816"/>
      <c r="E69" s="784" t="s">
        <v>711</v>
      </c>
      <c r="F69" s="2372"/>
      <c r="O69" s="2426" t="s">
        <v>2387</v>
      </c>
      <c r="P69" s="2432" t="s">
        <v>2401</v>
      </c>
      <c r="Q69" s="2425">
        <f ca="1">ROUND(Q70-Q71*Q72,0)</f>
        <v>-41</v>
      </c>
      <c r="R69" s="2428"/>
    </row>
    <row r="70" spans="1:18" ht="15.75" thickBot="1">
      <c r="A70" s="823" t="s">
        <v>1789</v>
      </c>
      <c r="B70" s="824" t="s">
        <v>1812</v>
      </c>
      <c r="C70" s="825">
        <f ca="1">ROUND(C67*10000/F70,0)</f>
        <v>-1556</v>
      </c>
      <c r="D70" s="826" t="s">
        <v>1813</v>
      </c>
      <c r="E70" s="827" t="s">
        <v>1814</v>
      </c>
      <c r="F70" s="828">
        <f ca="1">F43</f>
        <v>5553.4399999999987</v>
      </c>
      <c r="O70" s="2426" t="s">
        <v>2402</v>
      </c>
      <c r="P70" s="2432" t="s">
        <v>2403</v>
      </c>
      <c r="Q70" s="2425">
        <f ca="1">C39</f>
        <v>104</v>
      </c>
      <c r="R70" s="2424" t="s">
        <v>2383</v>
      </c>
    </row>
    <row r="71" spans="1:18" ht="15.75" thickBot="1">
      <c r="O71" s="2426" t="s">
        <v>2404</v>
      </c>
      <c r="P71" s="2432" t="s">
        <v>2405</v>
      </c>
      <c r="Q71" s="2425">
        <f ca="1">C13</f>
        <v>1807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1998</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2476</v>
      </c>
      <c r="B1" s="3480"/>
      <c r="C1" s="3481"/>
      <c r="D1" s="3482">
        <f>SUM(I10,I15,I20,I21,I23)</f>
        <v>0</v>
      </c>
      <c r="E1" s="3482"/>
      <c r="F1" s="3482"/>
      <c r="G1" s="3482"/>
      <c r="H1" s="3482"/>
      <c r="I1" s="3483"/>
    </row>
    <row r="2" spans="1:9">
      <c r="A2" s="3484" t="s">
        <v>2477</v>
      </c>
      <c r="B2" s="3485" t="s">
        <v>2478</v>
      </c>
      <c r="C2" s="3485"/>
      <c r="D2" s="2532" t="s">
        <v>2479</v>
      </c>
      <c r="E2" s="2532" t="s">
        <v>2480</v>
      </c>
      <c r="F2" s="2532" t="s">
        <v>2481</v>
      </c>
      <c r="G2" s="2532" t="s">
        <v>2482</v>
      </c>
      <c r="H2" s="2532" t="s">
        <v>2483</v>
      </c>
      <c r="I2" s="2533" t="s">
        <v>2484</v>
      </c>
    </row>
    <row r="3" spans="1:9">
      <c r="A3" s="3484"/>
      <c r="B3" s="3485" t="s">
        <v>2485</v>
      </c>
      <c r="C3" s="3485"/>
      <c r="D3" s="2534"/>
      <c r="E3" s="2532"/>
      <c r="F3" s="2535"/>
      <c r="G3" s="2535"/>
      <c r="H3" s="2536"/>
      <c r="I3" s="2537">
        <f>ROUND(D3*E3*F3*G3*H3/10000,0)</f>
        <v>0</v>
      </c>
    </row>
    <row r="4" spans="1:9">
      <c r="A4" s="3484"/>
      <c r="B4" s="3485" t="s">
        <v>2486</v>
      </c>
      <c r="C4" s="3485"/>
      <c r="D4" s="2534"/>
      <c r="E4" s="2532"/>
      <c r="F4" s="2535"/>
      <c r="G4" s="2535"/>
      <c r="H4" s="2536"/>
      <c r="I4" s="2537">
        <f t="shared" ref="I4:I9" si="0">ROUND(D4*E4*F4*G4*H4/10000,0)</f>
        <v>0</v>
      </c>
    </row>
    <row r="5" spans="1:9">
      <c r="A5" s="3484"/>
      <c r="B5" s="3485" t="s">
        <v>2487</v>
      </c>
      <c r="C5" s="3485"/>
      <c r="D5" s="2534"/>
      <c r="E5" s="2532"/>
      <c r="F5" s="2535"/>
      <c r="G5" s="2535"/>
      <c r="H5" s="2536"/>
      <c r="I5" s="2537">
        <f t="shared" si="0"/>
        <v>0</v>
      </c>
    </row>
    <row r="6" spans="1:9">
      <c r="A6" s="3484"/>
      <c r="B6" s="3485" t="s">
        <v>2488</v>
      </c>
      <c r="C6" s="3485"/>
      <c r="D6" s="2534"/>
      <c r="E6" s="2532"/>
      <c r="F6" s="2535"/>
      <c r="G6" s="2535"/>
      <c r="H6" s="2536"/>
      <c r="I6" s="2537">
        <f t="shared" si="0"/>
        <v>0</v>
      </c>
    </row>
    <row r="7" spans="1:9">
      <c r="A7" s="3484"/>
      <c r="B7" s="3485" t="s">
        <v>2489</v>
      </c>
      <c r="C7" s="3485"/>
      <c r="D7" s="2534"/>
      <c r="E7" s="2532"/>
      <c r="F7" s="2535"/>
      <c r="G7" s="2535"/>
      <c r="H7" s="2536"/>
      <c r="I7" s="2537">
        <f t="shared" si="0"/>
        <v>0</v>
      </c>
    </row>
    <row r="8" spans="1:9">
      <c r="A8" s="3484"/>
      <c r="B8" s="3485" t="s">
        <v>2490</v>
      </c>
      <c r="C8" s="3485"/>
      <c r="D8" s="2534"/>
      <c r="E8" s="2532"/>
      <c r="F8" s="2535"/>
      <c r="G8" s="2535"/>
      <c r="H8" s="2536"/>
      <c r="I8" s="2537">
        <f t="shared" si="0"/>
        <v>0</v>
      </c>
    </row>
    <row r="9" spans="1:9">
      <c r="A9" s="3484"/>
      <c r="B9" s="3485" t="s">
        <v>2491</v>
      </c>
      <c r="C9" s="3485"/>
      <c r="D9" s="2534"/>
      <c r="E9" s="2532"/>
      <c r="F9" s="2535"/>
      <c r="G9" s="2535"/>
      <c r="H9" s="2536"/>
      <c r="I9" s="2537">
        <f t="shared" si="0"/>
        <v>0</v>
      </c>
    </row>
    <row r="10" spans="1:9">
      <c r="A10" s="3484"/>
      <c r="B10" s="3486" t="s">
        <v>2492</v>
      </c>
      <c r="C10" s="3486"/>
      <c r="D10" s="2538">
        <v>527</v>
      </c>
      <c r="E10" s="2538" t="e">
        <f>ROUND(D1*10000/D10/H9,0)</f>
        <v>#DIV/0!</v>
      </c>
      <c r="F10" s="2539"/>
      <c r="G10" s="2539"/>
      <c r="H10" s="2540"/>
      <c r="I10" s="2541">
        <f>SUM(I3:I9)</f>
        <v>0</v>
      </c>
    </row>
    <row r="11" spans="1:9" ht="14.25">
      <c r="A11" s="3484" t="s">
        <v>2493</v>
      </c>
      <c r="B11" s="3485" t="s">
        <v>2494</v>
      </c>
      <c r="C11" s="3485"/>
      <c r="D11" s="2534" t="s">
        <v>2495</v>
      </c>
      <c r="E11" s="2534" t="s">
        <v>2496</v>
      </c>
      <c r="F11" s="2535" t="s">
        <v>2497</v>
      </c>
      <c r="G11" s="2535" t="s">
        <v>2498</v>
      </c>
      <c r="H11" s="2542" t="s">
        <v>2499</v>
      </c>
      <c r="I11" s="2533" t="s">
        <v>2500</v>
      </c>
    </row>
    <row r="12" spans="1:9">
      <c r="A12" s="3484"/>
      <c r="B12" s="3485" t="s">
        <v>2501</v>
      </c>
      <c r="C12" s="3485"/>
      <c r="D12" s="2534"/>
      <c r="E12" s="2534"/>
      <c r="F12" s="2535"/>
      <c r="G12" s="2536"/>
      <c r="H12" s="2543"/>
      <c r="I12" s="2533">
        <f>ROUND(D12*E12*F12*G12/10000,0)</f>
        <v>0</v>
      </c>
    </row>
    <row r="13" spans="1:9">
      <c r="A13" s="3484"/>
      <c r="B13" s="3485" t="s">
        <v>2502</v>
      </c>
      <c r="C13" s="3485"/>
      <c r="D13" s="2534"/>
      <c r="E13" s="2534"/>
      <c r="F13" s="2535"/>
      <c r="G13" s="2536"/>
      <c r="H13" s="2543"/>
      <c r="I13" s="2533">
        <f>ROUND(D13*E13*F13*G13/10000,0)</f>
        <v>0</v>
      </c>
    </row>
    <row r="14" spans="1:9">
      <c r="A14" s="3484"/>
      <c r="B14" s="3485" t="s">
        <v>2503</v>
      </c>
      <c r="C14" s="3485"/>
      <c r="D14" s="2534"/>
      <c r="E14" s="2534"/>
      <c r="F14" s="2535"/>
      <c r="G14" s="2536"/>
      <c r="H14" s="2543"/>
      <c r="I14" s="2533">
        <f>ROUND(D14*E14*F14*G14/10000,0)</f>
        <v>0</v>
      </c>
    </row>
    <row r="15" spans="1:9">
      <c r="A15" s="3484"/>
      <c r="B15" s="3486" t="s">
        <v>2492</v>
      </c>
      <c r="C15" s="3486"/>
      <c r="D15" s="2538"/>
      <c r="E15" s="2538">
        <f>SUM(E12:E14)</f>
        <v>0</v>
      </c>
      <c r="F15" s="2539"/>
      <c r="G15" s="2536"/>
      <c r="H15" s="2543"/>
      <c r="I15" s="2544">
        <f>SUM(I12:I14)</f>
        <v>0</v>
      </c>
    </row>
    <row r="16" spans="1:9" ht="24">
      <c r="A16" s="3484" t="s">
        <v>2504</v>
      </c>
      <c r="B16" s="3485" t="s">
        <v>2505</v>
      </c>
      <c r="C16" s="3485"/>
      <c r="D16" s="2534" t="s">
        <v>2506</v>
      </c>
      <c r="E16" s="2545" t="s">
        <v>2507</v>
      </c>
      <c r="F16" s="2535" t="s">
        <v>2508</v>
      </c>
      <c r="G16" s="2536" t="s">
        <v>2498</v>
      </c>
      <c r="H16" s="2542" t="s">
        <v>2499</v>
      </c>
      <c r="I16" s="2533" t="s">
        <v>2500</v>
      </c>
    </row>
    <row r="17" spans="1:9" ht="14.25">
      <c r="A17" s="3484"/>
      <c r="B17" s="3485" t="s">
        <v>2509</v>
      </c>
      <c r="C17" s="3485"/>
      <c r="D17" s="2534"/>
      <c r="E17" s="2534"/>
      <c r="F17" s="2535"/>
      <c r="G17" s="2536"/>
      <c r="H17" s="2546"/>
      <c r="I17" s="2547">
        <f>ROUND(D17*E17*F17*G17/10000,0)</f>
        <v>0</v>
      </c>
    </row>
    <row r="18" spans="1:9" ht="14.25">
      <c r="A18" s="3484"/>
      <c r="B18" s="3485" t="s">
        <v>2510</v>
      </c>
      <c r="C18" s="3485"/>
      <c r="D18" s="2534"/>
      <c r="E18" s="2534"/>
      <c r="F18" s="2535"/>
      <c r="G18" s="2536"/>
      <c r="H18" s="2546"/>
      <c r="I18" s="2547">
        <f>ROUND(D18*E18*F18*G18/10000,0)</f>
        <v>0</v>
      </c>
    </row>
    <row r="19" spans="1:9" ht="14.25">
      <c r="A19" s="3484"/>
      <c r="B19" s="3485" t="s">
        <v>2511</v>
      </c>
      <c r="C19" s="3485"/>
      <c r="D19" s="2534"/>
      <c r="E19" s="2534"/>
      <c r="F19" s="2535"/>
      <c r="G19" s="2536"/>
      <c r="H19" s="2546"/>
      <c r="I19" s="2547">
        <f>ROUND(D19*E19*F19*G19/10000,0)</f>
        <v>0</v>
      </c>
    </row>
    <row r="20" spans="1:9">
      <c r="A20" s="3484"/>
      <c r="B20" s="3486" t="s">
        <v>2492</v>
      </c>
      <c r="C20" s="3486"/>
      <c r="D20" s="2538">
        <f>SUM(D17:D19)</f>
        <v>0</v>
      </c>
      <c r="E20" s="2538"/>
      <c r="F20" s="2539"/>
      <c r="G20" s="2536"/>
      <c r="H20" s="2543"/>
      <c r="I20" s="2544">
        <f>SUM(I17:I19)</f>
        <v>0</v>
      </c>
    </row>
    <row r="21" spans="1:9">
      <c r="A21" s="3484" t="s">
        <v>2512</v>
      </c>
      <c r="B21" s="3488"/>
      <c r="C21" s="3488"/>
      <c r="D21" s="3488"/>
      <c r="E21" s="3488"/>
      <c r="F21" s="3488"/>
      <c r="G21" s="3488"/>
      <c r="H21" s="2548">
        <v>0.1</v>
      </c>
      <c r="I21" s="2541">
        <f>ROUND(I10*H21,0)</f>
        <v>0</v>
      </c>
    </row>
    <row r="22" spans="1:9" ht="14.25">
      <c r="A22" s="3489" t="s">
        <v>2513</v>
      </c>
      <c r="B22" s="3490"/>
      <c r="C22" s="3491"/>
      <c r="D22" s="2549" t="s">
        <v>2514</v>
      </c>
      <c r="E22" s="2549" t="s">
        <v>2515</v>
      </c>
      <c r="F22" s="2550" t="s">
        <v>2516</v>
      </c>
      <c r="G22" s="2550" t="s">
        <v>2517</v>
      </c>
      <c r="H22" s="2542" t="s">
        <v>2518</v>
      </c>
      <c r="I22" s="2533" t="s">
        <v>2519</v>
      </c>
    </row>
    <row r="23" spans="1:9" ht="14.25" thickBot="1">
      <c r="A23" s="3492"/>
      <c r="B23" s="3493"/>
      <c r="C23" s="3494"/>
      <c r="D23" s="2551"/>
      <c r="E23" s="2551"/>
      <c r="F23" s="2551"/>
      <c r="G23" s="2552"/>
      <c r="H23" s="2553"/>
      <c r="I23" s="2554">
        <f>ROUND(E23*D23*F23*(1-G23)/10000,0)</f>
        <v>0</v>
      </c>
    </row>
    <row r="26" spans="1:9">
      <c r="A26" s="2555" t="s">
        <v>2520</v>
      </c>
      <c r="B26" s="2555"/>
      <c r="C26" s="2555"/>
      <c r="D26" s="2555"/>
      <c r="E26" s="3495">
        <f>C27-C30-C31-C32</f>
        <v>0</v>
      </c>
      <c r="F26" s="3495"/>
      <c r="G26" s="3495"/>
      <c r="H26" s="3069" t="s">
        <v>2848</v>
      </c>
    </row>
    <row r="27" spans="1:9">
      <c r="A27" s="2556">
        <v>1</v>
      </c>
      <c r="B27" s="2557" t="s">
        <v>2521</v>
      </c>
      <c r="C27" s="2557"/>
      <c r="D27" s="2557"/>
      <c r="E27" s="3496"/>
      <c r="F27" s="3496"/>
      <c r="G27" s="3496"/>
    </row>
    <row r="28" spans="1:9">
      <c r="A28" s="2558" t="s">
        <v>2522</v>
      </c>
      <c r="B28" s="2557" t="s">
        <v>2523</v>
      </c>
      <c r="C28" s="2557"/>
      <c r="D28" s="2557"/>
      <c r="E28" s="3496"/>
      <c r="F28" s="3496"/>
      <c r="G28" s="3496"/>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87"/>
      <c r="F32" s="3487"/>
      <c r="G32" s="3487"/>
    </row>
    <row r="33" spans="1:7" hidden="1">
      <c r="A33" s="3497" t="s">
        <v>2531</v>
      </c>
      <c r="B33" s="3498"/>
      <c r="C33" s="3498"/>
      <c r="D33" s="3499"/>
      <c r="E33" s="3495"/>
      <c r="F33" s="3495"/>
      <c r="G33" s="3495"/>
    </row>
    <row r="34" spans="1:7" hidden="1">
      <c r="A34" s="2560">
        <v>1</v>
      </c>
      <c r="B34" s="2557" t="s">
        <v>2532</v>
      </c>
      <c r="C34" s="2557"/>
      <c r="D34" s="2557"/>
      <c r="E34" s="3496"/>
      <c r="F34" s="3496"/>
      <c r="G34" s="3496"/>
    </row>
    <row r="35" spans="1:7" hidden="1">
      <c r="A35" s="2560">
        <v>2</v>
      </c>
      <c r="B35" s="2557" t="s">
        <v>2533</v>
      </c>
      <c r="C35" s="2557"/>
      <c r="D35" s="2557"/>
      <c r="E35" s="3496"/>
      <c r="F35" s="3496"/>
      <c r="G35" s="3496"/>
    </row>
    <row r="36" spans="1:7" hidden="1">
      <c r="A36" s="2560">
        <v>3</v>
      </c>
      <c r="B36" s="2557" t="s">
        <v>2534</v>
      </c>
      <c r="C36" s="2557"/>
      <c r="D36" s="2557"/>
      <c r="E36" s="3496"/>
      <c r="F36" s="3496"/>
      <c r="G36" s="3496"/>
    </row>
    <row r="37" spans="1:7" hidden="1">
      <c r="A37" s="2560">
        <v>4</v>
      </c>
      <c r="B37" s="2557" t="s">
        <v>2535</v>
      </c>
      <c r="C37" s="2557"/>
      <c r="D37" s="2557"/>
      <c r="E37" s="3496"/>
      <c r="F37" s="3496"/>
      <c r="G37" s="3496"/>
    </row>
    <row r="38" spans="1:7" hidden="1">
      <c r="A38" s="3497" t="s">
        <v>2536</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94" t="s">
        <v>523</v>
      </c>
      <c r="D4" s="3395"/>
      <c r="E4" s="3428" t="s">
        <v>524</v>
      </c>
      <c r="F4" s="3429"/>
      <c r="G4" s="3394" t="s">
        <v>525</v>
      </c>
      <c r="H4" s="3395"/>
      <c r="I4" s="3394" t="s">
        <v>526</v>
      </c>
      <c r="J4" s="3395"/>
      <c r="K4" s="853"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2933</v>
      </c>
      <c r="D5" s="3411"/>
      <c r="E5" s="3430" t="s">
        <v>2934</v>
      </c>
      <c r="F5" s="3431"/>
      <c r="G5" s="3410" t="s">
        <v>2935</v>
      </c>
      <c r="H5" s="3411"/>
      <c r="I5" s="3410" t="s">
        <v>2936</v>
      </c>
      <c r="J5" s="3411"/>
      <c r="K5" s="85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85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19" t="s">
        <v>531</v>
      </c>
      <c r="Q7" s="3421"/>
      <c r="R7" s="1568" t="s">
        <v>13</v>
      </c>
      <c r="S7" s="1569">
        <f t="shared" ref="S7:S15" si="0">F7</f>
        <v>0</v>
      </c>
      <c r="T7" s="1568" t="s">
        <v>13</v>
      </c>
      <c r="U7" s="1569">
        <f t="shared" ref="U7:U15" si="1">H7</f>
        <v>0</v>
      </c>
      <c r="V7" s="1568" t="s">
        <v>13</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19" t="s">
        <v>534</v>
      </c>
      <c r="Q8" s="3420"/>
      <c r="R8" s="1568" t="s">
        <v>13</v>
      </c>
      <c r="S8" s="1569">
        <f t="shared" si="0"/>
        <v>0</v>
      </c>
      <c r="T8" s="1568" t="s">
        <v>13</v>
      </c>
      <c r="U8" s="1569">
        <f t="shared" si="1"/>
        <v>0</v>
      </c>
      <c r="V8" s="1568" t="s">
        <v>13</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8"/>
      <c r="Q11" s="1151" t="str">
        <f t="shared" si="6"/>
        <v>容积率</v>
      </c>
      <c r="R11" s="1568" t="s">
        <v>11</v>
      </c>
      <c r="S11" s="1569" t="e">
        <f t="shared" si="0"/>
        <v>#N/A</v>
      </c>
      <c r="T11" s="1568" t="s">
        <v>11</v>
      </c>
      <c r="U11" s="1569" t="e">
        <f t="shared" si="1"/>
        <v>#N/A</v>
      </c>
      <c r="V11" s="1568" t="s">
        <v>11</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8" t="s">
        <v>11</v>
      </c>
      <c r="S12" s="1569">
        <f t="shared" si="0"/>
        <v>100</v>
      </c>
      <c r="T12" s="1568" t="s">
        <v>11</v>
      </c>
      <c r="U12" s="1569">
        <f t="shared" si="1"/>
        <v>100</v>
      </c>
      <c r="V12" s="1568" t="s">
        <v>11</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8" t="s">
        <v>11</v>
      </c>
      <c r="S13" s="1569">
        <f t="shared" si="0"/>
        <v>100</v>
      </c>
      <c r="T13" s="1568" t="s">
        <v>11</v>
      </c>
      <c r="U13" s="1569">
        <f t="shared" si="1"/>
        <v>100</v>
      </c>
      <c r="V13" s="1568" t="s">
        <v>11</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8" t="s">
        <v>11</v>
      </c>
      <c r="S14" s="1569">
        <f t="shared" si="0"/>
        <v>100</v>
      </c>
      <c r="T14" s="1568" t="s">
        <v>11</v>
      </c>
      <c r="U14" s="1569">
        <f t="shared" si="1"/>
        <v>100</v>
      </c>
      <c r="V14" s="1568" t="s">
        <v>11</v>
      </c>
      <c r="W14" s="1569">
        <f t="shared" si="2"/>
        <v>100</v>
      </c>
      <c r="X14" s="1570"/>
      <c r="Y14" s="3330"/>
      <c r="Z14" s="1150">
        <f t="shared" si="7"/>
        <v>111</v>
      </c>
      <c r="AA14" s="1571">
        <f t="shared" si="3"/>
        <v>1</v>
      </c>
      <c r="AB14" s="1571">
        <f t="shared" si="4"/>
        <v>1</v>
      </c>
      <c r="AC14" s="1571">
        <f t="shared" si="5"/>
        <v>1</v>
      </c>
    </row>
    <row r="15" spans="1:29" ht="99.75">
      <c r="A15" s="2936"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2" t="s">
        <v>541</v>
      </c>
      <c r="Q15" s="1572" t="str">
        <f t="shared" si="6"/>
        <v>居住社区成熟度</v>
      </c>
      <c r="R15" s="1573" t="s">
        <v>11</v>
      </c>
      <c r="S15" s="1574">
        <f t="shared" si="0"/>
        <v>100</v>
      </c>
      <c r="T15" s="1573" t="s">
        <v>11</v>
      </c>
      <c r="U15" s="1574">
        <f t="shared" si="1"/>
        <v>100</v>
      </c>
      <c r="V15" s="1573" t="s">
        <v>11</v>
      </c>
      <c r="W15" s="1574">
        <f t="shared" si="2"/>
        <v>100</v>
      </c>
      <c r="X15" s="1567"/>
      <c r="Y15" s="3422"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3"/>
      <c r="Q21" s="2604" t="str">
        <f>B21</f>
        <v>基础设施水平</v>
      </c>
      <c r="R21" s="1573" t="s">
        <v>11</v>
      </c>
      <c r="S21" s="1574">
        <f>F21</f>
        <v>100</v>
      </c>
      <c r="T21" s="1573" t="s">
        <v>11</v>
      </c>
      <c r="U21" s="1574">
        <f>H21</f>
        <v>100</v>
      </c>
      <c r="V21" s="1573" t="s">
        <v>11</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3"/>
      <c r="Q27" s="1151" t="str">
        <f t="shared" si="11"/>
        <v>道路级别</v>
      </c>
      <c r="R27" s="1568" t="s">
        <v>11</v>
      </c>
      <c r="S27" s="1569">
        <f>F27</f>
        <v>100</v>
      </c>
      <c r="T27" s="1568" t="s">
        <v>11</v>
      </c>
      <c r="U27" s="1569">
        <f>H27</f>
        <v>100</v>
      </c>
      <c r="V27" s="1568" t="s">
        <v>11</v>
      </c>
      <c r="W27" s="1569">
        <f>J27</f>
        <v>100</v>
      </c>
      <c r="X27" s="1570"/>
      <c r="Y27" s="342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3"/>
      <c r="Q29" s="1572">
        <f t="shared" si="11"/>
        <v>111</v>
      </c>
      <c r="R29" s="1573" t="s">
        <v>11</v>
      </c>
      <c r="S29" s="1574">
        <f t="shared" si="12"/>
        <v>100</v>
      </c>
      <c r="T29" s="1573" t="s">
        <v>11</v>
      </c>
      <c r="U29" s="1574">
        <f t="shared" si="13"/>
        <v>100</v>
      </c>
      <c r="V29" s="1573" t="s">
        <v>11</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3"/>
      <c r="Q30" s="1572">
        <f t="shared" si="11"/>
        <v>111</v>
      </c>
      <c r="R30" s="1573" t="s">
        <v>11</v>
      </c>
      <c r="S30" s="1574">
        <f t="shared" si="12"/>
        <v>100</v>
      </c>
      <c r="T30" s="1573" t="s">
        <v>11</v>
      </c>
      <c r="U30" s="1574">
        <f t="shared" si="13"/>
        <v>100</v>
      </c>
      <c r="V30" s="1573" t="s">
        <v>11</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3"/>
      <c r="Q31" s="1572">
        <f t="shared" si="11"/>
        <v>111</v>
      </c>
      <c r="R31" s="1573" t="s">
        <v>11</v>
      </c>
      <c r="S31" s="1574">
        <f t="shared" si="12"/>
        <v>100</v>
      </c>
      <c r="T31" s="1573" t="s">
        <v>11</v>
      </c>
      <c r="U31" s="1574">
        <f t="shared" si="13"/>
        <v>100</v>
      </c>
      <c r="V31" s="1573" t="s">
        <v>11</v>
      </c>
      <c r="W31" s="1574">
        <f t="shared" si="14"/>
        <v>100</v>
      </c>
      <c r="X31" s="1567"/>
      <c r="Y31" s="3423"/>
      <c r="Z31" s="1575">
        <f t="shared" si="15"/>
        <v>111</v>
      </c>
      <c r="AA31" s="1576">
        <f t="shared" si="3"/>
        <v>1</v>
      </c>
      <c r="AB31" s="1576">
        <f t="shared" si="4"/>
        <v>1</v>
      </c>
      <c r="AC31" s="1576">
        <f t="shared" si="5"/>
        <v>1</v>
      </c>
    </row>
    <row r="32" spans="1:29" ht="15">
      <c r="A32" s="2934" t="s">
        <v>2761</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4" t="s">
        <v>551</v>
      </c>
      <c r="Q32" s="1572" t="str">
        <f t="shared" si="11"/>
        <v>建筑类型</v>
      </c>
      <c r="R32" s="1573" t="s">
        <v>11</v>
      </c>
      <c r="S32" s="1574">
        <f t="shared" si="12"/>
        <v>100</v>
      </c>
      <c r="T32" s="1573" t="s">
        <v>11</v>
      </c>
      <c r="U32" s="1574">
        <f t="shared" si="13"/>
        <v>100</v>
      </c>
      <c r="V32" s="1573" t="s">
        <v>11</v>
      </c>
      <c r="W32" s="1574">
        <f t="shared" si="14"/>
        <v>100</v>
      </c>
      <c r="X32" s="1567"/>
      <c r="Y32" s="3425"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5"/>
      <c r="Q33" s="1605" t="str">
        <f t="shared" si="11"/>
        <v>项目建筑规模</v>
      </c>
      <c r="R33" s="1577" t="s">
        <v>11</v>
      </c>
      <c r="S33" s="1578" t="e">
        <f t="shared" si="12"/>
        <v>#N/A</v>
      </c>
      <c r="T33" s="1577" t="s">
        <v>11</v>
      </c>
      <c r="U33" s="1578" t="e">
        <f t="shared" si="13"/>
        <v>#N/A</v>
      </c>
      <c r="V33" s="1577" t="s">
        <v>11</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5"/>
      <c r="Q37" s="1151" t="str">
        <f t="shared" si="11"/>
        <v>成新度</v>
      </c>
      <c r="R37" s="1568" t="s">
        <v>11</v>
      </c>
      <c r="S37" s="1569" t="e">
        <f t="shared" si="12"/>
        <v>#N/A</v>
      </c>
      <c r="T37" s="1568" t="s">
        <v>11</v>
      </c>
      <c r="U37" s="1569" t="e">
        <f t="shared" si="13"/>
        <v>#N/A</v>
      </c>
      <c r="V37" s="1568" t="s">
        <v>11</v>
      </c>
      <c r="W37" s="1569" t="e">
        <f t="shared" si="14"/>
        <v>#N/A</v>
      </c>
      <c r="X37" s="1570"/>
      <c r="Y37" s="3425"/>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5" t="s">
        <v>551</v>
      </c>
      <c r="Q38" s="1572" t="str">
        <f t="shared" si="11"/>
        <v>物业管理</v>
      </c>
      <c r="R38" s="1573" t="s">
        <v>11</v>
      </c>
      <c r="S38" s="1574">
        <f t="shared" si="12"/>
        <v>100</v>
      </c>
      <c r="T38" s="1573" t="s">
        <v>11</v>
      </c>
      <c r="U38" s="1574">
        <f t="shared" si="13"/>
        <v>100</v>
      </c>
      <c r="V38" s="1573" t="s">
        <v>11</v>
      </c>
      <c r="W38" s="1574">
        <f t="shared" si="14"/>
        <v>100</v>
      </c>
      <c r="X38" s="1567"/>
      <c r="Y38" s="3425"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5"/>
      <c r="Q42" s="1572" t="str">
        <f t="shared" si="11"/>
        <v>内部装修</v>
      </c>
      <c r="R42" s="1573" t="s">
        <v>11</v>
      </c>
      <c r="S42" s="1574">
        <f t="shared" si="12"/>
        <v>100</v>
      </c>
      <c r="T42" s="1573" t="s">
        <v>11</v>
      </c>
      <c r="U42" s="1574">
        <f t="shared" si="13"/>
        <v>100</v>
      </c>
      <c r="V42" s="1573" t="s">
        <v>11</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5"/>
      <c r="Q44" s="1151">
        <f t="shared" si="11"/>
        <v>111</v>
      </c>
      <c r="R44" s="1568" t="s">
        <v>11</v>
      </c>
      <c r="S44" s="1569">
        <f t="shared" si="12"/>
        <v>100</v>
      </c>
      <c r="T44" s="1568" t="s">
        <v>11</v>
      </c>
      <c r="U44" s="1569">
        <f t="shared" si="13"/>
        <v>100</v>
      </c>
      <c r="V44" s="1568" t="s">
        <v>11</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5"/>
      <c r="Q45" s="1572">
        <f t="shared" si="11"/>
        <v>111</v>
      </c>
      <c r="R45" s="1573" t="s">
        <v>11</v>
      </c>
      <c r="S45" s="1574">
        <f t="shared" si="12"/>
        <v>100</v>
      </c>
      <c r="T45" s="1573" t="s">
        <v>11</v>
      </c>
      <c r="U45" s="1574">
        <f t="shared" si="13"/>
        <v>100</v>
      </c>
      <c r="V45" s="1573" t="s">
        <v>11</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07"/>
      <c r="L48" s="2145"/>
      <c r="M48" s="2146"/>
      <c r="N48" s="2146"/>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08"/>
      <c r="L49" s="2145"/>
      <c r="M49" s="2146"/>
      <c r="N49" s="2146"/>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89"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89"/>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89"/>
      <c r="AC6" s="3393"/>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71.25">
      <c r="A15" s="2936"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2" t="s">
        <v>541</v>
      </c>
      <c r="Q15" s="1572" t="str">
        <f t="shared" si="6"/>
        <v>商业繁华度</v>
      </c>
      <c r="R15" s="1573" t="s">
        <v>8</v>
      </c>
      <c r="S15" s="1574">
        <f t="shared" si="0"/>
        <v>100</v>
      </c>
      <c r="T15" s="1573" t="s">
        <v>8</v>
      </c>
      <c r="U15" s="1574">
        <f t="shared" si="1"/>
        <v>100</v>
      </c>
      <c r="V15" s="1573" t="s">
        <v>8</v>
      </c>
      <c r="W15" s="1574">
        <f t="shared" si="2"/>
        <v>100</v>
      </c>
      <c r="X15" s="1567"/>
      <c r="Y15" s="3422"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3"/>
      <c r="Q27" s="1151" t="str">
        <f t="shared" si="11"/>
        <v>人流量</v>
      </c>
      <c r="R27" s="1568" t="s">
        <v>8</v>
      </c>
      <c r="S27" s="1569">
        <f>F27</f>
        <v>100</v>
      </c>
      <c r="T27" s="1568" t="s">
        <v>8</v>
      </c>
      <c r="U27" s="1569">
        <f>H27</f>
        <v>100</v>
      </c>
      <c r="V27" s="1568" t="s">
        <v>8</v>
      </c>
      <c r="W27" s="1569">
        <f>J27</f>
        <v>100</v>
      </c>
      <c r="X27" s="1570"/>
      <c r="Y27" s="3423"/>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4" t="s">
        <v>551</v>
      </c>
      <c r="Q32" s="1572" t="str">
        <f t="shared" si="11"/>
        <v>商业类型</v>
      </c>
      <c r="R32" s="1573" t="s">
        <v>8</v>
      </c>
      <c r="S32" s="1574">
        <f t="shared" si="12"/>
        <v>100</v>
      </c>
      <c r="T32" s="1573" t="s">
        <v>8</v>
      </c>
      <c r="U32" s="1574">
        <f t="shared" si="13"/>
        <v>100</v>
      </c>
      <c r="V32" s="1573" t="s">
        <v>8</v>
      </c>
      <c r="W32" s="1574">
        <f t="shared" si="14"/>
        <v>100</v>
      </c>
      <c r="X32" s="1567"/>
      <c r="Y32" s="3425"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5"/>
      <c r="Q37" s="1151" t="str">
        <f t="shared" si="11"/>
        <v>市政基础设施</v>
      </c>
      <c r="R37" s="1568" t="s">
        <v>8</v>
      </c>
      <c r="S37" s="1569">
        <f t="shared" si="12"/>
        <v>100</v>
      </c>
      <c r="T37" s="1568" t="s">
        <v>8</v>
      </c>
      <c r="U37" s="1569">
        <f t="shared" si="13"/>
        <v>100</v>
      </c>
      <c r="V37" s="1568" t="s">
        <v>8</v>
      </c>
      <c r="W37" s="1569">
        <f t="shared" si="14"/>
        <v>100</v>
      </c>
      <c r="X37" s="1570"/>
      <c r="Y37" s="3425"/>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5" t="s">
        <v>767</v>
      </c>
      <c r="Q38" s="1572" t="str">
        <f t="shared" si="11"/>
        <v>业态</v>
      </c>
      <c r="R38" s="1573" t="s">
        <v>8</v>
      </c>
      <c r="S38" s="1574">
        <f t="shared" si="12"/>
        <v>100</v>
      </c>
      <c r="T38" s="1573" t="s">
        <v>8</v>
      </c>
      <c r="U38" s="1574">
        <f t="shared" si="13"/>
        <v>100</v>
      </c>
      <c r="V38" s="1573" t="s">
        <v>8</v>
      </c>
      <c r="W38" s="1574">
        <f t="shared" si="14"/>
        <v>100</v>
      </c>
      <c r="X38" s="1567"/>
      <c r="Y38" s="3425"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5"/>
      <c r="Q44" s="1151">
        <f t="shared" si="11"/>
        <v>111</v>
      </c>
      <c r="R44" s="1568" t="s">
        <v>8</v>
      </c>
      <c r="S44" s="1569">
        <f t="shared" si="12"/>
        <v>100</v>
      </c>
      <c r="T44" s="1568" t="s">
        <v>8</v>
      </c>
      <c r="U44" s="1569">
        <f t="shared" si="13"/>
        <v>100</v>
      </c>
      <c r="V44" s="1568" t="s">
        <v>8</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12"/>
      <c r="L48" s="2145"/>
      <c r="M48" s="2146"/>
      <c r="N48" s="2135"/>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13"/>
      <c r="L49" s="2145"/>
      <c r="M49" s="2146"/>
      <c r="N49" s="2135"/>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94" t="s">
        <v>523</v>
      </c>
      <c r="D4" s="3395"/>
      <c r="E4" s="3428" t="s">
        <v>524</v>
      </c>
      <c r="F4" s="3429"/>
      <c r="G4" s="3394" t="s">
        <v>525</v>
      </c>
      <c r="H4" s="3395"/>
      <c r="I4" s="3394" t="s">
        <v>526</v>
      </c>
      <c r="J4" s="3395"/>
      <c r="K4" s="514" t="s">
        <v>527</v>
      </c>
      <c r="L4" s="2134"/>
      <c r="M4" s="2135"/>
      <c r="N4" s="2135"/>
      <c r="O4" s="2135"/>
      <c r="P4" s="3504"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505"/>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506"/>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1"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1" t="s">
        <v>534</v>
      </c>
      <c r="Q8" s="3420"/>
      <c r="R8" s="1568" t="s">
        <v>8</v>
      </c>
      <c r="S8" s="1569">
        <f t="shared" si="0"/>
        <v>0</v>
      </c>
      <c r="T8" s="1568" t="s">
        <v>8</v>
      </c>
      <c r="U8" s="1569">
        <f t="shared" si="1"/>
        <v>0</v>
      </c>
      <c r="V8" s="1568" t="s">
        <v>8</v>
      </c>
      <c r="W8" s="1569">
        <f t="shared" si="2"/>
        <v>0</v>
      </c>
      <c r="X8" s="1570"/>
      <c r="Y8" s="3419" t="s">
        <v>534</v>
      </c>
      <c r="Z8" s="3420"/>
      <c r="AA8" s="1571" t="e">
        <f t="shared" ref="AA8:AA47" si="3">D8/F8</f>
        <v>#DIV/0!</v>
      </c>
      <c r="AB8" s="1571" t="e">
        <f t="shared" ref="AB8:AB47" si="4">D8/H8</f>
        <v>#DIV/0!</v>
      </c>
      <c r="AC8" s="1571" t="e">
        <f t="shared" ref="AC8:AC47" si="5">D8/J8</f>
        <v>#DIV/0!</v>
      </c>
    </row>
    <row r="9" spans="1:29" s="1220" customFormat="1" ht="15">
      <c r="A9" s="2940"/>
      <c r="B9" s="2947" t="s">
        <v>2762</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71.25">
      <c r="A15" s="2936"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2" t="s">
        <v>541</v>
      </c>
      <c r="Q15" s="1572" t="str">
        <f t="shared" si="6"/>
        <v>办公集聚程度</v>
      </c>
      <c r="R15" s="1573" t="s">
        <v>8</v>
      </c>
      <c r="S15" s="1574">
        <f t="shared" si="0"/>
        <v>100</v>
      </c>
      <c r="T15" s="1573" t="s">
        <v>8</v>
      </c>
      <c r="U15" s="1574">
        <f t="shared" si="1"/>
        <v>100</v>
      </c>
      <c r="V15" s="1573" t="s">
        <v>8</v>
      </c>
      <c r="W15" s="1574">
        <f t="shared" si="2"/>
        <v>100</v>
      </c>
      <c r="X15" s="1567"/>
      <c r="Y15" s="3422"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3"/>
      <c r="Q16" s="1572"/>
      <c r="R16" s="1573"/>
      <c r="S16" s="1574"/>
      <c r="T16" s="1573"/>
      <c r="U16" s="1574"/>
      <c r="V16" s="1573"/>
      <c r="W16" s="1574"/>
      <c r="X16" s="1567"/>
      <c r="Y16" s="342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3"/>
      <c r="Q18" s="1572"/>
      <c r="R18" s="1573"/>
      <c r="S18" s="1574"/>
      <c r="T18" s="1573"/>
      <c r="U18" s="1574"/>
      <c r="V18" s="1573"/>
      <c r="W18" s="1574"/>
      <c r="X18" s="1567"/>
      <c r="Y18" s="3423"/>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3"/>
      <c r="Q20" s="1572"/>
      <c r="R20" s="1573"/>
      <c r="S20" s="1574"/>
      <c r="T20" s="1573"/>
      <c r="U20" s="1574"/>
      <c r="V20" s="1573"/>
      <c r="W20" s="1574"/>
      <c r="X20" s="1567"/>
      <c r="Y20" s="3423"/>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23"/>
      <c r="Q22" s="2604"/>
      <c r="R22" s="1573"/>
      <c r="S22" s="1574"/>
      <c r="T22" s="1573"/>
      <c r="U22" s="1574"/>
      <c r="V22" s="1573"/>
      <c r="W22" s="1574"/>
      <c r="X22" s="2606"/>
      <c r="Y22" s="3423"/>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3"/>
      <c r="Q24" s="1572"/>
      <c r="R24" s="1573"/>
      <c r="S24" s="1574"/>
      <c r="T24" s="1573"/>
      <c r="U24" s="1574"/>
      <c r="V24" s="1573"/>
      <c r="W24" s="1574"/>
      <c r="X24" s="1567"/>
      <c r="Y24" s="3423"/>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3"/>
      <c r="Q26" s="1572"/>
      <c r="R26" s="1573"/>
      <c r="S26" s="1574"/>
      <c r="T26" s="1573"/>
      <c r="U26" s="1574"/>
      <c r="V26" s="1573"/>
      <c r="W26" s="1574"/>
      <c r="X26" s="1567"/>
      <c r="Y26" s="3423"/>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3"/>
      <c r="Q28" s="1151" t="str">
        <f t="shared" si="11"/>
        <v>朝向</v>
      </c>
      <c r="R28" s="1568" t="s">
        <v>8</v>
      </c>
      <c r="S28" s="1569">
        <f>F28</f>
        <v>100</v>
      </c>
      <c r="T28" s="1568" t="s">
        <v>8</v>
      </c>
      <c r="U28" s="1569">
        <f>H28</f>
        <v>100</v>
      </c>
      <c r="V28" s="1568" t="s">
        <v>8</v>
      </c>
      <c r="W28" s="1569">
        <f>J28</f>
        <v>100</v>
      </c>
      <c r="X28" s="1570"/>
      <c r="Y28" s="342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4" t="s">
        <v>551</v>
      </c>
      <c r="Q33" s="1572" t="str">
        <f t="shared" si="11"/>
        <v>建筑类型</v>
      </c>
      <c r="R33" s="1573" t="s">
        <v>8</v>
      </c>
      <c r="S33" s="1574">
        <f t="shared" si="12"/>
        <v>100</v>
      </c>
      <c r="T33" s="1573" t="s">
        <v>8</v>
      </c>
      <c r="U33" s="1574">
        <f t="shared" si="13"/>
        <v>100</v>
      </c>
      <c r="V33" s="1573" t="s">
        <v>8</v>
      </c>
      <c r="W33" s="1574">
        <f t="shared" si="14"/>
        <v>100</v>
      </c>
      <c r="X33" s="1567"/>
      <c r="Y33" s="3425"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5"/>
      <c r="Q38" s="1151" t="str">
        <f t="shared" si="11"/>
        <v>写字楼等级</v>
      </c>
      <c r="R38" s="1568" t="s">
        <v>8</v>
      </c>
      <c r="S38" s="1569">
        <f t="shared" si="12"/>
        <v>100</v>
      </c>
      <c r="T38" s="1568" t="s">
        <v>8</v>
      </c>
      <c r="U38" s="1569">
        <f t="shared" si="13"/>
        <v>100</v>
      </c>
      <c r="V38" s="1568" t="s">
        <v>8</v>
      </c>
      <c r="W38" s="1569">
        <f t="shared" si="14"/>
        <v>100</v>
      </c>
      <c r="X38" s="1570"/>
      <c r="Y38" s="3425"/>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5" t="s">
        <v>551</v>
      </c>
      <c r="Q39" s="1572" t="str">
        <f t="shared" si="11"/>
        <v>物业管理</v>
      </c>
      <c r="R39" s="1573" t="s">
        <v>8</v>
      </c>
      <c r="S39" s="1574">
        <f t="shared" si="12"/>
        <v>100</v>
      </c>
      <c r="T39" s="1573" t="s">
        <v>8</v>
      </c>
      <c r="U39" s="1574">
        <f t="shared" si="13"/>
        <v>100</v>
      </c>
      <c r="V39" s="1573" t="s">
        <v>8</v>
      </c>
      <c r="W39" s="1574">
        <f t="shared" si="14"/>
        <v>100</v>
      </c>
      <c r="X39" s="1567"/>
      <c r="Y39" s="3425"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5"/>
      <c r="Q45" s="1151">
        <f t="shared" si="11"/>
        <v>111</v>
      </c>
      <c r="R45" s="1568" t="s">
        <v>8</v>
      </c>
      <c r="S45" s="1569">
        <f t="shared" si="12"/>
        <v>100</v>
      </c>
      <c r="T45" s="1568" t="s">
        <v>8</v>
      </c>
      <c r="U45" s="1569">
        <f t="shared" si="13"/>
        <v>100</v>
      </c>
      <c r="V45" s="1568" t="s">
        <v>8</v>
      </c>
      <c r="W45" s="1569">
        <f t="shared" si="14"/>
        <v>100</v>
      </c>
      <c r="X45" s="1570"/>
      <c r="Y45" s="342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386" t="str">
        <f>A48</f>
        <v>成交单价（元/平方米）</v>
      </c>
      <c r="Q48" s="3388"/>
      <c r="R48" s="3501">
        <f>E48</f>
        <v>0</v>
      </c>
      <c r="S48" s="3501"/>
      <c r="T48" s="3501">
        <f>G48</f>
        <v>0</v>
      </c>
      <c r="U48" s="3501"/>
      <c r="V48" s="3501">
        <f>I48</f>
        <v>0</v>
      </c>
      <c r="W48" s="3501"/>
      <c r="X48" s="1559"/>
      <c r="Y48" s="1581"/>
      <c r="Z48" s="1559"/>
      <c r="AA48" s="1559"/>
      <c r="AB48" s="1559"/>
      <c r="AC48" s="1559"/>
    </row>
    <row r="49" spans="1:29" ht="15.75" thickBot="1">
      <c r="A49" s="615" t="s">
        <v>2766</v>
      </c>
      <c r="B49" s="888"/>
      <c r="C49" s="2658" t="e">
        <f>R50</f>
        <v>#DIV/0!</v>
      </c>
      <c r="D49" s="2659"/>
      <c r="E49" s="2660" t="e">
        <f>R49</f>
        <v>#DIV/0!</v>
      </c>
      <c r="F49" s="2660"/>
      <c r="G49" s="2658" t="e">
        <f>T49</f>
        <v>#DIV/0!</v>
      </c>
      <c r="H49" s="2659"/>
      <c r="I49" s="2660" t="e">
        <f>V49</f>
        <v>#DIV/0!</v>
      </c>
      <c r="J49" s="2659"/>
      <c r="K49" s="1612"/>
      <c r="L49" s="2145"/>
      <c r="M49" s="2135"/>
      <c r="N49" s="2135"/>
      <c r="O49" s="2135"/>
      <c r="P49" s="3386" t="str">
        <f>A49</f>
        <v>比较价格（元/平方米）</v>
      </c>
      <c r="Q49" s="3388"/>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1" t="s">
        <v>2939</v>
      </c>
      <c r="B50" s="622"/>
      <c r="C50" s="2661" t="e">
        <f>R50</f>
        <v>#DIV/0!</v>
      </c>
      <c r="D50" s="2661"/>
      <c r="E50" s="2661"/>
      <c r="F50" s="2661"/>
      <c r="G50" s="2661"/>
      <c r="H50" s="2661"/>
      <c r="I50" s="2661"/>
      <c r="J50" s="2661"/>
      <c r="K50" s="1613"/>
      <c r="L50" s="2145"/>
      <c r="M50" s="2135"/>
      <c r="N50" s="2135"/>
      <c r="O50" s="2135"/>
      <c r="P50" s="3503" t="str">
        <f>A50</f>
        <v>估价对象XX用房的比较价格（楼面单价，元/平方米）</v>
      </c>
      <c r="Q50" s="3386"/>
      <c r="R50" s="3500" t="e">
        <f>IF(F1="售价",ROUND(AVERAGE(R49:V49),0),ROUND(AVERAGE(R49:V49),1))</f>
        <v>#DIV/0!</v>
      </c>
      <c r="S50" s="3500"/>
      <c r="T50" s="3500"/>
      <c r="U50" s="3500"/>
      <c r="V50" s="3500"/>
      <c r="W50" s="350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2"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0" si="3">D8/F8</f>
        <v>#DIV/0!</v>
      </c>
      <c r="AB8" s="1571" t="e">
        <f t="shared" ref="AB8:AB40" si="4">D8/H8</f>
        <v>#DIV/0!</v>
      </c>
      <c r="AC8" s="1571" t="e">
        <f t="shared" ref="AC8:AC40" si="5">D8/J8</f>
        <v>#DIV/0!</v>
      </c>
    </row>
    <row r="9" spans="1:29" s="1220" customFormat="1" ht="15">
      <c r="A9" s="2940"/>
      <c r="B9" s="2947" t="s">
        <v>2762</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57">
      <c r="A15" s="2936"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2" t="s">
        <v>541</v>
      </c>
      <c r="Q15" s="1572" t="str">
        <f t="shared" si="6"/>
        <v>产业集聚程度</v>
      </c>
      <c r="R15" s="1573" t="s">
        <v>8</v>
      </c>
      <c r="S15" s="1574">
        <f t="shared" si="0"/>
        <v>100</v>
      </c>
      <c r="T15" s="1573" t="s">
        <v>8</v>
      </c>
      <c r="U15" s="1574">
        <f t="shared" si="1"/>
        <v>100</v>
      </c>
      <c r="V15" s="1573" t="s">
        <v>8</v>
      </c>
      <c r="W15" s="1574">
        <f t="shared" si="2"/>
        <v>100</v>
      </c>
      <c r="X15" s="1567"/>
      <c r="Y15" s="3422"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3"/>
      <c r="Q27" s="1151">
        <f t="shared" si="11"/>
        <v>111</v>
      </c>
      <c r="R27" s="1568" t="s">
        <v>8</v>
      </c>
      <c r="S27" s="1569">
        <f>F27</f>
        <v>100</v>
      </c>
      <c r="T27" s="1568" t="s">
        <v>8</v>
      </c>
      <c r="U27" s="1569">
        <f>H27</f>
        <v>100</v>
      </c>
      <c r="V27" s="1568" t="s">
        <v>8</v>
      </c>
      <c r="W27" s="1569">
        <f>J27</f>
        <v>100</v>
      </c>
      <c r="X27" s="1570"/>
      <c r="Y27" s="342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4" t="s">
        <v>551</v>
      </c>
      <c r="Q29" s="1572" t="str">
        <f t="shared" si="11"/>
        <v>建筑类型</v>
      </c>
      <c r="R29" s="1573" t="s">
        <v>8</v>
      </c>
      <c r="S29" s="1574">
        <f t="shared" si="12"/>
        <v>100</v>
      </c>
      <c r="T29" s="1573" t="s">
        <v>8</v>
      </c>
      <c r="U29" s="1574">
        <f t="shared" si="13"/>
        <v>100</v>
      </c>
      <c r="V29" s="1573" t="s">
        <v>8</v>
      </c>
      <c r="W29" s="1574">
        <f t="shared" si="14"/>
        <v>100</v>
      </c>
      <c r="X29" s="1567"/>
      <c r="Y29" s="3425"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5"/>
      <c r="Q34" s="1151" t="str">
        <f t="shared" si="11"/>
        <v>物业管理</v>
      </c>
      <c r="R34" s="1568" t="s">
        <v>8</v>
      </c>
      <c r="S34" s="1569">
        <f t="shared" si="12"/>
        <v>100</v>
      </c>
      <c r="T34" s="1568" t="s">
        <v>8</v>
      </c>
      <c r="U34" s="1569">
        <f t="shared" si="13"/>
        <v>100</v>
      </c>
      <c r="V34" s="1568" t="s">
        <v>8</v>
      </c>
      <c r="W34" s="1569">
        <f t="shared" si="14"/>
        <v>100</v>
      </c>
      <c r="X34" s="1570"/>
      <c r="Y34" s="3425"/>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5" t="s">
        <v>551</v>
      </c>
      <c r="Q35" s="1572" t="str">
        <f t="shared" si="11"/>
        <v>市政基础设施</v>
      </c>
      <c r="R35" s="1573" t="s">
        <v>8</v>
      </c>
      <c r="S35" s="1574">
        <f t="shared" si="12"/>
        <v>100</v>
      </c>
      <c r="T35" s="1573" t="s">
        <v>8</v>
      </c>
      <c r="U35" s="1574">
        <f t="shared" si="13"/>
        <v>100</v>
      </c>
      <c r="V35" s="1573" t="s">
        <v>8</v>
      </c>
      <c r="W35" s="1574">
        <f t="shared" si="14"/>
        <v>100</v>
      </c>
      <c r="X35" s="1567"/>
      <c r="Y35" s="3425"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88" t="str">
        <f>A41</f>
        <v>成交单价（元/平方米）</v>
      </c>
      <c r="Q41" s="3388"/>
      <c r="R41" s="3501">
        <f>E41</f>
        <v>0</v>
      </c>
      <c r="S41" s="3501"/>
      <c r="T41" s="3501">
        <f>G41</f>
        <v>0</v>
      </c>
      <c r="U41" s="3501"/>
      <c r="V41" s="3501">
        <f>I41</f>
        <v>0</v>
      </c>
      <c r="W41" s="3501"/>
      <c r="X41" s="1559"/>
      <c r="Y41" s="1581"/>
      <c r="Z41" s="1559"/>
      <c r="AA41" s="1559"/>
      <c r="AB41" s="1559"/>
      <c r="AC41" s="1559"/>
    </row>
    <row r="42" spans="1:29" ht="15.75" thickBot="1">
      <c r="A42" s="615" t="s">
        <v>2766</v>
      </c>
      <c r="B42" s="888"/>
      <c r="C42" s="2658" t="e">
        <f>R43</f>
        <v>#DIV/0!</v>
      </c>
      <c r="D42" s="2659"/>
      <c r="E42" s="2660" t="e">
        <f>R42</f>
        <v>#DIV/0!</v>
      </c>
      <c r="F42" s="2660"/>
      <c r="G42" s="2658" t="e">
        <f>T42</f>
        <v>#DIV/0!</v>
      </c>
      <c r="H42" s="2659"/>
      <c r="I42" s="2660" t="e">
        <f>V42</f>
        <v>#DIV/0!</v>
      </c>
      <c r="J42" s="2659"/>
      <c r="K42" s="1612"/>
      <c r="L42" s="2145"/>
      <c r="M42" s="2146"/>
      <c r="N42" s="2135"/>
      <c r="O42" s="2146"/>
      <c r="P42" s="3388" t="str">
        <f>A42</f>
        <v>比较价格（元/平方米）</v>
      </c>
      <c r="Q42" s="3388"/>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1" t="s">
        <v>2939</v>
      </c>
      <c r="B43" s="622"/>
      <c r="C43" s="2661" t="e">
        <f>R43</f>
        <v>#DIV/0!</v>
      </c>
      <c r="D43" s="2661"/>
      <c r="E43" s="2661"/>
      <c r="F43" s="2661"/>
      <c r="G43" s="2661"/>
      <c r="H43" s="2661"/>
      <c r="I43" s="2661"/>
      <c r="J43" s="2661"/>
      <c r="K43" s="1613"/>
      <c r="L43" s="2145"/>
      <c r="M43" s="2146"/>
      <c r="N43" s="2146"/>
      <c r="O43" s="2146"/>
      <c r="P43" s="3385" t="str">
        <f>A43</f>
        <v>估价对象XX用房的比较价格（楼面单价，元/平方米）</v>
      </c>
      <c r="Q43" s="3386"/>
      <c r="R43" s="3500" t="e">
        <f>IF(F1="售价",ROUND(AVERAGE(R42:V42),0),ROUND(AVERAGE(R42:V42),1))</f>
        <v>#DIV/0!</v>
      </c>
      <c r="S43" s="3500"/>
      <c r="T43" s="3500"/>
      <c r="U43" s="3500"/>
      <c r="V43" s="3500"/>
      <c r="W43" s="350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394" t="s">
        <v>800</v>
      </c>
      <c r="F4" s="3395"/>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2933</v>
      </c>
      <c r="D5" s="3411"/>
      <c r="E5" s="3410" t="s">
        <v>2934</v>
      </c>
      <c r="F5" s="341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12" t="s">
        <v>2937</v>
      </c>
      <c r="F6" s="3413"/>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6" si="3">D8/F8</f>
        <v>#DIV/0!</v>
      </c>
      <c r="AB8" s="1571" t="e">
        <f t="shared" ref="AB8:AB36" si="4">D8/H8</f>
        <v>#DIV/0!</v>
      </c>
      <c r="AC8" s="1571" t="e">
        <f t="shared" ref="AC8:AC36" si="5">D8/J8</f>
        <v>#DIV/0!</v>
      </c>
    </row>
    <row r="9" spans="1:29" s="1220" customFormat="1" ht="15">
      <c r="A9" s="2940"/>
      <c r="B9" s="2947" t="s">
        <v>2762</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30"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0"/>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85.5">
      <c r="A14" s="2936"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4"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5"/>
      <c r="Q31" s="1151" t="str">
        <f t="shared" si="11"/>
        <v>停车位面积</v>
      </c>
      <c r="R31" s="1568" t="s">
        <v>8</v>
      </c>
      <c r="S31" s="1569" t="e">
        <f t="shared" si="12"/>
        <v>#N/A</v>
      </c>
      <c r="T31" s="1568" t="s">
        <v>8</v>
      </c>
      <c r="U31" s="1569" t="e">
        <f t="shared" si="13"/>
        <v>#N/A</v>
      </c>
      <c r="V31" s="1568" t="s">
        <v>8</v>
      </c>
      <c r="W31" s="1569" t="e">
        <f t="shared" si="14"/>
        <v>#N/A</v>
      </c>
      <c r="X31" s="1570"/>
      <c r="Y31" s="3425"/>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5" t="s">
        <v>551</v>
      </c>
      <c r="Q32" s="1572" t="str">
        <f t="shared" si="11"/>
        <v>车位类型</v>
      </c>
      <c r="R32" s="1573" t="s">
        <v>8</v>
      </c>
      <c r="S32" s="1574">
        <f t="shared" si="12"/>
        <v>100</v>
      </c>
      <c r="T32" s="1573" t="s">
        <v>8</v>
      </c>
      <c r="U32" s="1574">
        <f t="shared" si="13"/>
        <v>100</v>
      </c>
      <c r="V32" s="1573" t="s">
        <v>8</v>
      </c>
      <c r="W32" s="1574">
        <f t="shared" si="14"/>
        <v>100</v>
      </c>
      <c r="X32" s="1567"/>
      <c r="Y32" s="3425"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88" t="str">
        <f>A37</f>
        <v>成交单价</v>
      </c>
      <c r="Q37" s="3388"/>
      <c r="R37" s="3501">
        <f>E37</f>
        <v>0</v>
      </c>
      <c r="S37" s="3501"/>
      <c r="T37" s="3501">
        <f>G37</f>
        <v>0</v>
      </c>
      <c r="U37" s="3501"/>
      <c r="V37" s="3501">
        <f>I37</f>
        <v>0</v>
      </c>
      <c r="W37" s="3501"/>
      <c r="X37" s="1559"/>
      <c r="Y37" s="1581"/>
      <c r="Z37" s="1559"/>
      <c r="AA37" s="1559"/>
      <c r="AB37" s="1559"/>
      <c r="AC37" s="1559"/>
    </row>
    <row r="38" spans="1:29" ht="15.75" thickBot="1">
      <c r="A38" s="615" t="s">
        <v>2766</v>
      </c>
      <c r="B38" s="888"/>
      <c r="C38" s="2658" t="e">
        <f>R39</f>
        <v>#DIV/0!</v>
      </c>
      <c r="D38" s="2659"/>
      <c r="E38" s="2660" t="e">
        <f>R38</f>
        <v>#DIV/0!</v>
      </c>
      <c r="F38" s="2660"/>
      <c r="G38" s="2658" t="e">
        <f>T38</f>
        <v>#DIV/0!</v>
      </c>
      <c r="H38" s="2659"/>
      <c r="I38" s="2660" t="e">
        <f>V38</f>
        <v>#DIV/0!</v>
      </c>
      <c r="J38" s="2659"/>
      <c r="K38" s="1612"/>
      <c r="L38" s="2145"/>
      <c r="M38" s="2146"/>
      <c r="N38" s="2146"/>
      <c r="O38" s="2146"/>
      <c r="P38" s="3388" t="str">
        <f>A38</f>
        <v>比较价格（元/平方米）</v>
      </c>
      <c r="Q38" s="3388"/>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1" t="s">
        <v>2939</v>
      </c>
      <c r="B39" s="622"/>
      <c r="C39" s="2661" t="e">
        <f>R39</f>
        <v>#DIV/0!</v>
      </c>
      <c r="D39" s="2661"/>
      <c r="E39" s="2661"/>
      <c r="F39" s="2661"/>
      <c r="G39" s="2661"/>
      <c r="H39" s="2661"/>
      <c r="I39" s="2661"/>
      <c r="J39" s="2661"/>
      <c r="K39" s="1613"/>
      <c r="L39" s="2145"/>
      <c r="M39" s="2146"/>
      <c r="N39" s="2146"/>
      <c r="O39" s="2146"/>
      <c r="P39" s="3385" t="str">
        <f>A39</f>
        <v>估价对象XX用房的比较价格（楼面单价，元/平方米）</v>
      </c>
      <c r="Q39" s="3386"/>
      <c r="R39" s="3500" t="e">
        <f>IF(F1="售价",ROUND(AVERAGE(R38:V38),0),ROUND(AVERAGE(R38:V38),1))</f>
        <v>#DIV/0!</v>
      </c>
      <c r="S39" s="3500"/>
      <c r="T39" s="3500"/>
      <c r="U39" s="3500"/>
      <c r="V39" s="3500"/>
      <c r="W39" s="350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428" t="s">
        <v>800</v>
      </c>
      <c r="F4" s="3429"/>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4" si="3">D8/F8</f>
        <v>#DIV/0!</v>
      </c>
      <c r="AB8" s="1571" t="e">
        <f t="shared" ref="AB8:AB34" si="4">D8/H8</f>
        <v>#DIV/0!</v>
      </c>
      <c r="AC8" s="1571" t="e">
        <f t="shared" ref="AC8:AC34" si="5">D8/J8</f>
        <v>#DIV/0!</v>
      </c>
    </row>
    <row r="9" spans="1:29" s="1220" customFormat="1" ht="15">
      <c r="A9" s="2940"/>
      <c r="B9" s="2947" t="s">
        <v>2762</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30"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0"/>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85.5">
      <c r="A14" s="2936"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4"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5"/>
      <c r="Q31" s="1151" t="str">
        <f t="shared" si="11"/>
        <v>是否封闭</v>
      </c>
      <c r="R31" s="1568" t="s">
        <v>8</v>
      </c>
      <c r="S31" s="1569">
        <f t="shared" si="12"/>
        <v>100</v>
      </c>
      <c r="T31" s="1568" t="s">
        <v>8</v>
      </c>
      <c r="U31" s="1569">
        <f t="shared" si="13"/>
        <v>100</v>
      </c>
      <c r="V31" s="1568" t="s">
        <v>8</v>
      </c>
      <c r="W31" s="1569">
        <f t="shared" si="14"/>
        <v>100</v>
      </c>
      <c r="X31" s="1570"/>
      <c r="Y31" s="342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5" t="s">
        <v>551</v>
      </c>
      <c r="Q32" s="1572">
        <f t="shared" si="11"/>
        <v>111</v>
      </c>
      <c r="R32" s="1573" t="s">
        <v>8</v>
      </c>
      <c r="S32" s="1574">
        <f t="shared" si="12"/>
        <v>100</v>
      </c>
      <c r="T32" s="1573" t="s">
        <v>8</v>
      </c>
      <c r="U32" s="1574">
        <f t="shared" si="13"/>
        <v>100</v>
      </c>
      <c r="V32" s="1573" t="s">
        <v>8</v>
      </c>
      <c r="W32" s="1574">
        <f t="shared" si="14"/>
        <v>100</v>
      </c>
      <c r="X32" s="1567"/>
      <c r="Y32" s="3425"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88" t="str">
        <f>A35</f>
        <v>成交单价（元/平方米）</v>
      </c>
      <c r="Q35" s="3388"/>
      <c r="R35" s="3501">
        <f>E35</f>
        <v>0</v>
      </c>
      <c r="S35" s="3501"/>
      <c r="T35" s="3501">
        <f>G35</f>
        <v>0</v>
      </c>
      <c r="U35" s="3501"/>
      <c r="V35" s="3501">
        <f>I35</f>
        <v>0</v>
      </c>
      <c r="W35" s="3501"/>
      <c r="X35" s="1559"/>
      <c r="Y35" s="1581"/>
      <c r="Z35" s="1559"/>
      <c r="AA35" s="1559"/>
      <c r="AB35" s="1559"/>
      <c r="AC35" s="1559"/>
    </row>
    <row r="36" spans="1:29" ht="15.75" thickBot="1">
      <c r="A36" s="615" t="s">
        <v>2766</v>
      </c>
      <c r="B36" s="888"/>
      <c r="C36" s="2658" t="e">
        <f>R37</f>
        <v>#DIV/0!</v>
      </c>
      <c r="D36" s="2659"/>
      <c r="E36" s="2660" t="e">
        <f>R36</f>
        <v>#DIV/0!</v>
      </c>
      <c r="F36" s="2660"/>
      <c r="G36" s="2658" t="e">
        <f>T36</f>
        <v>#DIV/0!</v>
      </c>
      <c r="H36" s="2659"/>
      <c r="I36" s="2660" t="e">
        <f>V36</f>
        <v>#DIV/0!</v>
      </c>
      <c r="J36" s="2659"/>
      <c r="K36" s="1612"/>
      <c r="L36" s="2145"/>
      <c r="M36" s="2146"/>
      <c r="N36" s="2135"/>
      <c r="O36" s="2146"/>
      <c r="P36" s="3388" t="str">
        <f>A36</f>
        <v>比较价格（元/平方米）</v>
      </c>
      <c r="Q36" s="3388"/>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1" t="s">
        <v>2939</v>
      </c>
      <c r="B37" s="622"/>
      <c r="C37" s="2661" t="e">
        <f>R37</f>
        <v>#DIV/0!</v>
      </c>
      <c r="D37" s="2661"/>
      <c r="E37" s="2661"/>
      <c r="F37" s="2661"/>
      <c r="G37" s="2661"/>
      <c r="H37" s="2661"/>
      <c r="I37" s="2661"/>
      <c r="J37" s="2661"/>
      <c r="K37" s="1613"/>
      <c r="L37" s="2145"/>
      <c r="M37" s="2146"/>
      <c r="N37" s="2146"/>
      <c r="O37" s="2146"/>
      <c r="P37" s="3385" t="str">
        <f>A37</f>
        <v>估价对象XX用房的比较价格（楼面单价，元/平方米）</v>
      </c>
      <c r="Q37" s="3386"/>
      <c r="R37" s="3500" t="e">
        <f>IF(F1="售价",ROUND(AVERAGE(R36:V36),0),ROUND(AVERAGE(R36:V36),1))</f>
        <v>#DIV/0!</v>
      </c>
      <c r="S37" s="3500"/>
      <c r="T37" s="3500"/>
      <c r="U37" s="3500"/>
      <c r="V37" s="3500"/>
      <c r="W37" s="350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10" t="s">
        <v>2306</v>
      </c>
      <c r="D1" s="3511"/>
      <c r="E1" s="3511"/>
      <c r="F1" s="3511"/>
      <c r="G1" s="3511"/>
      <c r="H1" s="3511"/>
      <c r="I1" s="3511"/>
      <c r="J1" s="3511"/>
      <c r="K1" s="3511"/>
      <c r="L1" s="3511"/>
      <c r="M1" s="3511"/>
      <c r="N1" s="3511"/>
      <c r="O1" s="3511"/>
      <c r="P1" s="3511"/>
      <c r="Q1" s="3511"/>
      <c r="R1" s="3511"/>
      <c r="S1" s="3512"/>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2.5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3164</v>
      </c>
      <c r="D1" s="3157" t="s">
        <v>3063</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884</v>
      </c>
      <c r="C2" s="2058"/>
      <c r="D2" s="2056"/>
      <c r="E2" s="2057"/>
      <c r="F2" s="2057"/>
      <c r="G2" s="1590"/>
      <c r="H2" s="2058"/>
      <c r="I2" s="2058"/>
      <c r="J2" s="2058"/>
      <c r="K2" s="2059"/>
      <c r="L2" s="2058"/>
      <c r="M2" s="2058"/>
    </row>
    <row r="3" spans="1:33" ht="18" customHeight="1" thickBot="1">
      <c r="A3" s="833" t="s">
        <v>1729</v>
      </c>
      <c r="B3" s="834">
        <f ca="1">IF(ISERROR(B2*10000/F43),0,ROUND(B2*10000/F43,0))</f>
        <v>4312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67</v>
      </c>
      <c r="D6" s="2522" t="s">
        <v>2466</v>
      </c>
      <c r="E6" s="784" t="s">
        <v>1740</v>
      </c>
      <c r="F6" s="785">
        <f ca="1">INDIRECT("'数据-取费表'!u"&amp;$G$1)</f>
        <v>1</v>
      </c>
      <c r="G6" s="1592"/>
      <c r="H6" s="2529" t="s">
        <v>1826</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2049.86</v>
      </c>
      <c r="G7" s="1592"/>
      <c r="H7" s="2514"/>
      <c r="I7" s="3462"/>
      <c r="J7" s="788"/>
      <c r="K7" s="789"/>
      <c r="L7" s="784" t="s">
        <v>1741</v>
      </c>
      <c r="M7" s="785">
        <f ca="1">F7</f>
        <v>2049.86</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667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451</v>
      </c>
      <c r="D14" s="3192" t="s">
        <v>1747</v>
      </c>
      <c r="E14" s="3193"/>
      <c r="F14" s="805"/>
      <c r="G14" s="1592"/>
      <c r="H14" s="1649" t="s">
        <v>1826</v>
      </c>
      <c r="I14" s="2232" t="s">
        <v>2830</v>
      </c>
      <c r="J14" s="53">
        <f ca="1">C29</f>
        <v>667</v>
      </c>
      <c r="K14" s="26"/>
      <c r="L14" s="801"/>
      <c r="M14" s="802"/>
    </row>
    <row r="15" spans="1:33" s="2065" customFormat="1" ht="18" customHeight="1" thickBot="1">
      <c r="A15" s="1648" t="s">
        <v>1834</v>
      </c>
      <c r="B15" s="784" t="s">
        <v>648</v>
      </c>
      <c r="C15" s="53">
        <f ca="1">ROUND(C14*F15,0)</f>
        <v>18</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16</v>
      </c>
      <c r="K16" s="1822" t="s">
        <v>1752</v>
      </c>
      <c r="L16" s="3194"/>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2" t="s">
        <v>1755</v>
      </c>
      <c r="L17" s="319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521</v>
      </c>
      <c r="D19" s="261" t="s">
        <v>1759</v>
      </c>
      <c r="E19" s="3196"/>
      <c r="F19" s="56"/>
      <c r="G19" s="1592"/>
      <c r="H19" s="1648" t="s">
        <v>1834</v>
      </c>
      <c r="I19" s="784" t="s">
        <v>1760</v>
      </c>
      <c r="J19" s="53">
        <f ca="1">IF(K19="按租金收入计税",ROUND(J5*M19,1),ROUND(C29*F33*0.7,1))</f>
        <v>5.6</v>
      </c>
      <c r="K19" s="811" t="s">
        <v>666</v>
      </c>
      <c r="L19" s="784" t="s">
        <v>1749</v>
      </c>
      <c r="M19" s="809">
        <f>IF(K19="按租金收入计税",'数据-取费表'!B51,'数据-取费表'!B50)</f>
        <v>1.2E-2</v>
      </c>
    </row>
    <row r="20" spans="1:33" s="2065" customFormat="1" ht="18" customHeight="1">
      <c r="A20" s="1649" t="s">
        <v>1891</v>
      </c>
      <c r="B20" s="784" t="s">
        <v>667</v>
      </c>
      <c r="C20" s="53">
        <f ca="1">ROUND(C19*F20,0)</f>
        <v>10</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6"/>
      <c r="F22" s="56"/>
      <c r="G22" s="1592"/>
      <c r="H22" s="1649" t="s">
        <v>1891</v>
      </c>
      <c r="I22" s="784" t="s">
        <v>1770</v>
      </c>
      <c r="J22" s="53">
        <f ca="1">ROUND(J14*M22,0)</f>
        <v>10</v>
      </c>
      <c r="K22" s="319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32</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6"/>
      <c r="F25" s="56"/>
      <c r="G25" s="1592"/>
      <c r="H25" s="1830" t="s">
        <v>1778</v>
      </c>
      <c r="I25" s="3036" t="s">
        <v>2827</v>
      </c>
      <c r="J25" s="792">
        <f ca="1">J5-J16</f>
        <v>-16</v>
      </c>
      <c r="K25" s="2573" t="s">
        <v>1779</v>
      </c>
      <c r="L25" s="2574"/>
      <c r="M25" s="2575"/>
    </row>
    <row r="26" spans="1:33" ht="18" customHeight="1">
      <c r="A26" s="1648" t="s">
        <v>1833</v>
      </c>
      <c r="B26" s="784" t="s">
        <v>2441</v>
      </c>
      <c r="C26" s="53">
        <f ca="1">ROUND((C19+C20)*F26,0)</f>
        <v>53</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667</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21</v>
      </c>
      <c r="D30" s="1822" t="s">
        <v>1793</v>
      </c>
      <c r="E30" s="3194"/>
      <c r="F30" s="2516"/>
      <c r="G30" s="2063"/>
      <c r="H30" s="2066"/>
      <c r="I30" s="2067"/>
      <c r="J30" s="2068"/>
      <c r="K30" s="2069"/>
      <c r="L30" s="2070"/>
      <c r="M30" s="2071"/>
    </row>
    <row r="31" spans="1:33" ht="18" customHeight="1">
      <c r="A31" s="1649" t="s">
        <v>1826</v>
      </c>
      <c r="B31" s="784" t="s">
        <v>657</v>
      </c>
      <c r="C31" s="53">
        <f ca="1">ROUND(IF(项目基本情况!B11="自然人",C5*F31,C32+C33+C34),1)</f>
        <v>9.3000000000000007</v>
      </c>
      <c r="D31" s="3192" t="s">
        <v>1755</v>
      </c>
      <c r="E31" s="319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1"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5.6</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53</v>
      </c>
      <c r="K35" s="2079"/>
      <c r="L35" s="2078"/>
      <c r="M35" s="2078"/>
    </row>
    <row r="36" spans="1:18" ht="18" customHeight="1">
      <c r="A36" s="1649" t="s">
        <v>1891</v>
      </c>
      <c r="B36" s="784" t="s">
        <v>1770</v>
      </c>
      <c r="C36" s="53">
        <f ca="1">ROUND(C29*F36,1)</f>
        <v>10</v>
      </c>
      <c r="D36" s="3191"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v>
      </c>
      <c r="D37" s="3191"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46</v>
      </c>
      <c r="D39" s="2573" t="s">
        <v>1779</v>
      </c>
      <c r="E39" s="2574"/>
      <c r="F39" s="2575"/>
      <c r="G39" s="2063"/>
      <c r="H39" s="2078"/>
      <c r="I39" s="837" t="s">
        <v>1820</v>
      </c>
      <c r="J39" s="845">
        <f ca="1">ROUND(J35/C39,3)</f>
        <v>1.1519999999999999</v>
      </c>
      <c r="K39" s="2084"/>
      <c r="L39" s="2078"/>
      <c r="M39" s="2078"/>
    </row>
    <row r="40" spans="1:18" ht="18" customHeight="1">
      <c r="A40" s="781" t="s">
        <v>1782</v>
      </c>
      <c r="B40" s="2233" t="s">
        <v>2303</v>
      </c>
      <c r="C40" s="783">
        <f ca="1">ROUND(C39*(1-((1+F42)/(1+F40))^F41)/(F40-F42),0)</f>
        <v>884</v>
      </c>
      <c r="D40" s="814" t="s">
        <v>1783</v>
      </c>
      <c r="E40" s="784" t="s">
        <v>2422</v>
      </c>
      <c r="F40" s="794">
        <f ca="1">INDIRECT("'数据-取费表'!I"&amp;$G$1)</f>
        <v>4.4999999999999998E-2</v>
      </c>
      <c r="G40" s="2063"/>
      <c r="H40" s="2063"/>
      <c r="I40" s="837" t="s">
        <v>1821</v>
      </c>
      <c r="J40" s="845">
        <f ca="1">1-J39</f>
        <v>-0.15199999999999991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0.755</v>
      </c>
      <c r="K42" s="2083"/>
      <c r="L42" s="1989"/>
      <c r="M42" s="1989"/>
    </row>
    <row r="43" spans="1:18" ht="18" customHeight="1" thickBot="1">
      <c r="A43" s="823" t="s">
        <v>1789</v>
      </c>
      <c r="B43" s="824" t="s">
        <v>1812</v>
      </c>
      <c r="C43" s="825">
        <f ca="1">ROUND(C40*10000/F43,0)</f>
        <v>4312</v>
      </c>
      <c r="D43" s="826" t="s">
        <v>1813</v>
      </c>
      <c r="E43" s="827" t="s">
        <v>1814</v>
      </c>
      <c r="F43" s="828">
        <f ca="1">INDIRECT("'数据-取费表'!k"&amp;$G$1)</f>
        <v>2049.86</v>
      </c>
      <c r="G43" s="2063"/>
      <c r="H43" s="1989"/>
      <c r="I43" s="847" t="s">
        <v>1824</v>
      </c>
      <c r="J43" s="848">
        <f ca="1">1-J42</f>
        <v>0.245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-1211</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884</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667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-156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884</v>
      </c>
      <c r="R54" s="2428" t="s">
        <v>2395</v>
      </c>
    </row>
    <row r="55" spans="1:18" s="2060" customFormat="1" ht="18" customHeight="1" thickTop="1" thickBot="1">
      <c r="A55" s="797">
        <v>2</v>
      </c>
      <c r="B55" s="798" t="s">
        <v>645</v>
      </c>
      <c r="C55" s="799">
        <f ca="1">C13</f>
        <v>667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667</v>
      </c>
      <c r="D56" s="319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17</v>
      </c>
      <c r="D57" s="26" t="s">
        <v>1752</v>
      </c>
      <c r="E57" s="319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884</v>
      </c>
      <c r="R57" s="2424" t="s">
        <v>2383</v>
      </c>
    </row>
    <row r="58" spans="1:18" s="2060" customFormat="1" ht="28.5" customHeight="1" thickBot="1">
      <c r="A58" s="1649" t="s">
        <v>1826</v>
      </c>
      <c r="B58" s="784" t="s">
        <v>657</v>
      </c>
      <c r="C58" s="53">
        <f ca="1">ROUND(IF(项目基本情况!B11="自然人",C47*F58,C59+C60+C61),1)</f>
        <v>5.7</v>
      </c>
      <c r="D58" s="3192" t="s">
        <v>658</v>
      </c>
      <c r="E58" s="319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5.6</v>
      </c>
      <c r="D60" s="319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v>
      </c>
      <c r="D63" s="3191" t="s">
        <v>1805</v>
      </c>
      <c r="E63" s="784" t="s">
        <v>1749</v>
      </c>
      <c r="F63" s="817">
        <f t="shared" ca="1" si="0"/>
        <v>1.4999999999999999E-2</v>
      </c>
      <c r="I63" s="2410" t="s">
        <v>2373</v>
      </c>
      <c r="J63" s="2411">
        <v>70</v>
      </c>
      <c r="K63" s="2411">
        <v>50</v>
      </c>
      <c r="L63" s="2411">
        <v>80</v>
      </c>
      <c r="M63" s="3131">
        <v>0.02</v>
      </c>
      <c r="O63" s="2423" t="s">
        <v>2394</v>
      </c>
      <c r="P63" s="2424" t="s">
        <v>2411</v>
      </c>
      <c r="Q63" s="2425">
        <f ca="1">Q57+Q58</f>
        <v>884</v>
      </c>
      <c r="R63" s="2428" t="s">
        <v>2395</v>
      </c>
    </row>
    <row r="64" spans="1:18" s="2060" customFormat="1" ht="16.5" thickBot="1">
      <c r="A64" s="1649" t="s">
        <v>1892</v>
      </c>
      <c r="B64" s="784" t="s">
        <v>680</v>
      </c>
      <c r="C64" s="53">
        <f ca="1">ROUND(C55*F64,1)</f>
        <v>1</v>
      </c>
      <c r="D64" s="319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-17</v>
      </c>
      <c r="D66" s="3192" t="s">
        <v>701</v>
      </c>
      <c r="E66" s="3195"/>
      <c r="F66" s="820"/>
      <c r="K66" s="2087"/>
      <c r="O66" s="2423" t="s">
        <v>2382</v>
      </c>
      <c r="P66" s="2424" t="s">
        <v>2408</v>
      </c>
      <c r="Q66" s="2425">
        <f ca="1">C40+J29</f>
        <v>884</v>
      </c>
      <c r="R66" s="2424" t="s">
        <v>2383</v>
      </c>
    </row>
    <row r="67" spans="1:18" s="2060" customFormat="1" ht="20.25" thickBot="1">
      <c r="A67" s="781" t="s">
        <v>1782</v>
      </c>
      <c r="B67" s="2233" t="s">
        <v>2303</v>
      </c>
      <c r="C67" s="783">
        <f ca="1">ROUND(C66*(1-((1+F69)/(1+F67))^F68)/(F67-F69),0)</f>
        <v>-327</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-156</v>
      </c>
      <c r="R68" s="2431" t="s">
        <v>2419</v>
      </c>
    </row>
    <row r="69" spans="1:18" ht="20.25" thickBot="1">
      <c r="A69" s="790"/>
      <c r="B69" s="791"/>
      <c r="C69" s="792"/>
      <c r="D69" s="816"/>
      <c r="E69" s="784" t="s">
        <v>711</v>
      </c>
      <c r="F69" s="2372"/>
      <c r="O69" s="2426" t="s">
        <v>2387</v>
      </c>
      <c r="P69" s="2432" t="s">
        <v>2401</v>
      </c>
      <c r="Q69" s="2425">
        <f ca="1">ROUND(Q70-Q71*Q72,0)</f>
        <v>-7</v>
      </c>
      <c r="R69" s="2428"/>
    </row>
    <row r="70" spans="1:18" ht="15.75" thickBot="1">
      <c r="A70" s="823" t="s">
        <v>1789</v>
      </c>
      <c r="B70" s="824" t="s">
        <v>1812</v>
      </c>
      <c r="C70" s="825">
        <f ca="1">ROUND(C67*10000/F70,0)</f>
        <v>-1595</v>
      </c>
      <c r="D70" s="826" t="s">
        <v>1813</v>
      </c>
      <c r="E70" s="827" t="s">
        <v>1814</v>
      </c>
      <c r="F70" s="828">
        <f ca="1">F43</f>
        <v>2049.86</v>
      </c>
      <c r="O70" s="2426" t="s">
        <v>2402</v>
      </c>
      <c r="P70" s="2432" t="s">
        <v>2403</v>
      </c>
      <c r="Q70" s="2425">
        <f ca="1">C39</f>
        <v>46</v>
      </c>
      <c r="R70" s="2424" t="s">
        <v>2383</v>
      </c>
    </row>
    <row r="71" spans="1:18" ht="15.75" thickBot="1">
      <c r="O71" s="2426" t="s">
        <v>2404</v>
      </c>
      <c r="P71" s="2432" t="s">
        <v>2405</v>
      </c>
      <c r="Q71" s="2425">
        <f ca="1">C13</f>
        <v>667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884</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24" sqref="I24"/>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3071</v>
      </c>
      <c r="B1" s="2965" t="s">
        <v>3072</v>
      </c>
      <c r="C1" s="2965" t="s">
        <v>3073</v>
      </c>
      <c r="D1" s="2965" t="s">
        <v>3074</v>
      </c>
      <c r="E1" s="2965" t="s">
        <v>3075</v>
      </c>
      <c r="F1" s="2965" t="s">
        <v>2034</v>
      </c>
      <c r="G1" s="2965" t="s">
        <v>3076</v>
      </c>
      <c r="H1" s="2965" t="s">
        <v>3077</v>
      </c>
      <c r="I1" s="2965" t="s">
        <v>3078</v>
      </c>
      <c r="J1" s="2965" t="s">
        <v>3079</v>
      </c>
      <c r="K1" s="2965" t="s">
        <v>3080</v>
      </c>
      <c r="L1" s="2965" t="s">
        <v>3081</v>
      </c>
      <c r="M1" s="2965" t="s">
        <v>3082</v>
      </c>
    </row>
    <row r="2" spans="1:13">
      <c r="A2" s="2965" t="s">
        <v>3083</v>
      </c>
      <c r="B2" s="2965" t="s">
        <v>1949</v>
      </c>
      <c r="C2" s="2965" t="s">
        <v>3084</v>
      </c>
      <c r="D2" s="2965">
        <v>59747.77</v>
      </c>
      <c r="E2" s="2965">
        <v>89622</v>
      </c>
      <c r="F2" s="2965">
        <v>1.5</v>
      </c>
      <c r="G2" s="2965" t="s">
        <v>3085</v>
      </c>
      <c r="H2" s="2965" t="s">
        <v>3086</v>
      </c>
      <c r="I2" s="2965">
        <v>146800</v>
      </c>
      <c r="J2" s="2965">
        <v>146800</v>
      </c>
      <c r="K2" s="2965">
        <v>16379.9</v>
      </c>
      <c r="L2" s="2965">
        <v>0</v>
      </c>
      <c r="M2" s="2965" t="s">
        <v>3087</v>
      </c>
    </row>
    <row r="3" spans="1:13">
      <c r="A3" s="2965" t="s">
        <v>3088</v>
      </c>
      <c r="B3" s="2965" t="s">
        <v>1949</v>
      </c>
      <c r="C3" s="2965" t="s">
        <v>3084</v>
      </c>
      <c r="D3" s="2965">
        <v>31420.65</v>
      </c>
      <c r="E3" s="2965">
        <v>65983</v>
      </c>
      <c r="F3" s="2965">
        <v>2.1</v>
      </c>
      <c r="G3" s="2965" t="s">
        <v>3085</v>
      </c>
      <c r="H3" s="2965" t="s">
        <v>3086</v>
      </c>
      <c r="I3" s="2965">
        <v>108100</v>
      </c>
      <c r="J3" s="2965">
        <v>108100</v>
      </c>
      <c r="K3" s="2965">
        <v>16383.01</v>
      </c>
      <c r="L3" s="2965">
        <v>0</v>
      </c>
      <c r="M3" s="2965" t="s">
        <v>3089</v>
      </c>
    </row>
    <row r="4" spans="1:13">
      <c r="A4" s="2965" t="s">
        <v>3090</v>
      </c>
      <c r="B4" s="2965" t="s">
        <v>1949</v>
      </c>
      <c r="C4" s="2965" t="s">
        <v>3084</v>
      </c>
      <c r="D4" s="2965">
        <v>176099.5</v>
      </c>
      <c r="E4" s="2965">
        <v>153071</v>
      </c>
      <c r="F4" s="2965">
        <v>0.86899999999999999</v>
      </c>
      <c r="G4" s="2965" t="s">
        <v>3091</v>
      </c>
      <c r="H4" s="2965" t="s">
        <v>3092</v>
      </c>
      <c r="I4" s="2965" t="s">
        <v>2823</v>
      </c>
      <c r="J4" s="2965">
        <v>93800</v>
      </c>
      <c r="K4" s="2965">
        <v>6127.88</v>
      </c>
      <c r="L4" s="2965" t="s">
        <v>2823</v>
      </c>
      <c r="M4" s="2965" t="s">
        <v>3093</v>
      </c>
    </row>
    <row r="5" spans="1:13" s="3178" customFormat="1">
      <c r="A5" s="3200" t="s">
        <v>3182</v>
      </c>
      <c r="B5" s="3178" t="s">
        <v>1949</v>
      </c>
      <c r="C5" s="3178" t="s">
        <v>3084</v>
      </c>
      <c r="D5" s="3178">
        <v>15240.2</v>
      </c>
      <c r="E5" s="3178">
        <v>86800</v>
      </c>
      <c r="F5" s="3178">
        <v>5.6955</v>
      </c>
      <c r="G5" s="3178" t="s">
        <v>3085</v>
      </c>
      <c r="H5" s="3178" t="s">
        <v>3094</v>
      </c>
      <c r="I5" s="3178">
        <v>237500</v>
      </c>
      <c r="J5" s="3178">
        <v>242500</v>
      </c>
      <c r="K5" s="3178">
        <v>27937.79</v>
      </c>
      <c r="L5" s="3178">
        <v>2.11</v>
      </c>
      <c r="M5" s="3178" t="s">
        <v>3095</v>
      </c>
    </row>
    <row r="6" spans="1:13" s="3178" customFormat="1">
      <c r="A6" s="3200" t="s">
        <v>3183</v>
      </c>
      <c r="B6" s="3178" t="s">
        <v>1949</v>
      </c>
      <c r="C6" s="3178" t="s">
        <v>3084</v>
      </c>
      <c r="D6" s="3178">
        <v>16863.939999999999</v>
      </c>
      <c r="E6" s="3178">
        <v>87923.61</v>
      </c>
      <c r="F6" s="3178">
        <v>5.2137000000000002</v>
      </c>
      <c r="G6" s="3178" t="s">
        <v>3085</v>
      </c>
      <c r="H6" s="3178" t="s">
        <v>3096</v>
      </c>
      <c r="I6" s="3178">
        <v>211000</v>
      </c>
      <c r="J6" s="3178">
        <v>211000</v>
      </c>
      <c r="K6" s="3178">
        <v>23998.09</v>
      </c>
      <c r="L6" s="3178">
        <v>0</v>
      </c>
      <c r="M6" s="3178" t="s">
        <v>3097</v>
      </c>
    </row>
    <row r="7" spans="1:13">
      <c r="A7" s="2965" t="s">
        <v>3098</v>
      </c>
      <c r="B7" s="2965" t="s">
        <v>1949</v>
      </c>
      <c r="C7" s="2965" t="s">
        <v>3084</v>
      </c>
      <c r="D7" s="2965">
        <v>14089.17</v>
      </c>
      <c r="E7" s="2965">
        <v>105000</v>
      </c>
      <c r="F7" s="2965">
        <v>7.4525300000000003</v>
      </c>
      <c r="G7" s="2965" t="s">
        <v>3085</v>
      </c>
      <c r="H7" s="2965" t="s">
        <v>3096</v>
      </c>
      <c r="I7" s="2965">
        <v>252000</v>
      </c>
      <c r="J7" s="2965">
        <v>355000</v>
      </c>
      <c r="K7" s="2965">
        <v>33809.51</v>
      </c>
      <c r="L7" s="2965">
        <v>40.869999999999997</v>
      </c>
      <c r="M7" s="2965" t="s">
        <v>3099</v>
      </c>
    </row>
    <row r="8" spans="1:13">
      <c r="A8" s="2965" t="s">
        <v>3100</v>
      </c>
      <c r="B8" s="2965" t="s">
        <v>1949</v>
      </c>
      <c r="C8" s="2965" t="s">
        <v>3084</v>
      </c>
      <c r="D8" s="2965">
        <v>5237.16</v>
      </c>
      <c r="E8" s="2965">
        <v>10474</v>
      </c>
      <c r="F8" s="2965">
        <v>2</v>
      </c>
      <c r="G8" s="2965" t="s">
        <v>3085</v>
      </c>
      <c r="H8" s="2965" t="s">
        <v>3101</v>
      </c>
      <c r="I8" s="2965">
        <v>13000</v>
      </c>
      <c r="J8" s="2965">
        <v>13700</v>
      </c>
      <c r="K8" s="2965">
        <v>13080.01</v>
      </c>
      <c r="L8" s="2965">
        <v>5.38</v>
      </c>
      <c r="M8" s="2965" t="s">
        <v>3102</v>
      </c>
    </row>
    <row r="9" spans="1:13">
      <c r="A9" s="2965" t="s">
        <v>3103</v>
      </c>
      <c r="B9" s="2965" t="s">
        <v>1949</v>
      </c>
      <c r="C9" s="2965" t="s">
        <v>3084</v>
      </c>
      <c r="D9" s="2965">
        <v>66237.2</v>
      </c>
      <c r="E9" s="2965">
        <v>264058.7</v>
      </c>
      <c r="F9" s="2965">
        <v>3.99</v>
      </c>
      <c r="G9" s="2965" t="s">
        <v>3085</v>
      </c>
      <c r="H9" s="2965" t="s">
        <v>3104</v>
      </c>
      <c r="I9" s="2965">
        <v>385000</v>
      </c>
      <c r="J9" s="2965">
        <v>385000</v>
      </c>
      <c r="K9" s="2965">
        <v>14580.09</v>
      </c>
      <c r="L9" s="2965">
        <v>0</v>
      </c>
      <c r="M9" s="2965" t="s">
        <v>3105</v>
      </c>
    </row>
    <row r="10" spans="1:13">
      <c r="A10" s="2965" t="s">
        <v>3106</v>
      </c>
      <c r="B10" s="2965" t="s">
        <v>1949</v>
      </c>
      <c r="C10" s="2965" t="s">
        <v>3084</v>
      </c>
      <c r="D10" s="2965">
        <v>27295.08</v>
      </c>
      <c r="E10" s="2965">
        <v>160000</v>
      </c>
      <c r="F10" s="2965">
        <v>5.8</v>
      </c>
      <c r="G10" s="2965" t="s">
        <v>3085</v>
      </c>
      <c r="H10" s="2965" t="s">
        <v>3107</v>
      </c>
      <c r="I10" s="2965">
        <v>432000</v>
      </c>
      <c r="J10" s="2965">
        <v>434000</v>
      </c>
      <c r="K10" s="2965">
        <v>27125</v>
      </c>
      <c r="L10" s="2965">
        <v>0.46</v>
      </c>
      <c r="M10" s="2965" t="s">
        <v>3108</v>
      </c>
    </row>
    <row r="11" spans="1:13">
      <c r="A11" s="2965" t="s">
        <v>3109</v>
      </c>
      <c r="B11" s="2965" t="s">
        <v>1949</v>
      </c>
      <c r="C11" s="2965" t="s">
        <v>3084</v>
      </c>
      <c r="D11" s="2965">
        <v>35230.230000000003</v>
      </c>
      <c r="E11" s="2965">
        <v>88076</v>
      </c>
      <c r="F11" s="2965">
        <v>2.5</v>
      </c>
      <c r="G11" s="2965" t="s">
        <v>3085</v>
      </c>
      <c r="H11" s="2965" t="s">
        <v>3110</v>
      </c>
      <c r="I11" s="2965">
        <v>62000</v>
      </c>
      <c r="J11" s="2965">
        <v>62000</v>
      </c>
      <c r="K11" s="2965">
        <v>7039.38</v>
      </c>
      <c r="L11" s="2965">
        <v>0</v>
      </c>
      <c r="M11" s="2965" t="s">
        <v>3111</v>
      </c>
    </row>
    <row r="12" spans="1:13">
      <c r="A12" s="2965" t="s">
        <v>3112</v>
      </c>
      <c r="B12" s="2965" t="s">
        <v>1949</v>
      </c>
      <c r="C12" s="2965" t="s">
        <v>3084</v>
      </c>
      <c r="D12" s="2965">
        <v>170200.2</v>
      </c>
      <c r="E12" s="2965">
        <v>255301</v>
      </c>
      <c r="F12" s="2965">
        <v>1.5</v>
      </c>
      <c r="G12" s="2965" t="s">
        <v>3085</v>
      </c>
      <c r="H12" s="2965" t="s">
        <v>3113</v>
      </c>
      <c r="I12" s="2965">
        <v>255000</v>
      </c>
      <c r="J12" s="2965">
        <v>259500</v>
      </c>
      <c r="K12" s="2965">
        <v>10164.459999999999</v>
      </c>
      <c r="L12" s="2965">
        <v>1.76</v>
      </c>
      <c r="M12" s="2965" t="s">
        <v>3114</v>
      </c>
    </row>
    <row r="13" spans="1:13">
      <c r="A13" s="2965" t="s">
        <v>3115</v>
      </c>
      <c r="B13" s="2965" t="s">
        <v>1949</v>
      </c>
      <c r="C13" s="2965" t="s">
        <v>3084</v>
      </c>
      <c r="D13" s="2965">
        <v>120885</v>
      </c>
      <c r="E13" s="2965">
        <v>256512</v>
      </c>
      <c r="F13" s="2965" t="s">
        <v>2823</v>
      </c>
      <c r="G13" s="2965" t="s">
        <v>3085</v>
      </c>
      <c r="H13" s="2965" t="s">
        <v>3113</v>
      </c>
      <c r="I13" s="2965">
        <v>250000</v>
      </c>
      <c r="J13" s="2965">
        <v>250000</v>
      </c>
      <c r="K13" s="2965">
        <v>9746.1200000000008</v>
      </c>
      <c r="L13" s="2965">
        <v>0</v>
      </c>
      <c r="M13" s="2965" t="s">
        <v>3116</v>
      </c>
    </row>
    <row r="14" spans="1:13" s="3178" customFormat="1">
      <c r="A14" s="3200" t="s">
        <v>3184</v>
      </c>
      <c r="B14" s="3178" t="s">
        <v>1949</v>
      </c>
      <c r="C14" s="3178" t="s">
        <v>3084</v>
      </c>
      <c r="D14" s="3178">
        <v>39744.120000000003</v>
      </c>
      <c r="E14" s="3178">
        <v>119232</v>
      </c>
      <c r="F14" s="3178">
        <v>3</v>
      </c>
      <c r="G14" s="3178" t="s">
        <v>3085</v>
      </c>
      <c r="H14" s="3178" t="s">
        <v>3117</v>
      </c>
      <c r="I14" s="3178">
        <v>227000</v>
      </c>
      <c r="J14" s="3178">
        <v>292000</v>
      </c>
      <c r="K14" s="3178">
        <v>24490.06</v>
      </c>
      <c r="L14" s="3178">
        <v>28.63</v>
      </c>
      <c r="M14" s="3178" t="s">
        <v>3118</v>
      </c>
    </row>
    <row r="15" spans="1:13">
      <c r="A15" s="2965" t="s">
        <v>3119</v>
      </c>
      <c r="B15" s="2965" t="s">
        <v>1949</v>
      </c>
      <c r="C15" s="2965" t="s">
        <v>3084</v>
      </c>
      <c r="D15" s="2965">
        <v>92055.95</v>
      </c>
      <c r="E15" s="2965">
        <v>92056</v>
      </c>
      <c r="F15" s="2965">
        <v>1</v>
      </c>
      <c r="G15" s="2965" t="s">
        <v>3091</v>
      </c>
      <c r="H15" s="2965" t="s">
        <v>3120</v>
      </c>
      <c r="I15" s="2965" t="s">
        <v>2823</v>
      </c>
      <c r="J15" s="2965">
        <v>285373.59000000003</v>
      </c>
      <c r="K15" s="2965">
        <v>31000</v>
      </c>
      <c r="L15" s="2965" t="s">
        <v>2823</v>
      </c>
      <c r="M15" s="2965" t="s">
        <v>3121</v>
      </c>
    </row>
    <row r="16" spans="1:13">
      <c r="A16" s="2965" t="s">
        <v>3122</v>
      </c>
      <c r="B16" s="2965" t="s">
        <v>1949</v>
      </c>
      <c r="C16" s="2965" t="s">
        <v>3084</v>
      </c>
      <c r="D16" s="2965">
        <v>18303.330000000002</v>
      </c>
      <c r="E16" s="2965">
        <v>58571</v>
      </c>
      <c r="F16" s="2965">
        <v>3.2</v>
      </c>
      <c r="G16" s="2965" t="s">
        <v>3085</v>
      </c>
      <c r="H16" s="2965" t="s">
        <v>3123</v>
      </c>
      <c r="I16" s="2965">
        <v>79600</v>
      </c>
      <c r="J16" s="2965">
        <v>129000</v>
      </c>
      <c r="K16" s="2965">
        <v>22024.54</v>
      </c>
      <c r="L16" s="2965">
        <v>62.06</v>
      </c>
      <c r="M16" s="2965" t="s">
        <v>3124</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O57" sqref="O57"/>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2040</v>
      </c>
      <c r="B1" s="3217"/>
      <c r="C1" s="3217"/>
      <c r="D1" s="3217"/>
      <c r="E1" s="3217"/>
      <c r="F1" s="3217"/>
      <c r="G1" s="3217"/>
      <c r="H1" s="3217"/>
      <c r="I1" s="3217"/>
      <c r="J1" s="3217"/>
      <c r="K1" s="3217"/>
      <c r="L1" s="3217"/>
      <c r="M1" s="3217"/>
      <c r="N1" s="3217"/>
      <c r="O1" s="3217"/>
      <c r="P1" s="3217"/>
      <c r="Q1" s="3217"/>
      <c r="R1" s="3217"/>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8" t="s">
        <v>2031</v>
      </c>
      <c r="B3" s="3218" t="s">
        <v>2737</v>
      </c>
      <c r="C3" s="3219" t="s">
        <v>2032</v>
      </c>
      <c r="D3" s="3218" t="s">
        <v>2741</v>
      </c>
      <c r="E3" s="3213" t="s">
        <v>2033</v>
      </c>
      <c r="F3" s="3213"/>
      <c r="G3" s="3213"/>
      <c r="H3" s="3213" t="s">
        <v>2034</v>
      </c>
      <c r="I3" s="3213"/>
      <c r="J3" s="3213"/>
      <c r="K3" s="3219" t="s">
        <v>2035</v>
      </c>
      <c r="L3" s="3219" t="s">
        <v>2036</v>
      </c>
      <c r="M3" s="3218" t="s">
        <v>2738</v>
      </c>
      <c r="N3" s="3220" t="str">
        <f>"（分摊）"&amp;项目基本情况!B16&amp;"国有建设用地使用权面积/㎡"</f>
        <v>（分摊）出让国有建设用地使用权面积/㎡</v>
      </c>
      <c r="O3" s="3218" t="s">
        <v>2065</v>
      </c>
      <c r="P3" s="3219" t="s">
        <v>2045</v>
      </c>
      <c r="Q3" s="3219" t="s">
        <v>2066</v>
      </c>
      <c r="R3" s="3219" t="s">
        <v>2037</v>
      </c>
    </row>
    <row r="4" spans="1:18" ht="36.75" customHeight="1">
      <c r="A4" s="3218"/>
      <c r="B4" s="3218"/>
      <c r="C4" s="3219"/>
      <c r="D4" s="3218"/>
      <c r="E4" s="2675" t="s">
        <v>2044</v>
      </c>
      <c r="F4" s="2675" t="s">
        <v>2750</v>
      </c>
      <c r="G4" s="2675" t="s">
        <v>2038</v>
      </c>
      <c r="H4" s="2675" t="s">
        <v>2039</v>
      </c>
      <c r="I4" s="2675" t="s">
        <v>2751</v>
      </c>
      <c r="J4" s="2675" t="s">
        <v>2038</v>
      </c>
      <c r="K4" s="3219"/>
      <c r="L4" s="3219"/>
      <c r="M4" s="3218"/>
      <c r="N4" s="3220"/>
      <c r="O4" s="3218"/>
      <c r="P4" s="3219"/>
      <c r="Q4" s="3219"/>
      <c r="R4" s="3219"/>
    </row>
    <row r="5" spans="1:18" ht="135" customHeight="1">
      <c r="A5" s="1944" t="s">
        <v>2661</v>
      </c>
      <c r="B5" s="2894" t="s">
        <v>2659</v>
      </c>
      <c r="C5" s="2674">
        <v>22</v>
      </c>
      <c r="D5" s="2673" t="s">
        <v>2660</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53567</v>
      </c>
      <c r="Q5" s="1811">
        <f ca="1">结果表!D42</f>
        <v>14334</v>
      </c>
      <c r="R5" s="1812">
        <f ca="1">结果表!C42</f>
        <v>94438</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3">
        <f ca="1">结果表!O39</f>
        <v>94438</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3"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2" t="s">
        <v>2067</v>
      </c>
      <c r="B1" s="3222"/>
      <c r="C1" s="3222"/>
      <c r="D1" s="3222"/>
    </row>
    <row r="2" spans="1:4" ht="47.25" customHeight="1">
      <c r="A2" s="3223" t="str">
        <f>"1.权利限制："&amp;项目基本情况!L24&amp;"未设定租赁等其他他项权利。"</f>
        <v>1.权利限制：根据估价对象《不动产权证书》复印件、《国有土地使用权》复印件，截至估价期日，估价对象抵押权未见登记。未设定租赁等其他他项权利。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3.估价规划限制条件：详见《建设工程规划许可证》[建字第110108201700242号]。</v>
      </c>
      <c r="B4" s="3222"/>
      <c r="C4" s="3222"/>
      <c r="D4" s="3222"/>
    </row>
    <row r="5" spans="1:4">
      <c r="A5" s="3221" t="s">
        <v>2068</v>
      </c>
      <c r="B5" s="3221"/>
      <c r="C5" s="3221"/>
      <c r="D5" s="3221"/>
    </row>
    <row r="6" spans="1:4">
      <c r="A6" s="3222" t="s">
        <v>2046</v>
      </c>
      <c r="B6" s="3222"/>
      <c r="C6" s="3222"/>
      <c r="D6" s="3222"/>
    </row>
    <row r="7" spans="1:4" ht="33" customHeight="1">
      <c r="A7" s="3222" t="s">
        <v>2580</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（1）根据估价对象《不动产权证书》复印件、《国有土地使用权》复印件，截至估价期日，估价对象抵押权未见登记。</v>
      </c>
      <c r="B11" s="3224"/>
      <c r="C11" s="3224"/>
      <c r="D11" s="3224"/>
    </row>
    <row r="12" spans="1:4" ht="168" customHeight="1">
      <c r="A12" s="3221" t="s">
        <v>2070</v>
      </c>
      <c r="B12" s="3221"/>
      <c r="C12" s="3221"/>
      <c r="D12" s="3221"/>
    </row>
    <row r="13" spans="1:4">
      <c r="A13" s="3225" t="s">
        <v>2752</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2708</v>
      </c>
      <c r="B17" s="3222"/>
      <c r="C17" s="3222"/>
      <c r="D17" s="3222"/>
    </row>
    <row r="18" spans="1:4">
      <c r="A18" s="3222" t="s">
        <v>2700</v>
      </c>
      <c r="B18" s="3222"/>
      <c r="C18" s="3222"/>
      <c r="D18" s="3222"/>
    </row>
    <row r="19" spans="1:4">
      <c r="A19" s="2895" t="s">
        <v>2701</v>
      </c>
      <c r="B19" s="2895" t="s">
        <v>2702</v>
      </c>
      <c r="C19" s="2895" t="s">
        <v>2703</v>
      </c>
      <c r="D19" s="2895" t="s">
        <v>2704</v>
      </c>
    </row>
    <row r="20" spans="1:4">
      <c r="A20" s="2895" t="str">
        <f>项目基本情况!B4</f>
        <v>吴薇</v>
      </c>
      <c r="B20" s="2895">
        <f ca="1">项目基本情况!C4</f>
        <v>2002110125</v>
      </c>
      <c r="C20" s="2897"/>
      <c r="D20" s="1801" t="s">
        <v>2709</v>
      </c>
    </row>
    <row r="21" spans="1:4">
      <c r="A21" s="2895" t="str">
        <f>项目基本情况!D4</f>
        <v>刘梅</v>
      </c>
      <c r="B21" s="2895">
        <f ca="1">项目基本情况!E4</f>
        <v>2008110059</v>
      </c>
      <c r="C21" s="2897"/>
      <c r="D21" s="1801" t="s">
        <v>2710</v>
      </c>
    </row>
    <row r="23" spans="1:4">
      <c r="A23" s="3222" t="s">
        <v>2705</v>
      </c>
      <c r="B23" s="3222"/>
      <c r="C23" s="3222"/>
      <c r="D23" s="3222"/>
    </row>
    <row r="24" spans="1:4">
      <c r="A24" s="2895" t="s">
        <v>2701</v>
      </c>
      <c r="B24" s="2895" t="s">
        <v>2706</v>
      </c>
      <c r="C24" s="2895" t="s">
        <v>2703</v>
      </c>
      <c r="D24" s="2895" t="s">
        <v>2704</v>
      </c>
    </row>
    <row r="25" spans="1:4">
      <c r="A25" s="2898" t="s">
        <v>2707</v>
      </c>
      <c r="B25" s="2895" t="s">
        <v>953</v>
      </c>
      <c r="C25" s="2897"/>
      <c r="D25" s="1801" t="s">
        <v>2710</v>
      </c>
    </row>
    <row r="29" spans="1:4">
      <c r="D29" s="2896" t="s">
        <v>2041</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33" t="s">
        <v>53</v>
      </c>
      <c r="B15" s="3234" t="s">
        <v>847</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838</v>
      </c>
    </row>
    <row r="25" spans="1:3" ht="14.25">
      <c r="A25" s="3232"/>
      <c r="B25" s="3236"/>
      <c r="C25" s="1176" t="s">
        <v>839</v>
      </c>
    </row>
    <row r="26" spans="1:3" ht="14.25">
      <c r="A26" s="3232"/>
      <c r="B26" s="3236"/>
      <c r="C26" s="1176" t="s">
        <v>840</v>
      </c>
    </row>
    <row r="27" spans="1:3" ht="14.25">
      <c r="A27" s="3232"/>
      <c r="B27" s="3236"/>
      <c r="C27" s="1176" t="s">
        <v>841</v>
      </c>
    </row>
    <row r="28" spans="1:3" ht="14.25">
      <c r="A28" s="3232"/>
      <c r="B28" s="3236"/>
      <c r="C28" s="1176" t="s">
        <v>842</v>
      </c>
    </row>
    <row r="29" spans="1:3" ht="14.25">
      <c r="A29" s="3232"/>
      <c r="B29" s="3236"/>
      <c r="C29" s="1176" t="s">
        <v>843</v>
      </c>
    </row>
    <row r="30" spans="1:3" ht="14.25">
      <c r="A30" s="3232"/>
      <c r="B30" s="3236"/>
      <c r="C30" s="1176" t="s">
        <v>844</v>
      </c>
    </row>
    <row r="31" spans="1:3" ht="14.25">
      <c r="A31" s="3232"/>
      <c r="B31" s="3236"/>
      <c r="C31" s="1176" t="s">
        <v>845</v>
      </c>
    </row>
    <row r="32" spans="1:3" ht="14.25">
      <c r="A32" s="3232"/>
      <c r="B32" s="3236"/>
      <c r="C32" s="1176" t="s">
        <v>1648</v>
      </c>
    </row>
    <row r="33" spans="1:3" ht="14.25">
      <c r="A33" s="3232"/>
      <c r="B33" s="3226" t="s">
        <v>1654</v>
      </c>
      <c r="C33" s="1176" t="s">
        <v>1649</v>
      </c>
    </row>
    <row r="34" spans="1:3" ht="14.25">
      <c r="A34" s="3232"/>
      <c r="B34" s="3227"/>
      <c r="C34" s="1181" t="s">
        <v>1650</v>
      </c>
    </row>
    <row r="35" spans="1:3" ht="14.25">
      <c r="A35" s="3232"/>
      <c r="B35" s="3227"/>
      <c r="C35" s="1182" t="s">
        <v>1651</v>
      </c>
    </row>
    <row r="36" spans="1:3" ht="14.25">
      <c r="A36" s="3232"/>
      <c r="B36" s="3227"/>
      <c r="C36" s="1182" t="s">
        <v>1652</v>
      </c>
    </row>
    <row r="37" spans="1:3" ht="14.25">
      <c r="A37" s="3232"/>
      <c r="B37" s="322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43125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37" t="s">
        <v>1930</v>
      </c>
      <c r="B25" s="3237"/>
      <c r="C25" s="3237"/>
      <c r="D25" s="3237"/>
      <c r="E25" s="3237"/>
      <c r="F25" s="3237"/>
      <c r="G25" s="3237"/>
    </row>
    <row r="26" spans="1:7" ht="20.25" customHeight="1">
      <c r="A26" s="3238" t="s">
        <v>1931</v>
      </c>
      <c r="B26" s="3238"/>
      <c r="C26" s="3238"/>
      <c r="D26" s="3238" t="s">
        <v>1932</v>
      </c>
      <c r="E26" s="3238"/>
      <c r="F26" s="323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2961</v>
      </c>
      <c r="C18" s="1554"/>
    </row>
    <row r="19" spans="1:3">
      <c r="A19" s="8" t="s">
        <v>120</v>
      </c>
      <c r="B19" s="3142" t="s">
        <v>2969</v>
      </c>
      <c r="C19" s="1554"/>
    </row>
    <row r="20" spans="1:3">
      <c r="A20" s="8" t="s">
        <v>121</v>
      </c>
      <c r="B20" s="8" t="s">
        <v>3056</v>
      </c>
      <c r="C20" s="1554"/>
    </row>
    <row r="21" spans="1:3">
      <c r="A21" s="8" t="s">
        <v>122</v>
      </c>
      <c r="B21" s="8" t="s">
        <v>3057</v>
      </c>
      <c r="C21" s="1554"/>
    </row>
    <row r="22" spans="1:3">
      <c r="A22" s="8" t="s">
        <v>123</v>
      </c>
      <c r="B22" s="8" t="s">
        <v>3058</v>
      </c>
      <c r="C22" s="1554"/>
    </row>
    <row r="23" spans="1:3">
      <c r="A23" s="8" t="s">
        <v>124</v>
      </c>
      <c r="B23" s="8" t="s">
        <v>3170</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3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成本逼近法</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2018-01-25T02:18:11Z</dcterms:modified>
</cp:coreProperties>
</file>