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047414C-F572-4093-A980-78980E4051B9}" xr6:coauthVersionLast="47" xr6:coauthVersionMax="47" xr10:uidLastSave="{00000000-0000-0000-0000-000000000000}"/>
  <bookViews>
    <workbookView xWindow="-108" yWindow="-108" windowWidth="20376" windowHeight="12216"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案例" sheetId="80" r:id="rId39"/>
    <sheet name="收益法 (元)" sheetId="67"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4" i="1" l="1"/>
  <c r="D14" i="74" l="1"/>
  <c r="E14" i="74" s="1"/>
  <c r="E10" i="74"/>
  <c r="B14" i="74"/>
  <c r="S17" i="80"/>
  <c r="G47" i="33"/>
  <c r="G33" i="33"/>
  <c r="AB41" i="80"/>
  <c r="E47" i="33"/>
  <c r="I47" i="33"/>
  <c r="S13" i="80"/>
  <c r="S11" i="80" s="1"/>
  <c r="I33" i="33"/>
  <c r="E93" i="33"/>
  <c r="I36" i="33"/>
  <c r="G36" i="33"/>
  <c r="E36" i="33"/>
  <c r="E33" i="33"/>
  <c r="C33" i="33"/>
  <c r="D104" i="33"/>
  <c r="E104" i="33" s="1"/>
  <c r="F104" i="33" s="1"/>
  <c r="G104" i="33" s="1"/>
  <c r="H104" i="33" s="1"/>
  <c r="I104" i="33" s="1"/>
  <c r="D89" i="33"/>
  <c r="E89" i="33" s="1"/>
  <c r="F89" i="33" s="1"/>
  <c r="G89" i="33" s="1"/>
  <c r="G5" i="33"/>
  <c r="C5" i="33"/>
  <c r="D3" i="4"/>
  <c r="F19" i="6"/>
  <c r="S18" i="80"/>
  <c r="S16" i="80"/>
  <c r="S19" i="80" s="1"/>
  <c r="G14" i="73"/>
  <c r="F14" i="73"/>
  <c r="E14" i="73"/>
  <c r="T12" i="80" l="1"/>
  <c r="S20" i="80"/>
  <c r="T1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T13" i="80" l="1"/>
  <c r="U13" i="80" s="1"/>
  <c r="G15" i="73"/>
  <c r="F15" i="73"/>
  <c r="E15" i="73"/>
  <c r="G16" i="73"/>
  <c r="F16" i="73"/>
  <c r="E16" i="73"/>
  <c r="S21" i="80" l="1"/>
  <c r="V12" i="80"/>
  <c r="V11" i="80"/>
  <c r="AB32" i="79"/>
  <c r="AA32" i="79"/>
  <c r="Z32" i="79"/>
  <c r="N32" i="79"/>
  <c r="M32" i="79"/>
  <c r="P32" i="79" s="1"/>
  <c r="L32" i="79"/>
  <c r="I32" i="79"/>
  <c r="AC7" i="79"/>
  <c r="AB7" i="79"/>
  <c r="AA7" i="79"/>
  <c r="AD7" i="79" s="1"/>
  <c r="Z7" i="79"/>
  <c r="Y7" i="79"/>
  <c r="O7" i="79"/>
  <c r="N7" i="79"/>
  <c r="M7" i="79"/>
  <c r="P7" i="79" s="1"/>
  <c r="L7" i="79"/>
  <c r="K7" i="79"/>
  <c r="I7" i="79"/>
  <c r="T18" i="80" l="1"/>
  <c r="T17" i="80"/>
  <c r="T19" i="80"/>
  <c r="D93" i="33" s="1"/>
  <c r="T16" i="80"/>
  <c r="T20" i="80"/>
  <c r="I10" i="79"/>
  <c r="C93" i="33" l="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F21" i="37"/>
  <c r="AA21" i="37" s="1"/>
  <c r="H21" i="34"/>
  <c r="H21" i="33"/>
  <c r="F21" i="33"/>
  <c r="AA21" i="33" s="1"/>
  <c r="E83" i="21"/>
  <c r="F83" i="21" s="1"/>
  <c r="H1" i="69"/>
  <c r="AC25" i="40"/>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2" i="31"/>
  <c r="S338" i="31"/>
  <c r="S336" i="31"/>
  <c r="S334" i="31"/>
  <c r="S330" i="31"/>
  <c r="S328" i="31"/>
  <c r="S326" i="31"/>
  <c r="S322" i="31"/>
  <c r="S424" i="31"/>
  <c r="S320" i="31"/>
  <c r="S318" i="31"/>
  <c r="S314" i="31"/>
  <c r="S312" i="31"/>
  <c r="S310" i="31"/>
  <c r="S306" i="31"/>
  <c r="S302" i="31"/>
  <c r="S298" i="31"/>
  <c r="S296" i="31"/>
  <c r="S294" i="31"/>
  <c r="S292" i="31"/>
  <c r="S290" i="31"/>
  <c r="S288" i="31"/>
  <c r="S286" i="31"/>
  <c r="S284" i="31"/>
  <c r="S282" i="31"/>
  <c r="S280" i="31"/>
  <c r="S276" i="31"/>
  <c r="S272" i="31"/>
  <c r="S268"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D5" i="3" s="1"/>
  <c r="BE552" i="3"/>
  <c r="BF552" i="3"/>
  <c r="BG552" i="3"/>
  <c r="BH552" i="3"/>
  <c r="BH5" i="3" s="1"/>
  <c r="BI552" i="3"/>
  <c r="BJ552" i="3"/>
  <c r="BK552" i="3"/>
  <c r="BM552" i="3"/>
  <c r="BM5"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I5" i="3" s="1"/>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BT5" i="3" s="1"/>
  <c r="H558" i="3"/>
  <c r="G558" i="3" s="1"/>
  <c r="AC558" i="3"/>
  <c r="BB558" i="3"/>
  <c r="BC558" i="3"/>
  <c r="BA558" i="3" s="1"/>
  <c r="BD558" i="3"/>
  <c r="BE558" i="3"/>
  <c r="BF558" i="3"/>
  <c r="BG558" i="3"/>
  <c r="BH558" i="3"/>
  <c r="BI558" i="3"/>
  <c r="BJ558" i="3"/>
  <c r="BK558" i="3"/>
  <c r="BK5"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A563" i="3" s="1"/>
  <c r="AZ563" i="3" s="1"/>
  <c r="BF563" i="3"/>
  <c r="BG563" i="3"/>
  <c r="BH563" i="3"/>
  <c r="BI563" i="3"/>
  <c r="BJ563" i="3"/>
  <c r="BK563" i="3"/>
  <c r="BM563" i="3"/>
  <c r="BN563" i="3"/>
  <c r="BO563" i="3"/>
  <c r="BP563" i="3"/>
  <c r="BR563" i="3"/>
  <c r="BS563" i="3"/>
  <c r="BT563" i="3"/>
  <c r="H564" i="3"/>
  <c r="AC564" i="3"/>
  <c r="BB564" i="3"/>
  <c r="BA564" i="3" s="1"/>
  <c r="AZ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A570" i="3" s="1"/>
  <c r="AZ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H111" i="33" s="1"/>
  <c r="I111" i="33" s="1"/>
  <c r="J111" i="33" s="1"/>
  <c r="K111" i="33" s="1"/>
  <c r="L111" i="33" s="1"/>
  <c r="M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B108" i="37"/>
  <c r="C23" i="37"/>
  <c r="C19" i="37"/>
  <c r="C17" i="37"/>
  <c r="C15" i="37"/>
  <c r="B112" i="37"/>
  <c r="D107" i="37"/>
  <c r="E107" i="37"/>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C53" i="35"/>
  <c r="J9" i="35" s="1"/>
  <c r="AC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F44" i="21" s="1"/>
  <c r="AA44" i="21" s="1"/>
  <c r="B98" i="21"/>
  <c r="H31" i="2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J35" i="39"/>
  <c r="AC35" i="39" s="1"/>
  <c r="F35" i="39"/>
  <c r="S35" i="39" s="1"/>
  <c r="AA35" i="39"/>
  <c r="W40" i="39"/>
  <c r="U30" i="37"/>
  <c r="W31" i="37"/>
  <c r="E103" i="37"/>
  <c r="F103" i="37" s="1"/>
  <c r="G103" i="37" s="1"/>
  <c r="H103" i="37" s="1"/>
  <c r="I103" i="37" s="1"/>
  <c r="J103" i="37" s="1"/>
  <c r="K103" i="37" s="1"/>
  <c r="L103" i="37" s="1"/>
  <c r="M103" i="37" s="1"/>
  <c r="F29" i="36"/>
  <c r="AA29" i="36" s="1"/>
  <c r="F16" i="36"/>
  <c r="W28" i="36"/>
  <c r="H22" i="35"/>
  <c r="AB22" i="35"/>
  <c r="AC27" i="35"/>
  <c r="W28" i="35"/>
  <c r="U31" i="35"/>
  <c r="W22" i="35"/>
  <c r="S31" i="35"/>
  <c r="U34" i="35"/>
  <c r="F36" i="34"/>
  <c r="J35" i="34"/>
  <c r="U34" i="34"/>
  <c r="H39" i="33"/>
  <c r="AB39" i="33" s="1"/>
  <c r="U35" i="33"/>
  <c r="H39" i="37"/>
  <c r="AB39" i="37" s="1"/>
  <c r="F11" i="40"/>
  <c r="AA11" i="40" s="1"/>
  <c r="H11" i="40"/>
  <c r="AB11" i="40"/>
  <c r="W8" i="40"/>
  <c r="AB39" i="40"/>
  <c r="AA9" i="40"/>
  <c r="U9" i="40"/>
  <c r="S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H17" i="39"/>
  <c r="F17" i="39"/>
  <c r="AA17" i="39" s="1"/>
  <c r="J23" i="40"/>
  <c r="AC23" i="40"/>
  <c r="F21" i="40"/>
  <c r="AA21" i="40" s="1"/>
  <c r="J21" i="40"/>
  <c r="W21" i="40"/>
  <c r="H42" i="39"/>
  <c r="AB42" i="39" s="1"/>
  <c r="J34" i="39"/>
  <c r="AC34" i="39" s="1"/>
  <c r="J31" i="39"/>
  <c r="AC31" i="39" s="1"/>
  <c r="F100" i="39"/>
  <c r="H27" i="39"/>
  <c r="U27" i="39" s="1"/>
  <c r="J19" i="39"/>
  <c r="AC19" i="39" s="1"/>
  <c r="J17" i="39"/>
  <c r="W17" i="39" s="1"/>
  <c r="J27" i="39"/>
  <c r="AC27" i="39" s="1"/>
  <c r="F27" i="39"/>
  <c r="F11" i="21"/>
  <c r="S11" i="21" s="1"/>
  <c r="S40" i="21"/>
  <c r="U34" i="21"/>
  <c r="C25" i="39"/>
  <c r="H11" i="39"/>
  <c r="AB11" i="39" s="1"/>
  <c r="S40" i="39"/>
  <c r="H32" i="33"/>
  <c r="AB32" i="33" s="1"/>
  <c r="H11" i="21"/>
  <c r="U11" i="21" s="1"/>
  <c r="J11" i="21"/>
  <c r="W11" i="21" s="1"/>
  <c r="H37" i="40"/>
  <c r="U37" i="40"/>
  <c r="H36" i="40"/>
  <c r="F35" i="40"/>
  <c r="AA35" i="40"/>
  <c r="H23" i="40"/>
  <c r="AB23" i="40" s="1"/>
  <c r="H17" i="40"/>
  <c r="U17" i="40" s="1"/>
  <c r="J15" i="40"/>
  <c r="W15" i="40" s="1"/>
  <c r="J11" i="40"/>
  <c r="AC11" i="40" s="1"/>
  <c r="AB8" i="39"/>
  <c r="AC12" i="34"/>
  <c r="AB12" i="35"/>
  <c r="W32" i="40"/>
  <c r="F37" i="39"/>
  <c r="AA37" i="39" s="1"/>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113" i="33" s="1"/>
  <c r="G113" i="33" s="1"/>
  <c r="H113" i="33" s="1"/>
  <c r="I113" i="33" s="1"/>
  <c r="J113" i="33" s="1"/>
  <c r="K113" i="33" s="1"/>
  <c r="L113" i="33" s="1"/>
  <c r="M113" i="33" s="1"/>
  <c r="F32" i="33"/>
  <c r="S32" i="33" s="1"/>
  <c r="J19" i="33"/>
  <c r="AC19" i="33" s="1"/>
  <c r="J15" i="33"/>
  <c r="AC15" i="33" s="1"/>
  <c r="F11" i="33"/>
  <c r="AA11" i="33" s="1"/>
  <c r="U40" i="33"/>
  <c r="W40" i="33"/>
  <c r="F37" i="40"/>
  <c r="AA37" i="40" s="1"/>
  <c r="F36" i="40"/>
  <c r="AA36" i="40"/>
  <c r="H28" i="40"/>
  <c r="U28" i="40" s="1"/>
  <c r="F23" i="40"/>
  <c r="AA23" i="40"/>
  <c r="F17" i="40"/>
  <c r="J17" i="40"/>
  <c r="W17" i="40"/>
  <c r="F15" i="40"/>
  <c r="S15" i="40" s="1"/>
  <c r="H15" i="40"/>
  <c r="AB15" i="40" s="1"/>
  <c r="S12" i="36"/>
  <c r="AA12" i="36"/>
  <c r="AB30" i="36"/>
  <c r="F29" i="35"/>
  <c r="S29" i="35" s="1"/>
  <c r="H29" i="35"/>
  <c r="H33" i="37"/>
  <c r="F33" i="37"/>
  <c r="AA33" i="37" s="1"/>
  <c r="U34" i="37"/>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H15" i="33"/>
  <c r="AB15" i="33" s="1"/>
  <c r="H11" i="33"/>
  <c r="AB11" i="33" s="1"/>
  <c r="F28" i="40"/>
  <c r="AA28" i="40"/>
  <c r="AA29" i="35"/>
  <c r="AA42" i="34"/>
  <c r="S42" i="34"/>
  <c r="AC38" i="34"/>
  <c r="AA38" i="34"/>
  <c r="J37" i="34"/>
  <c r="AC37" i="34" s="1"/>
  <c r="J11" i="33"/>
  <c r="W11" i="33" s="1"/>
  <c r="J42" i="21"/>
  <c r="AC42" i="21"/>
  <c r="H42" i="21"/>
  <c r="AB42" i="21" s="1"/>
  <c r="U42" i="21"/>
  <c r="J44" i="34"/>
  <c r="F44" i="34"/>
  <c r="S44" i="34" s="1"/>
  <c r="AA44" i="34"/>
  <c r="J10" i="35"/>
  <c r="AC10" i="35" s="1"/>
  <c r="F28" i="21"/>
  <c r="S28" i="21" s="1"/>
  <c r="AA28" i="21"/>
  <c r="J44" i="21"/>
  <c r="AC44" i="21" s="1"/>
  <c r="H44" i="21"/>
  <c r="U44" i="21" s="1"/>
  <c r="H46" i="21"/>
  <c r="U46" i="21" s="1"/>
  <c r="J46" i="21"/>
  <c r="F46" i="21"/>
  <c r="AA46" i="21"/>
  <c r="H28" i="33"/>
  <c r="U28" i="33" s="1"/>
  <c r="F28" i="33"/>
  <c r="S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31" i="21"/>
  <c r="AC31" i="21" s="1"/>
  <c r="F31" i="21"/>
  <c r="S31" i="21"/>
  <c r="F45" i="21"/>
  <c r="AA45" i="21" s="1"/>
  <c r="J13" i="33"/>
  <c r="H13" i="33"/>
  <c r="U13" i="33" s="1"/>
  <c r="F13" i="33"/>
  <c r="S13" i="33" s="1"/>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U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44" i="33"/>
  <c r="J44" i="33"/>
  <c r="W44" i="33" s="1"/>
  <c r="F44" i="33"/>
  <c r="S44" i="33" s="1"/>
  <c r="H13" i="34"/>
  <c r="U13" i="34" s="1"/>
  <c r="J13" i="34"/>
  <c r="W13" i="34" s="1"/>
  <c r="F13" i="34"/>
  <c r="AA13" i="34" s="1"/>
  <c r="J31" i="34"/>
  <c r="W31" i="34" s="1"/>
  <c r="AC31" i="34"/>
  <c r="H31" i="34"/>
  <c r="F31" i="34"/>
  <c r="S31" i="34"/>
  <c r="H45" i="34"/>
  <c r="U45" i="34" s="1"/>
  <c r="H47" i="34"/>
  <c r="U47" i="34" s="1"/>
  <c r="F47" i="34"/>
  <c r="S47" i="34" s="1"/>
  <c r="J47" i="34"/>
  <c r="AC47" i="34" s="1"/>
  <c r="J25" i="35"/>
  <c r="W25" i="35"/>
  <c r="F25" i="35"/>
  <c r="H25" i="35"/>
  <c r="AB25" i="35" s="1"/>
  <c r="F35" i="35"/>
  <c r="AA35" i="35" s="1"/>
  <c r="J25" i="36"/>
  <c r="W25" i="36"/>
  <c r="F25" i="36"/>
  <c r="S25" i="36" s="1"/>
  <c r="H25" i="36"/>
  <c r="AB25" i="36"/>
  <c r="H13" i="37"/>
  <c r="AB13" i="37" s="1"/>
  <c r="F13" i="37"/>
  <c r="J13" i="37"/>
  <c r="W13" i="37" s="1"/>
  <c r="F28" i="37"/>
  <c r="AA28" i="37" s="1"/>
  <c r="J28" i="37"/>
  <c r="AC28" i="37" s="1"/>
  <c r="H28" i="37"/>
  <c r="H38" i="37"/>
  <c r="AB38" i="37" s="1"/>
  <c r="J38" i="37"/>
  <c r="AC38" i="37" s="1"/>
  <c r="F38" i="37"/>
  <c r="S38" i="37"/>
  <c r="J14" i="39"/>
  <c r="AC14" i="39" s="1"/>
  <c r="F14" i="39"/>
  <c r="S14" i="39" s="1"/>
  <c r="H14" i="39"/>
  <c r="AB14" i="39" s="1"/>
  <c r="F12" i="40"/>
  <c r="AA12" i="40" s="1"/>
  <c r="S12" i="40"/>
  <c r="H12" i="40"/>
  <c r="AB12" i="40" s="1"/>
  <c r="H30" i="40"/>
  <c r="AB30" i="40"/>
  <c r="F33" i="40"/>
  <c r="AA33" i="40" s="1"/>
  <c r="J35" i="40"/>
  <c r="AC35" i="40" s="1"/>
  <c r="J37" i="40"/>
  <c r="AC37" i="40"/>
  <c r="H13" i="40"/>
  <c r="U13" i="40" s="1"/>
  <c r="J13" i="40"/>
  <c r="W13" i="40"/>
  <c r="F13" i="40"/>
  <c r="AA13" i="40" s="1"/>
  <c r="F14" i="37"/>
  <c r="AA14" i="37" s="1"/>
  <c r="S14" i="37"/>
  <c r="F27" i="37"/>
  <c r="AA27" i="37" s="1"/>
  <c r="F13" i="39"/>
  <c r="J13" i="39"/>
  <c r="W13" i="39" s="1"/>
  <c r="H13" i="39"/>
  <c r="J14" i="37"/>
  <c r="J27" i="37"/>
  <c r="AC27" i="37" s="1"/>
  <c r="AA44" i="33"/>
  <c r="AA14" i="33"/>
  <c r="J36" i="37"/>
  <c r="AC36" i="37" s="1"/>
  <c r="J10" i="36"/>
  <c r="AC10" i="36" s="1"/>
  <c r="S11" i="36"/>
  <c r="AB46" i="34"/>
  <c r="S45" i="33"/>
  <c r="AB45" i="33"/>
  <c r="BA585" i="3"/>
  <c r="F17" i="21"/>
  <c r="AA17" i="21" s="1"/>
  <c r="H17" i="21"/>
  <c r="AB17" i="21" s="1"/>
  <c r="F15" i="21"/>
  <c r="S15" i="21" s="1"/>
  <c r="J41" i="39"/>
  <c r="W41" i="39" s="1"/>
  <c r="G544" i="3"/>
  <c r="G540" i="3"/>
  <c r="G532" i="3"/>
  <c r="G531" i="3"/>
  <c r="G523" i="3"/>
  <c r="G518" i="3"/>
  <c r="G510" i="3"/>
  <c r="G508" i="3"/>
  <c r="G504" i="3"/>
  <c r="G496" i="3"/>
  <c r="G584" i="3"/>
  <c r="G580" i="3"/>
  <c r="G576" i="3"/>
  <c r="G564" i="3"/>
  <c r="G550" i="3"/>
  <c r="BL584" i="3"/>
  <c r="BL546" i="3"/>
  <c r="BL534" i="3"/>
  <c r="BL530" i="3"/>
  <c r="BL516" i="3"/>
  <c r="BL512" i="3"/>
  <c r="BL498" i="3"/>
  <c r="BL494" i="3"/>
  <c r="BL574" i="3"/>
  <c r="BL570" i="3"/>
  <c r="BL536" i="3"/>
  <c r="G533" i="3"/>
  <c r="BL528" i="3"/>
  <c r="G525" i="3"/>
  <c r="BL514" i="3"/>
  <c r="BL510" i="3"/>
  <c r="BL496" i="3"/>
  <c r="G493" i="3"/>
  <c r="BA580" i="3"/>
  <c r="BA578" i="3"/>
  <c r="BA562" i="3"/>
  <c r="BA552" i="3"/>
  <c r="BA546" i="3"/>
  <c r="BA544" i="3"/>
  <c r="BA540" i="3"/>
  <c r="BA536" i="3"/>
  <c r="AZ536" i="3" s="1"/>
  <c r="BA532" i="3"/>
  <c r="BA526" i="3"/>
  <c r="BA524" i="3"/>
  <c r="BA518" i="3"/>
  <c r="BA516" i="3"/>
  <c r="AZ516" i="3" s="1"/>
  <c r="BA510" i="3"/>
  <c r="BA506" i="3"/>
  <c r="BA504" i="3"/>
  <c r="BA500" i="3"/>
  <c r="BA498" i="3"/>
  <c r="BA494" i="3"/>
  <c r="AZ494" i="3" s="1"/>
  <c r="BA587" i="3"/>
  <c r="BA573" i="3"/>
  <c r="BA571" i="3"/>
  <c r="BA553" i="3"/>
  <c r="BA547" i="3"/>
  <c r="BA545" i="3"/>
  <c r="BA543" i="3"/>
  <c r="BA539" i="3"/>
  <c r="BA537" i="3"/>
  <c r="BA535" i="3"/>
  <c r="BA531" i="3"/>
  <c r="BA529" i="3"/>
  <c r="BA527" i="3"/>
  <c r="BA523" i="3"/>
  <c r="BA519" i="3"/>
  <c r="BA517" i="3"/>
  <c r="BA513" i="3"/>
  <c r="AZ513" i="3" s="1"/>
  <c r="BA511" i="3"/>
  <c r="BA507" i="3"/>
  <c r="BA503" i="3"/>
  <c r="AZ503" i="3" s="1"/>
  <c r="BA501" i="3"/>
  <c r="BA499" i="3"/>
  <c r="BA495" i="3"/>
  <c r="BA493" i="3"/>
  <c r="AZ493" i="3" s="1"/>
  <c r="G579" i="3"/>
  <c r="G577" i="3"/>
  <c r="G575" i="3"/>
  <c r="G571" i="3"/>
  <c r="G569" i="3"/>
  <c r="G567" i="3"/>
  <c r="G565" i="3"/>
  <c r="G561" i="3"/>
  <c r="AC557" i="3"/>
  <c r="G557" i="3" s="1"/>
  <c r="BQ557" i="3"/>
  <c r="BQ583" i="3"/>
  <c r="BQ581" i="3"/>
  <c r="BQ579" i="3"/>
  <c r="BQ577" i="3"/>
  <c r="BL577" i="3" s="1"/>
  <c r="BQ575" i="3"/>
  <c r="BQ573" i="3"/>
  <c r="BQ571" i="3"/>
  <c r="BQ569" i="3"/>
  <c r="BQ567" i="3"/>
  <c r="BL567" i="3"/>
  <c r="BQ565" i="3"/>
  <c r="BQ563" i="3"/>
  <c r="BL563" i="3"/>
  <c r="BQ561" i="3"/>
  <c r="BQ559" i="3"/>
  <c r="G559" i="3"/>
  <c r="G549" i="3"/>
  <c r="G547" i="3"/>
  <c r="G545" i="3"/>
  <c r="G541" i="3"/>
  <c r="G539" i="3"/>
  <c r="G537" i="3"/>
  <c r="BQ555" i="3"/>
  <c r="BQ553" i="3"/>
  <c r="BQ551" i="3"/>
  <c r="BL551" i="3"/>
  <c r="BQ549" i="3"/>
  <c r="BL549" i="3" s="1"/>
  <c r="BQ547" i="3"/>
  <c r="BL547" i="3" s="1"/>
  <c r="AZ547" i="3" s="1"/>
  <c r="BQ545" i="3"/>
  <c r="BL545" i="3"/>
  <c r="BQ543" i="3"/>
  <c r="BL543" i="3" s="1"/>
  <c r="AZ543" i="3"/>
  <c r="BQ541" i="3"/>
  <c r="BL541" i="3"/>
  <c r="BQ539" i="3"/>
  <c r="BL539" i="3" s="1"/>
  <c r="BQ537" i="3"/>
  <c r="BQ535" i="3"/>
  <c r="BL535" i="3" s="1"/>
  <c r="AZ535" i="3" s="1"/>
  <c r="BQ533" i="3"/>
  <c r="BL533" i="3"/>
  <c r="BQ531" i="3"/>
  <c r="BQ529" i="3"/>
  <c r="BL529" i="3" s="1"/>
  <c r="BQ527" i="3"/>
  <c r="BL527" i="3" s="1"/>
  <c r="BQ525" i="3"/>
  <c r="BL525" i="3" s="1"/>
  <c r="BQ523" i="3"/>
  <c r="BL523" i="3" s="1"/>
  <c r="AZ523" i="3" s="1"/>
  <c r="AC521" i="3"/>
  <c r="G521" i="3"/>
  <c r="BQ521" i="3"/>
  <c r="BL520" i="3"/>
  <c r="G519" i="3"/>
  <c r="G517"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H35" i="34"/>
  <c r="U35" i="34" s="1"/>
  <c r="F41" i="34"/>
  <c r="H41" i="34"/>
  <c r="U41" i="34" s="1"/>
  <c r="J41" i="34"/>
  <c r="AC41" i="34" s="1"/>
  <c r="F10" i="35"/>
  <c r="S10" i="35" s="1"/>
  <c r="F24" i="35"/>
  <c r="S24" i="35" s="1"/>
  <c r="AA24" i="35"/>
  <c r="H24" i="35"/>
  <c r="AB24" i="35" s="1"/>
  <c r="H23" i="37"/>
  <c r="AB23" i="37"/>
  <c r="J32" i="37"/>
  <c r="AC32" i="37" s="1"/>
  <c r="F36" i="37"/>
  <c r="AA36" i="37" s="1"/>
  <c r="F37" i="37"/>
  <c r="AA37" i="37" s="1"/>
  <c r="F31" i="40"/>
  <c r="AA31" i="40" s="1"/>
  <c r="H31" i="40"/>
  <c r="U31" i="40" s="1"/>
  <c r="F32" i="40"/>
  <c r="AA32" i="40" s="1"/>
  <c r="S32" i="40"/>
  <c r="H32" i="40"/>
  <c r="AB32" i="40" s="1"/>
  <c r="J36" i="40"/>
  <c r="W36" i="40"/>
  <c r="H19" i="37"/>
  <c r="AB19" i="37" s="1"/>
  <c r="H42" i="33"/>
  <c r="AB42" i="33" s="1"/>
  <c r="S28" i="31"/>
  <c r="S27" i="31"/>
  <c r="S26" i="31"/>
  <c r="W23" i="35"/>
  <c r="AA13" i="33"/>
  <c r="AC31" i="33"/>
  <c r="U19"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AB31" i="37" s="1"/>
  <c r="U31" i="37"/>
  <c r="J15" i="37"/>
  <c r="W15" i="37"/>
  <c r="AT6" i="3"/>
  <c r="H5" i="3"/>
  <c r="H19" i="40"/>
  <c r="U19" i="40" s="1"/>
  <c r="F19" i="40"/>
  <c r="S19" i="40" s="1"/>
  <c r="AC13" i="40"/>
  <c r="W23" i="39"/>
  <c r="U45" i="39"/>
  <c r="AB45" i="39"/>
  <c r="G100"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AZ188" i="3" s="1"/>
  <c r="G189" i="3"/>
  <c r="BA191" i="3"/>
  <c r="AZ191" i="3"/>
  <c r="BL192" i="3"/>
  <c r="G193" i="3"/>
  <c r="BA195" i="3"/>
  <c r="AZ195" i="3"/>
  <c r="BL196" i="3"/>
  <c r="AZ196" i="3" s="1"/>
  <c r="G197" i="3"/>
  <c r="BA199" i="3"/>
  <c r="BL200" i="3"/>
  <c r="G201" i="3"/>
  <c r="BA203" i="3"/>
  <c r="BL204" i="3"/>
  <c r="AZ184" i="3"/>
  <c r="AZ97" i="3"/>
  <c r="G534" i="3"/>
  <c r="G530" i="3"/>
  <c r="G522" i="3"/>
  <c r="G516" i="3"/>
  <c r="G512"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AZ361" i="3" s="1"/>
  <c r="BA363" i="3"/>
  <c r="BA364" i="3"/>
  <c r="BL364" i="3"/>
  <c r="G365" i="3"/>
  <c r="G368" i="3"/>
  <c r="BL369" i="3"/>
  <c r="AZ369" i="3" s="1"/>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G312" i="3"/>
  <c r="BA314" i="3"/>
  <c r="BL315" i="3"/>
  <c r="AZ315" i="3" s="1"/>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AZ222" i="3"/>
  <c r="G342" i="3"/>
  <c r="BL345" i="3"/>
  <c r="AZ345" i="3" s="1"/>
  <c r="G346" i="3"/>
  <c r="BL349" i="3"/>
  <c r="BL352" i="3"/>
  <c r="G353" i="3"/>
  <c r="BA357" i="3"/>
  <c r="BL358" i="3"/>
  <c r="G359" i="3"/>
  <c r="BA361" i="3"/>
  <c r="BL362" i="3"/>
  <c r="AZ362" i="3" s="1"/>
  <c r="G363" i="3"/>
  <c r="BA365" i="3"/>
  <c r="BL366" i="3"/>
  <c r="G367" i="3"/>
  <c r="BA369" i="3"/>
  <c r="BL370" i="3"/>
  <c r="AZ370" i="3" s="1"/>
  <c r="G371" i="3"/>
  <c r="BA373" i="3"/>
  <c r="AZ373" i="3"/>
  <c r="BL374" i="3"/>
  <c r="G375" i="3"/>
  <c r="BA377" i="3"/>
  <c r="AZ237" i="3"/>
  <c r="AZ245" i="3"/>
  <c r="AZ265" i="3"/>
  <c r="BA379" i="3"/>
  <c r="AZ379" i="3" s="1"/>
  <c r="BL380" i="3"/>
  <c r="G381" i="3"/>
  <c r="BA383" i="3"/>
  <c r="AZ383" i="3" s="1"/>
  <c r="BL384" i="3"/>
  <c r="AZ384" i="3" s="1"/>
  <c r="G385" i="3"/>
  <c r="BA387" i="3"/>
  <c r="BL388" i="3"/>
  <c r="G389" i="3"/>
  <c r="BA391" i="3"/>
  <c r="BL392" i="3"/>
  <c r="G393" i="3"/>
  <c r="BJ5" i="3"/>
  <c r="AZ325" i="3"/>
  <c r="AZ341" i="3"/>
  <c r="G548" i="3"/>
  <c r="G538" i="3"/>
  <c r="G520" i="3"/>
  <c r="G502" i="3"/>
  <c r="BN5" i="3"/>
  <c r="BC5" i="3"/>
  <c r="G17" i="3"/>
  <c r="BA17" i="3"/>
  <c r="AZ356" i="3"/>
  <c r="BA15" i="3"/>
  <c r="BR5" i="3"/>
  <c r="AZ392" i="3"/>
  <c r="G509" i="3"/>
  <c r="BL493" i="3"/>
  <c r="F83" i="43"/>
  <c r="H85" i="43" s="1"/>
  <c r="F50" i="43"/>
  <c r="H54" i="43" s="1"/>
  <c r="F72" i="43"/>
  <c r="H75" i="43" s="1"/>
  <c r="S14" i="35"/>
  <c r="U43" i="21"/>
  <c r="U35" i="21"/>
  <c r="AC35" i="21"/>
  <c r="G8" i="1"/>
  <c r="G10" i="1"/>
  <c r="AC11" i="39"/>
  <c r="W37" i="37"/>
  <c r="W44" i="34"/>
  <c r="AC44" i="34"/>
  <c r="S15" i="37"/>
  <c r="U13" i="37"/>
  <c r="U12" i="40"/>
  <c r="AC17" i="34"/>
  <c r="J34" i="33"/>
  <c r="W34" i="33" s="1"/>
  <c r="F33" i="34"/>
  <c r="S33" i="34" s="1"/>
  <c r="H20" i="36"/>
  <c r="U20" i="36" s="1"/>
  <c r="J20" i="36"/>
  <c r="W20" i="36" s="1"/>
  <c r="W24" i="36"/>
  <c r="J27" i="36"/>
  <c r="W27" i="36" s="1"/>
  <c r="AB25" i="37"/>
  <c r="H35" i="40"/>
  <c r="AB35" i="40" s="1"/>
  <c r="AC29" i="35"/>
  <c r="W29" i="35"/>
  <c r="H35" i="37"/>
  <c r="U35" i="37" s="1"/>
  <c r="H20" i="35"/>
  <c r="U20" i="35"/>
  <c r="F20" i="35"/>
  <c r="AB23" i="35"/>
  <c r="AB29" i="36"/>
  <c r="U29" i="36"/>
  <c r="H32" i="37"/>
  <c r="AB32" i="37" s="1"/>
  <c r="H27" i="40"/>
  <c r="AB27" i="40" s="1"/>
  <c r="U27" i="40"/>
  <c r="J27" i="40"/>
  <c r="AC27" i="40"/>
  <c r="F27" i="40"/>
  <c r="AA27" i="40" s="1"/>
  <c r="S27" i="40"/>
  <c r="J30" i="40"/>
  <c r="AC30" i="40"/>
  <c r="F30" i="40"/>
  <c r="AA30" i="40"/>
  <c r="AC2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40" i="3"/>
  <c r="AZ251"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4" i="36"/>
  <c r="U34" i="36"/>
  <c r="AC39" i="40"/>
  <c r="W39" i="40"/>
  <c r="AZ465" i="3"/>
  <c r="AA32" i="36"/>
  <c r="S32" i="36"/>
  <c r="BL14" i="3"/>
  <c r="AC13" i="34"/>
  <c r="AA47" i="34"/>
  <c r="H12" i="39"/>
  <c r="U12" i="39" s="1"/>
  <c r="AB12" i="39"/>
  <c r="F39" i="40"/>
  <c r="BA14" i="3"/>
  <c r="AZ14" i="3" s="1"/>
  <c r="AZ367" i="3"/>
  <c r="AZ224" i="3"/>
  <c r="B12" i="1"/>
  <c r="E12" i="1" s="1"/>
  <c r="B10" i="1"/>
  <c r="E10" i="1" s="1"/>
  <c r="K12" i="1"/>
  <c r="M12" i="1" s="1"/>
  <c r="S13" i="1"/>
  <c r="AR13" i="1" s="1"/>
  <c r="R13" i="1"/>
  <c r="J51" i="67"/>
  <c r="C42" i="1"/>
  <c r="C24" i="12" s="1"/>
  <c r="B41" i="1"/>
  <c r="F48" i="9" s="1"/>
  <c r="O52" i="9" s="1"/>
  <c r="AB37" i="40"/>
  <c r="S35" i="40"/>
  <c r="U35" i="40"/>
  <c r="AC36" i="40"/>
  <c r="W38" i="40"/>
  <c r="S23" i="40"/>
  <c r="AC17" i="40"/>
  <c r="AC15" i="40"/>
  <c r="S30" i="40"/>
  <c r="AA19" i="40"/>
  <c r="S28" i="40"/>
  <c r="AB19" i="40"/>
  <c r="S37" i="39"/>
  <c r="F32" i="39"/>
  <c r="U25" i="39"/>
  <c r="AB27" i="39"/>
  <c r="J21" i="39"/>
  <c r="W21" i="39" s="1"/>
  <c r="F21" i="39"/>
  <c r="G94" i="39"/>
  <c r="H21" i="39"/>
  <c r="W19" i="39"/>
  <c r="U19" i="39"/>
  <c r="S17" i="39"/>
  <c r="S15" i="39"/>
  <c r="S9" i="39"/>
  <c r="U14" i="39"/>
  <c r="AC13" i="39"/>
  <c r="U13" i="36"/>
  <c r="U26" i="36"/>
  <c r="AA26" i="36"/>
  <c r="AA34" i="36"/>
  <c r="AC26" i="36"/>
  <c r="W14" i="36"/>
  <c r="AB14" i="36"/>
  <c r="U22" i="36"/>
  <c r="S24" i="36"/>
  <c r="U24" i="36"/>
  <c r="U16" i="36"/>
  <c r="S14" i="36"/>
  <c r="S23" i="35"/>
  <c r="W24" i="35"/>
  <c r="U28" i="35"/>
  <c r="AB27" i="35"/>
  <c r="U36" i="35"/>
  <c r="AA33" i="35"/>
  <c r="AC30" i="35"/>
  <c r="S32" i="35"/>
  <c r="AA36" i="35"/>
  <c r="S28" i="35"/>
  <c r="AB16" i="35"/>
  <c r="U22" i="35"/>
  <c r="AC20" i="35"/>
  <c r="S22" i="35"/>
  <c r="U14" i="35"/>
  <c r="AA11" i="35"/>
  <c r="AC12" i="35"/>
  <c r="F9" i="35"/>
  <c r="S9" i="35" s="1"/>
  <c r="W27" i="37"/>
  <c r="AC29" i="37"/>
  <c r="U29" i="37"/>
  <c r="W30" i="37"/>
  <c r="S36" i="37"/>
  <c r="AA38" i="37"/>
  <c r="U32" i="37"/>
  <c r="W38" i="37"/>
  <c r="AC35" i="37"/>
  <c r="AC15" i="37"/>
  <c r="J17" i="37"/>
  <c r="W17" i="37"/>
  <c r="G73" i="37"/>
  <c r="F17" i="37"/>
  <c r="AA17" i="37" s="1"/>
  <c r="F75" i="37"/>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AA25" i="34"/>
  <c r="U28" i="34"/>
  <c r="S17" i="34"/>
  <c r="S23" i="34"/>
  <c r="U15" i="34"/>
  <c r="S13" i="34"/>
  <c r="H10" i="34"/>
  <c r="AB10" i="34" s="1"/>
  <c r="F11" i="34"/>
  <c r="S11" i="34" s="1"/>
  <c r="AA35" i="33"/>
  <c r="AA29" i="33"/>
  <c r="AB29" i="33"/>
  <c r="H41" i="33"/>
  <c r="J35" i="33"/>
  <c r="AC35" i="33" s="1"/>
  <c r="J32" i="33"/>
  <c r="AC32" i="33" s="1"/>
  <c r="F87" i="33"/>
  <c r="G87" i="33" s="1"/>
  <c r="H87" i="33" s="1"/>
  <c r="I87" i="33" s="1"/>
  <c r="J87" i="33" s="1"/>
  <c r="K87" i="33" s="1"/>
  <c r="L87" i="33" s="1"/>
  <c r="M87" i="33" s="1"/>
  <c r="H25" i="33"/>
  <c r="U25" i="33" s="1"/>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6" i="21"/>
  <c r="AC40" i="21"/>
  <c r="J15" i="21"/>
  <c r="W15" i="21" s="1"/>
  <c r="F77" i="21"/>
  <c r="G77" i="21"/>
  <c r="F23" i="21"/>
  <c r="S23" i="21" s="1"/>
  <c r="E85"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S33" i="40"/>
  <c r="AA15" i="40"/>
  <c r="U11" i="40"/>
  <c r="U15" i="40"/>
  <c r="U8" i="40"/>
  <c r="S8" i="40"/>
  <c r="AA39" i="39"/>
  <c r="AC41" i="39"/>
  <c r="U42" i="39"/>
  <c r="U41" i="39"/>
  <c r="W25" i="39"/>
  <c r="U13" i="39"/>
  <c r="AB13" i="39"/>
  <c r="AA13" i="39"/>
  <c r="S13" i="39"/>
  <c r="U11" i="39"/>
  <c r="AA27" i="39"/>
  <c r="S27" i="39"/>
  <c r="W31" i="39"/>
  <c r="AA45" i="39"/>
  <c r="AB39" i="39"/>
  <c r="W34" i="39"/>
  <c r="S8" i="39"/>
  <c r="S20" i="36"/>
  <c r="AC25" i="36"/>
  <c r="U32" i="36"/>
  <c r="W29" i="36"/>
  <c r="AC20" i="36"/>
  <c r="U25" i="36"/>
  <c r="AB28" i="36"/>
  <c r="AA13" i="36"/>
  <c r="W9" i="36"/>
  <c r="AB20" i="35"/>
  <c r="AC25" i="35"/>
  <c r="U24" i="35"/>
  <c r="S35" i="35"/>
  <c r="AA35" i="37"/>
  <c r="W36" i="37"/>
  <c r="S27" i="37"/>
  <c r="S28" i="37"/>
  <c r="U36" i="37"/>
  <c r="U38" i="37"/>
  <c r="AB37" i="37"/>
  <c r="AC34" i="37"/>
  <c r="AB35" i="37"/>
  <c r="AA31" i="37"/>
  <c r="AA29" i="37"/>
  <c r="U8" i="37"/>
  <c r="AA40" i="34"/>
  <c r="AB40" i="34"/>
  <c r="U19" i="34"/>
  <c r="W19" i="34"/>
  <c r="AB33" i="34"/>
  <c r="AA31" i="34"/>
  <c r="AA30"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S33" i="33"/>
  <c r="U44" i="33"/>
  <c r="AB44" i="33"/>
  <c r="AC14" i="33"/>
  <c r="W14" i="33"/>
  <c r="S31" i="33"/>
  <c r="AA31" i="33"/>
  <c r="W13" i="33"/>
  <c r="AC13" i="33"/>
  <c r="W8" i="33"/>
  <c r="S44" i="21"/>
  <c r="S45" i="21"/>
  <c r="F33" i="21"/>
  <c r="AA33" i="21" s="1"/>
  <c r="J33" i="21"/>
  <c r="AC33" i="21" s="1"/>
  <c r="H33" i="21"/>
  <c r="AB33" i="21" s="1"/>
  <c r="F37" i="21"/>
  <c r="AA37" i="21" s="1"/>
  <c r="AA26" i="21"/>
  <c r="AB46" i="21"/>
  <c r="U40" i="21"/>
  <c r="AB31" i="21"/>
  <c r="U31" i="21"/>
  <c r="AC1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S9" i="21"/>
  <c r="AA9" i="21"/>
  <c r="K141" i="21"/>
  <c r="K144" i="21"/>
  <c r="K143" i="21"/>
  <c r="AB25" i="21"/>
  <c r="W42" i="21"/>
  <c r="F10" i="21"/>
  <c r="AA10" i="21" s="1"/>
  <c r="K145" i="21"/>
  <c r="W25" i="21"/>
  <c r="W31"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H32" i="39"/>
  <c r="AB32" i="39" s="1"/>
  <c r="AA32" i="39"/>
  <c r="S32" i="39"/>
  <c r="AB21" i="39"/>
  <c r="U21" i="39"/>
  <c r="AA21" i="39"/>
  <c r="S21" i="39"/>
  <c r="AC17" i="37"/>
  <c r="J19" i="37"/>
  <c r="W19" i="37" s="1"/>
  <c r="G75" i="37"/>
  <c r="AA19" i="37"/>
  <c r="AA23" i="37"/>
  <c r="J23" i="37"/>
  <c r="W23" i="37" s="1"/>
  <c r="G79" i="37"/>
  <c r="J10" i="37"/>
  <c r="W10" i="37" s="1"/>
  <c r="H11" i="37"/>
  <c r="AB11" i="37" s="1"/>
  <c r="H11" i="34"/>
  <c r="U11" i="34" s="1"/>
  <c r="J10" i="34"/>
  <c r="AC10" i="34" s="1"/>
  <c r="AB41" i="33"/>
  <c r="U41" i="33"/>
  <c r="H36" i="33"/>
  <c r="U36" i="33" s="1"/>
  <c r="J25" i="33"/>
  <c r="W25" i="33" s="1"/>
  <c r="U23" i="33"/>
  <c r="F23" i="33"/>
  <c r="H19" i="33"/>
  <c r="AB19" i="33" s="1"/>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F16" i="67"/>
  <c r="M24" i="67"/>
  <c r="F42" i="67"/>
  <c r="B12" i="76"/>
  <c r="M24" i="15"/>
  <c r="E9" i="76"/>
  <c r="L47" i="67"/>
  <c r="E11" i="76"/>
  <c r="B9" i="76"/>
  <c r="B13" i="76"/>
  <c r="E8" i="76"/>
  <c r="F7" i="73"/>
  <c r="C76" i="67"/>
  <c r="E2" i="68"/>
  <c r="F43" i="15"/>
  <c r="B10" i="76"/>
  <c r="M8" i="67"/>
  <c r="E7" i="76"/>
  <c r="M29" i="15"/>
  <c r="L48" i="67"/>
  <c r="C19" i="9"/>
  <c r="F6" i="73"/>
  <c r="E10" i="76"/>
  <c r="F38" i="67"/>
  <c r="B8" i="76"/>
  <c r="B11" i="76"/>
  <c r="F38" i="15"/>
  <c r="M22" i="67"/>
  <c r="M6" i="15"/>
  <c r="F7" i="67"/>
  <c r="F9" i="67"/>
  <c r="F40" i="67"/>
  <c r="J15" i="67"/>
  <c r="M9" i="15"/>
  <c r="D6" i="73"/>
  <c r="E12" i="76"/>
  <c r="AO13" i="1"/>
  <c r="F8" i="15"/>
  <c r="E2" i="69"/>
  <c r="F5" i="73"/>
  <c r="F8" i="67"/>
  <c r="M23" i="67"/>
  <c r="F43" i="67"/>
  <c r="F37" i="67"/>
  <c r="F36" i="67"/>
  <c r="L47" i="15"/>
  <c r="F6" i="15"/>
  <c r="M29" i="67"/>
  <c r="M26" i="67"/>
  <c r="M6" i="67"/>
  <c r="F26" i="67"/>
  <c r="F3" i="73"/>
  <c r="L48" i="15"/>
  <c r="B7" i="76"/>
  <c r="F20" i="31"/>
  <c r="M23" i="15"/>
  <c r="F13" i="67"/>
  <c r="M9" i="67"/>
  <c r="M28" i="67"/>
  <c r="F4" i="73"/>
  <c r="E13" i="76"/>
  <c r="F16" i="15"/>
  <c r="H69" i="43" l="1"/>
  <c r="C21" i="68"/>
  <c r="J37" i="33"/>
  <c r="W37" i="33" s="1"/>
  <c r="H37" i="33"/>
  <c r="AB37" i="33" s="1"/>
  <c r="AB28" i="33"/>
  <c r="W33" i="33"/>
  <c r="J42" i="33"/>
  <c r="AC42" i="33" s="1"/>
  <c r="F42" i="33"/>
  <c r="AA42" i="33" s="1"/>
  <c r="F43" i="33"/>
  <c r="AA43" i="33" s="1"/>
  <c r="J43" i="33"/>
  <c r="AC43" i="33" s="1"/>
  <c r="H43" i="33"/>
  <c r="U43" i="33" s="1"/>
  <c r="F27" i="33"/>
  <c r="AA27" i="33" s="1"/>
  <c r="J27" i="33"/>
  <c r="W27" i="33" s="1"/>
  <c r="H27" i="33"/>
  <c r="U27" i="33" s="1"/>
  <c r="U38" i="33"/>
  <c r="W38" i="33"/>
  <c r="U39" i="33"/>
  <c r="AA37" i="33"/>
  <c r="J36" i="33"/>
  <c r="W36" i="33" s="1"/>
  <c r="F36" i="33"/>
  <c r="AA36" i="33" s="1"/>
  <c r="W35" i="33"/>
  <c r="AB36" i="33"/>
  <c r="U33" i="33"/>
  <c r="W32" i="33"/>
  <c r="AC25" i="33"/>
  <c r="AA25" i="33"/>
  <c r="U42" i="33"/>
  <c r="W39" i="33"/>
  <c r="S39" i="33"/>
  <c r="AB34" i="33"/>
  <c r="U32" i="33"/>
  <c r="AA32" i="33"/>
  <c r="AA28" i="33"/>
  <c r="W28" i="33"/>
  <c r="S21" i="33"/>
  <c r="U19" i="33"/>
  <c r="AA19" i="33"/>
  <c r="W19" i="33"/>
  <c r="W17" i="33"/>
  <c r="AB25" i="33"/>
  <c r="AC21" i="33"/>
  <c r="W15" i="33"/>
  <c r="S15" i="33"/>
  <c r="U11" i="33"/>
  <c r="H9" i="33"/>
  <c r="AB9" i="33" s="1"/>
  <c r="J9" i="33"/>
  <c r="I7" i="33"/>
  <c r="G7" i="33"/>
  <c r="E7" i="33"/>
  <c r="AZ554" i="3"/>
  <c r="AC26" i="33"/>
  <c r="W26" i="33"/>
  <c r="AZ506" i="3"/>
  <c r="AZ561" i="3"/>
  <c r="AZ565" i="3"/>
  <c r="AZ557" i="3"/>
  <c r="AZ556" i="3"/>
  <c r="AZ572" i="3"/>
  <c r="AZ549" i="3"/>
  <c r="AA20" i="35"/>
  <c r="S20" i="35"/>
  <c r="AZ529" i="3"/>
  <c r="AZ571" i="3"/>
  <c r="J30" i="21"/>
  <c r="H30" i="21"/>
  <c r="AB32" i="35"/>
  <c r="U32" i="35"/>
  <c r="AA27" i="35"/>
  <c r="S27" i="35"/>
  <c r="J43" i="39"/>
  <c r="H43" i="39"/>
  <c r="AB34" i="40"/>
  <c r="U34" i="40"/>
  <c r="U42" i="34"/>
  <c r="AB42" i="34"/>
  <c r="BA561" i="3"/>
  <c r="BL558" i="3"/>
  <c r="AZ558" i="3" s="1"/>
  <c r="AZ200" i="3"/>
  <c r="AZ515" i="3"/>
  <c r="S13" i="37"/>
  <c r="AA13" i="37"/>
  <c r="AA16" i="36"/>
  <c r="S16" i="36"/>
  <c r="J30" i="33"/>
  <c r="H30" i="33"/>
  <c r="H46" i="33"/>
  <c r="J46" i="33"/>
  <c r="F13" i="35"/>
  <c r="S13" i="35" s="1"/>
  <c r="J13" i="35"/>
  <c r="H35" i="35"/>
  <c r="J35" i="35"/>
  <c r="BL562" i="3"/>
  <c r="BL560" i="3"/>
  <c r="BA560" i="3"/>
  <c r="AZ560" i="3" s="1"/>
  <c r="BA559" i="3"/>
  <c r="AC45" i="34"/>
  <c r="U19" i="37"/>
  <c r="W32" i="37"/>
  <c r="U37" i="39"/>
  <c r="AC34" i="33"/>
  <c r="AZ539" i="3"/>
  <c r="BL557" i="3"/>
  <c r="AZ518" i="3"/>
  <c r="AZ580" i="3"/>
  <c r="AB36" i="40"/>
  <c r="U36" i="40"/>
  <c r="J27" i="21"/>
  <c r="F27" i="21"/>
  <c r="J39" i="37"/>
  <c r="F39" i="37"/>
  <c r="S39" i="37" s="1"/>
  <c r="J12" i="39"/>
  <c r="F12" i="39"/>
  <c r="H44" i="39"/>
  <c r="F44" i="39"/>
  <c r="J44" i="39"/>
  <c r="AC31" i="40"/>
  <c r="W31" i="40"/>
  <c r="J33" i="40"/>
  <c r="H33" i="40"/>
  <c r="BA584" i="3"/>
  <c r="AZ584" i="3" s="1"/>
  <c r="BL582" i="3"/>
  <c r="BA582" i="3"/>
  <c r="AZ582" i="3" s="1"/>
  <c r="BL580" i="3"/>
  <c r="BL579" i="3"/>
  <c r="AZ579" i="3" s="1"/>
  <c r="BA577" i="3"/>
  <c r="AZ577" i="3" s="1"/>
  <c r="AZ575" i="3"/>
  <c r="BA569" i="3"/>
  <c r="BL566" i="3"/>
  <c r="D68" i="9"/>
  <c r="F30" i="69"/>
  <c r="F48" i="69" s="1"/>
  <c r="F31" i="12"/>
  <c r="AC14" i="21"/>
  <c r="BE5" i="3"/>
  <c r="U14" i="40"/>
  <c r="F14" i="40"/>
  <c r="H13" i="35"/>
  <c r="F30" i="33"/>
  <c r="S14" i="34"/>
  <c r="AA14" i="34"/>
  <c r="AB17" i="39"/>
  <c r="U17" i="39"/>
  <c r="AC23" i="37"/>
  <c r="AC9" i="21"/>
  <c r="U9" i="21"/>
  <c r="D6" i="52"/>
  <c r="S17" i="37"/>
  <c r="F28" i="15"/>
  <c r="C28" i="15" s="1"/>
  <c r="F32" i="67"/>
  <c r="F60" i="67" s="1"/>
  <c r="F28" i="67"/>
  <c r="S43" i="34"/>
  <c r="S37" i="37"/>
  <c r="AB40" i="37"/>
  <c r="W9" i="35"/>
  <c r="AA25" i="36"/>
  <c r="F12" i="33"/>
  <c r="AC12" i="33"/>
  <c r="S11" i="40"/>
  <c r="AZ15" i="3"/>
  <c r="AZ387" i="3"/>
  <c r="AZ203" i="3"/>
  <c r="AZ306" i="3"/>
  <c r="AA11" i="39"/>
  <c r="W37" i="39"/>
  <c r="AC45" i="33"/>
  <c r="U26" i="37"/>
  <c r="U17" i="37"/>
  <c r="AB17" i="37"/>
  <c r="S25" i="21"/>
  <c r="AA25" i="21"/>
  <c r="BL569" i="3"/>
  <c r="AZ569" i="3" s="1"/>
  <c r="AZ498" i="3"/>
  <c r="AZ510" i="3"/>
  <c r="BL552" i="3"/>
  <c r="AZ552" i="3" s="1"/>
  <c r="J14" i="40"/>
  <c r="F43" i="39"/>
  <c r="S25" i="35"/>
  <c r="AA25" i="35"/>
  <c r="F29" i="34"/>
  <c r="AC44" i="33"/>
  <c r="H27" i="21"/>
  <c r="F30" i="21"/>
  <c r="H14" i="21"/>
  <c r="AB29" i="35"/>
  <c r="U29" i="35"/>
  <c r="W28" i="34"/>
  <c r="AC28" i="34"/>
  <c r="AA28" i="34"/>
  <c r="S28" i="34"/>
  <c r="W11" i="40"/>
  <c r="AA19" i="39"/>
  <c r="S19" i="39"/>
  <c r="W25" i="37"/>
  <c r="U38" i="21"/>
  <c r="AB38" i="21"/>
  <c r="BA586" i="3"/>
  <c r="AZ586" i="3" s="1"/>
  <c r="BL585" i="3"/>
  <c r="AZ585" i="3" s="1"/>
  <c r="J28" i="21"/>
  <c r="H28" i="21"/>
  <c r="B72" i="43"/>
  <c r="C15" i="39"/>
  <c r="B75" i="43"/>
  <c r="AA40" i="33"/>
  <c r="F9" i="34"/>
  <c r="AA9" i="34" s="1"/>
  <c r="J9" i="34"/>
  <c r="W14" i="35"/>
  <c r="AC14" i="35"/>
  <c r="J12" i="36"/>
  <c r="H12" i="36"/>
  <c r="H33" i="36"/>
  <c r="AB9" i="39"/>
  <c r="U9" i="39"/>
  <c r="AA17" i="33"/>
  <c r="S35" i="21"/>
  <c r="S11" i="33"/>
  <c r="AC17" i="39"/>
  <c r="AA14" i="39"/>
  <c r="AB13" i="40"/>
  <c r="AB41" i="34"/>
  <c r="BB5" i="3"/>
  <c r="AZ388" i="3"/>
  <c r="AZ364" i="3"/>
  <c r="AZ360" i="3"/>
  <c r="W47" i="34"/>
  <c r="S22" i="36"/>
  <c r="AA22" i="36"/>
  <c r="AZ533" i="3"/>
  <c r="BL553" i="3"/>
  <c r="AZ553" i="3" s="1"/>
  <c r="F31" i="39"/>
  <c r="BL578" i="3"/>
  <c r="BA576" i="3"/>
  <c r="AZ576" i="3" s="1"/>
  <c r="BA574" i="3"/>
  <c r="AZ574" i="3" s="1"/>
  <c r="G570" i="3"/>
  <c r="BA568" i="3"/>
  <c r="AZ568" i="3" s="1"/>
  <c r="BA567" i="3"/>
  <c r="AZ567" i="3" s="1"/>
  <c r="BA566" i="3"/>
  <c r="AZ566" i="3" s="1"/>
  <c r="AC45" i="21"/>
  <c r="AB44" i="21"/>
  <c r="S19" i="21"/>
  <c r="U15" i="33"/>
  <c r="W33" i="34"/>
  <c r="AB45" i="34"/>
  <c r="AA16" i="35"/>
  <c r="W23" i="36"/>
  <c r="U38" i="39"/>
  <c r="S23" i="39"/>
  <c r="S31" i="40"/>
  <c r="S13" i="40"/>
  <c r="S13" i="21"/>
  <c r="M18" i="15"/>
  <c r="M18" i="67"/>
  <c r="F30" i="11"/>
  <c r="C48" i="11" s="1"/>
  <c r="S17" i="21"/>
  <c r="S40" i="37"/>
  <c r="U25" i="35"/>
  <c r="W22" i="36"/>
  <c r="AB17" i="40"/>
  <c r="S37" i="40"/>
  <c r="U29" i="34"/>
  <c r="AA38" i="21"/>
  <c r="U15" i="37"/>
  <c r="S30" i="37"/>
  <c r="H9" i="35"/>
  <c r="U9" i="35" s="1"/>
  <c r="AB20" i="36"/>
  <c r="U31" i="39"/>
  <c r="U35" i="39"/>
  <c r="U21" i="40"/>
  <c r="W28" i="37"/>
  <c r="W39" i="34"/>
  <c r="AC39" i="34"/>
  <c r="S34" i="33"/>
  <c r="AA34" i="33"/>
  <c r="AZ391" i="3"/>
  <c r="AZ334" i="3"/>
  <c r="AZ319" i="3"/>
  <c r="AZ311" i="3"/>
  <c r="AZ347" i="3"/>
  <c r="AZ192" i="3"/>
  <c r="AZ183" i="3"/>
  <c r="S42" i="39"/>
  <c r="AC12" i="37"/>
  <c r="F12" i="37"/>
  <c r="S12" i="37" s="1"/>
  <c r="W44" i="21"/>
  <c r="U39" i="37"/>
  <c r="AB27" i="34"/>
  <c r="U27" i="34"/>
  <c r="AA36" i="39"/>
  <c r="BL565" i="3"/>
  <c r="AZ527" i="3"/>
  <c r="AZ537" i="3"/>
  <c r="AZ546" i="3"/>
  <c r="F45" i="34"/>
  <c r="J29" i="34"/>
  <c r="F46" i="33"/>
  <c r="AC11" i="35"/>
  <c r="F14" i="21"/>
  <c r="AA17" i="40"/>
  <c r="S17" i="40"/>
  <c r="U38" i="40"/>
  <c r="H36" i="39"/>
  <c r="H13" i="21"/>
  <c r="J13" i="21"/>
  <c r="J29" i="21"/>
  <c r="H29" i="21"/>
  <c r="F26" i="33"/>
  <c r="H26" i="33"/>
  <c r="H23" i="36"/>
  <c r="F23" i="36"/>
  <c r="AB31" i="36"/>
  <c r="U31" i="36"/>
  <c r="AA25" i="37"/>
  <c r="S25" i="37"/>
  <c r="BL550" i="3"/>
  <c r="BA549" i="3"/>
  <c r="BA548" i="3"/>
  <c r="BL544" i="3"/>
  <c r="AZ544" i="3" s="1"/>
  <c r="BL542" i="3"/>
  <c r="BA542" i="3"/>
  <c r="BA541" i="3"/>
  <c r="AZ541" i="3" s="1"/>
  <c r="BL540" i="3"/>
  <c r="AZ540" i="3" s="1"/>
  <c r="BL538" i="3"/>
  <c r="BA538" i="3"/>
  <c r="BL537" i="3"/>
  <c r="BA534" i="3"/>
  <c r="AZ534" i="3" s="1"/>
  <c r="BA533" i="3"/>
  <c r="BL532" i="3"/>
  <c r="AZ532" i="3" s="1"/>
  <c r="BA530" i="3"/>
  <c r="AZ530" i="3" s="1"/>
  <c r="BA528" i="3"/>
  <c r="AZ528" i="3" s="1"/>
  <c r="BL526" i="3"/>
  <c r="AZ526" i="3" s="1"/>
  <c r="BA525" i="3"/>
  <c r="AZ525" i="3" s="1"/>
  <c r="BL524" i="3"/>
  <c r="AZ524" i="3" s="1"/>
  <c r="BL522" i="3"/>
  <c r="BA522" i="3"/>
  <c r="BL521" i="3"/>
  <c r="BA521" i="3"/>
  <c r="BA520" i="3"/>
  <c r="AZ520" i="3" s="1"/>
  <c r="BL518" i="3"/>
  <c r="BA515" i="3"/>
  <c r="BA514" i="3"/>
  <c r="AZ514" i="3" s="1"/>
  <c r="BA512" i="3"/>
  <c r="AZ512" i="3" s="1"/>
  <c r="BA508" i="3"/>
  <c r="AZ508" i="3" s="1"/>
  <c r="BL506" i="3"/>
  <c r="BA505" i="3"/>
  <c r="AZ505" i="3" s="1"/>
  <c r="BL504" i="3"/>
  <c r="AZ504" i="3" s="1"/>
  <c r="BL502" i="3"/>
  <c r="AZ502" i="3" s="1"/>
  <c r="BA502" i="3"/>
  <c r="BL500" i="3"/>
  <c r="AZ500" i="3" s="1"/>
  <c r="BL499" i="3"/>
  <c r="AZ499" i="3" s="1"/>
  <c r="BA497" i="3"/>
  <c r="AZ497" i="3" s="1"/>
  <c r="BP5" i="3"/>
  <c r="G29" i="6" s="1"/>
  <c r="G30" i="6" s="1"/>
  <c r="G31" i="6" s="1"/>
  <c r="BG5" i="3"/>
  <c r="BA496" i="3"/>
  <c r="AZ496" i="3" s="1"/>
  <c r="BL495" i="3"/>
  <c r="BO5" i="3"/>
  <c r="F29" i="6" s="1"/>
  <c r="E29" i="6" s="1"/>
  <c r="K15" i="1" s="1"/>
  <c r="BF5" i="3"/>
  <c r="AC5" i="3"/>
  <c r="B27" i="71"/>
  <c r="B26" i="71" s="1"/>
  <c r="S28" i="71"/>
  <c r="Y29" i="71"/>
  <c r="Z29" i="71" s="1"/>
  <c r="C30" i="71"/>
  <c r="Y28" i="71"/>
  <c r="Z28" i="71" s="1"/>
  <c r="X28" i="71"/>
  <c r="X31" i="71"/>
  <c r="C55" i="71"/>
  <c r="D54" i="71"/>
  <c r="B66" i="71"/>
  <c r="N67" i="71"/>
  <c r="C67" i="71"/>
  <c r="T68" i="71"/>
  <c r="O68" i="71"/>
  <c r="D68" i="71"/>
  <c r="F79" i="71"/>
  <c r="F78" i="71" s="1"/>
  <c r="V80" i="71"/>
  <c r="Y27" i="71"/>
  <c r="Z27" i="71" s="1"/>
  <c r="Y26" i="71"/>
  <c r="Z26" i="71" s="1"/>
  <c r="Y25" i="71"/>
  <c r="Z25" i="71" s="1"/>
  <c r="G585" i="3"/>
  <c r="BL587" i="3"/>
  <c r="AZ587" i="3" s="1"/>
  <c r="BL586" i="3"/>
  <c r="AZ27" i="3"/>
  <c r="P65" i="71"/>
  <c r="P66" i="71"/>
  <c r="C44" i="71"/>
  <c r="D43" i="71"/>
  <c r="AZ357" i="3"/>
  <c r="AZ322" i="3"/>
  <c r="AZ313" i="3"/>
  <c r="AZ394" i="3"/>
  <c r="BL519" i="3"/>
  <c r="AZ519" i="3" s="1"/>
  <c r="BL531" i="3"/>
  <c r="AZ531" i="3" s="1"/>
  <c r="BL559" i="3"/>
  <c r="BL573" i="3"/>
  <c r="AZ573" i="3" s="1"/>
  <c r="BL583" i="3"/>
  <c r="AZ583" i="3" s="1"/>
  <c r="G587" i="3"/>
  <c r="AZ451"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AZ438" i="3" s="1"/>
  <c r="G443" i="3"/>
  <c r="BA446" i="3"/>
  <c r="BA450" i="3"/>
  <c r="BA453" i="3"/>
  <c r="AZ453" i="3" s="1"/>
  <c r="BA455" i="3"/>
  <c r="AZ455" i="3" s="1"/>
  <c r="BL457" i="3"/>
  <c r="BL460" i="3"/>
  <c r="BL461" i="3"/>
  <c r="BL463" i="3"/>
  <c r="AZ469" i="3"/>
  <c r="BL470" i="3"/>
  <c r="AZ470" i="3" s="1"/>
  <c r="BL473" i="3"/>
  <c r="AZ473" i="3" s="1"/>
  <c r="BL474" i="3"/>
  <c r="AZ487" i="3"/>
  <c r="BA249" i="3"/>
  <c r="BL249" i="3"/>
  <c r="BL299" i="3"/>
  <c r="BL113" i="3"/>
  <c r="BL115" i="3"/>
  <c r="AZ115" i="3" s="1"/>
  <c r="BA118" i="3"/>
  <c r="BL118" i="3"/>
  <c r="BL125" i="3"/>
  <c r="BL126" i="3"/>
  <c r="BA178" i="3"/>
  <c r="AZ178" i="3" s="1"/>
  <c r="BL207" i="3"/>
  <c r="BL18" i="3"/>
  <c r="BL19" i="3"/>
  <c r="BA20" i="3"/>
  <c r="AZ20" i="3" s="1"/>
  <c r="D60" i="71"/>
  <c r="T60" i="71"/>
  <c r="B71" i="71"/>
  <c r="B70" i="71" s="1"/>
  <c r="S72" i="71"/>
  <c r="X25" i="71"/>
  <c r="X26" i="71"/>
  <c r="C23" i="71"/>
  <c r="B22" i="71"/>
  <c r="B21" i="71" s="1"/>
  <c r="B20" i="71" s="1"/>
  <c r="AA3" i="71"/>
  <c r="G574" i="3"/>
  <c r="K10" i="1"/>
  <c r="M10" i="1" s="1"/>
  <c r="O10" i="1" s="1"/>
  <c r="P10" i="1" s="1"/>
  <c r="BL15" i="3"/>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AZ461" i="3" s="1"/>
  <c r="BL464" i="3"/>
  <c r="BL467" i="3"/>
  <c r="BL468" i="3"/>
  <c r="BL471" i="3"/>
  <c r="BL314" i="3"/>
  <c r="AZ314" i="3" s="1"/>
  <c r="BA216" i="3"/>
  <c r="AZ216" i="3" s="1"/>
  <c r="BL220" i="3"/>
  <c r="BL221" i="3"/>
  <c r="BL223" i="3"/>
  <c r="BA229" i="3"/>
  <c r="BL229" i="3"/>
  <c r="BA231" i="3"/>
  <c r="BL235" i="3"/>
  <c r="AZ235" i="3" s="1"/>
  <c r="BL236" i="3"/>
  <c r="BL238" i="3"/>
  <c r="BL243" i="3"/>
  <c r="BA247" i="3"/>
  <c r="BL247" i="3"/>
  <c r="BA253" i="3"/>
  <c r="BL260" i="3"/>
  <c r="BL263" i="3"/>
  <c r="BA272" i="3"/>
  <c r="AZ272" i="3" s="1"/>
  <c r="BA275" i="3"/>
  <c r="AZ275" i="3" s="1"/>
  <c r="BA290" i="3"/>
  <c r="BA144" i="3"/>
  <c r="AZ144" i="3" s="1"/>
  <c r="BA153" i="3"/>
  <c r="AZ153" i="3" s="1"/>
  <c r="BA164" i="3"/>
  <c r="AZ164" i="3" s="1"/>
  <c r="BA166" i="3"/>
  <c r="AZ166" i="3" s="1"/>
  <c r="BA176" i="3"/>
  <c r="AZ176" i="3" s="1"/>
  <c r="BL189" i="3"/>
  <c r="AZ189" i="3" s="1"/>
  <c r="BL190" i="3"/>
  <c r="BA192" i="3"/>
  <c r="BA202" i="3"/>
  <c r="AZ64" i="3"/>
  <c r="C47" i="71"/>
  <c r="D47" i="71" s="1"/>
  <c r="D46" i="71"/>
  <c r="BA551" i="3"/>
  <c r="AZ551" i="3" s="1"/>
  <c r="BA550" i="3"/>
  <c r="AZ550" i="3" s="1"/>
  <c r="BL548" i="3"/>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AZ439" i="3" s="1"/>
  <c r="BA441" i="3"/>
  <c r="AZ441" i="3" s="1"/>
  <c r="BL445" i="3"/>
  <c r="BL446" i="3"/>
  <c r="BL449" i="3"/>
  <c r="AZ449" i="3" s="1"/>
  <c r="BL450" i="3"/>
  <c r="BL452" i="3"/>
  <c r="G454" i="3"/>
  <c r="G455" i="3"/>
  <c r="BL456" i="3"/>
  <c r="BA464" i="3"/>
  <c r="BA467" i="3"/>
  <c r="BA468" i="3"/>
  <c r="AZ468" i="3" s="1"/>
  <c r="BL479" i="3"/>
  <c r="G480" i="3"/>
  <c r="BL480" i="3"/>
  <c r="AZ480" i="3" s="1"/>
  <c r="G482" i="3"/>
  <c r="BA483" i="3"/>
  <c r="BL483" i="3"/>
  <c r="BL488" i="3"/>
  <c r="BA303" i="3"/>
  <c r="AZ303" i="3" s="1"/>
  <c r="BA307" i="3"/>
  <c r="AZ307" i="3" s="1"/>
  <c r="BA319" i="3"/>
  <c r="BA332" i="3"/>
  <c r="BL332" i="3"/>
  <c r="BL350" i="3"/>
  <c r="G351" i="3"/>
  <c r="G374" i="3"/>
  <c r="G384" i="3"/>
  <c r="BA385" i="3"/>
  <c r="BL213" i="3"/>
  <c r="G218" i="3"/>
  <c r="BA226" i="3"/>
  <c r="AZ226" i="3" s="1"/>
  <c r="BL233" i="3"/>
  <c r="AZ233" i="3" s="1"/>
  <c r="G251" i="3"/>
  <c r="BL254" i="3"/>
  <c r="G255" i="3"/>
  <c r="BL255" i="3"/>
  <c r="G257" i="3"/>
  <c r="BL257" i="3"/>
  <c r="AZ257" i="3" s="1"/>
  <c r="BL258" i="3"/>
  <c r="G259" i="3"/>
  <c r="BL269" i="3"/>
  <c r="BL270" i="3"/>
  <c r="AZ270" i="3" s="1"/>
  <c r="G273" i="3"/>
  <c r="BA278" i="3"/>
  <c r="AZ278" i="3" s="1"/>
  <c r="BA280" i="3"/>
  <c r="AZ280" i="3" s="1"/>
  <c r="G283" i="3"/>
  <c r="BL283" i="3"/>
  <c r="AZ283" i="3" s="1"/>
  <c r="BL284" i="3"/>
  <c r="G285" i="3"/>
  <c r="BL287" i="3"/>
  <c r="BL292" i="3"/>
  <c r="G295" i="3"/>
  <c r="BA120" i="3"/>
  <c r="AZ120" i="3" s="1"/>
  <c r="BA122" i="3"/>
  <c r="AZ122" i="3" s="1"/>
  <c r="BA125" i="3"/>
  <c r="AZ125" i="3" s="1"/>
  <c r="BA128" i="3"/>
  <c r="AZ128" i="3" s="1"/>
  <c r="BL146" i="3"/>
  <c r="AZ146" i="3" s="1"/>
  <c r="BA148" i="3"/>
  <c r="AZ148" i="3" s="1"/>
  <c r="BL154" i="3"/>
  <c r="G155" i="3"/>
  <c r="G167" i="3"/>
  <c r="BA168" i="3"/>
  <c r="AZ168" i="3" s="1"/>
  <c r="BL171" i="3"/>
  <c r="AZ171" i="3" s="1"/>
  <c r="G184" i="3"/>
  <c r="BA185" i="3"/>
  <c r="BL197" i="3"/>
  <c r="BL199" i="3"/>
  <c r="AZ199" i="3" s="1"/>
  <c r="BA200" i="3"/>
  <c r="BA22" i="3"/>
  <c r="BA25" i="3"/>
  <c r="AZ25" i="3" s="1"/>
  <c r="BA26" i="3"/>
  <c r="G28" i="3"/>
  <c r="BL28" i="3"/>
  <c r="AZ28" i="3" s="1"/>
  <c r="BA29" i="3"/>
  <c r="AZ29" i="3" s="1"/>
  <c r="BA31" i="3"/>
  <c r="AZ31" i="3" s="1"/>
  <c r="BA32" i="3"/>
  <c r="BA43" i="3"/>
  <c r="BL47" i="3"/>
  <c r="AZ47" i="3" s="1"/>
  <c r="G49" i="3"/>
  <c r="BL54" i="3"/>
  <c r="BL55" i="3"/>
  <c r="AZ55" i="3" s="1"/>
  <c r="G57" i="3"/>
  <c r="AZ62" i="3"/>
  <c r="F40" i="69"/>
  <c r="C40" i="69"/>
  <c r="S18" i="35"/>
  <c r="AA18" i="35"/>
  <c r="D75" i="71"/>
  <c r="C74" i="71"/>
  <c r="D74" i="71" s="1"/>
  <c r="E34" i="71"/>
  <c r="E35" i="71" s="1"/>
  <c r="E36" i="71" s="1"/>
  <c r="U36" i="71" s="1"/>
  <c r="AA30" i="71"/>
  <c r="AA28" i="71"/>
  <c r="BL475" i="3"/>
  <c r="BA477" i="3"/>
  <c r="BA478" i="3"/>
  <c r="BA481" i="3"/>
  <c r="BA488" i="3"/>
  <c r="BA491" i="3"/>
  <c r="AZ491" i="3" s="1"/>
  <c r="BL324" i="3"/>
  <c r="AZ324" i="3" s="1"/>
  <c r="BL328" i="3"/>
  <c r="AZ328" i="3" s="1"/>
  <c r="BA335" i="3"/>
  <c r="AZ335" i="3" s="1"/>
  <c r="BA339" i="3"/>
  <c r="AZ339" i="3" s="1"/>
  <c r="G347" i="3"/>
  <c r="BA348" i="3"/>
  <c r="BA350" i="3"/>
  <c r="AZ350" i="3" s="1"/>
  <c r="BA354" i="3"/>
  <c r="BA366" i="3"/>
  <c r="AZ366" i="3" s="1"/>
  <c r="BL375" i="3"/>
  <c r="AZ375" i="3" s="1"/>
  <c r="BL385" i="3"/>
  <c r="G392" i="3"/>
  <c r="BA397" i="3"/>
  <c r="AZ397" i="3" s="1"/>
  <c r="BL397" i="3"/>
  <c r="BA210" i="3"/>
  <c r="BL210" i="3"/>
  <c r="BL212" i="3"/>
  <c r="AZ212" i="3" s="1"/>
  <c r="BL214" i="3"/>
  <c r="AZ214" i="3" s="1"/>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AZ284" i="3" s="1"/>
  <c r="BL290" i="3"/>
  <c r="AZ290" i="3" s="1"/>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BA181" i="3"/>
  <c r="AZ181" i="3" s="1"/>
  <c r="BA182" i="3"/>
  <c r="AZ182" i="3" s="1"/>
  <c r="BL185" i="3"/>
  <c r="AZ185" i="3" s="1"/>
  <c r="BL193" i="3"/>
  <c r="BL194" i="3"/>
  <c r="AZ194" i="3" s="1"/>
  <c r="BA198" i="3"/>
  <c r="AZ198" i="3" s="1"/>
  <c r="G199" i="3"/>
  <c r="G205" i="3"/>
  <c r="BL206" i="3"/>
  <c r="BA19" i="3"/>
  <c r="AZ19" i="3" s="1"/>
  <c r="G27" i="3"/>
  <c r="BA27" i="3"/>
  <c r="BA33" i="3"/>
  <c r="BA36" i="3"/>
  <c r="BL38" i="3"/>
  <c r="BA39" i="3"/>
  <c r="BA41" i="3"/>
  <c r="BA42" i="3"/>
  <c r="BL45" i="3"/>
  <c r="BA48" i="3"/>
  <c r="BA49" i="3"/>
  <c r="BA68" i="3"/>
  <c r="AZ68" i="3" s="1"/>
  <c r="B13" i="1"/>
  <c r="E13" i="1" s="1"/>
  <c r="K13" i="1"/>
  <c r="M13" i="1" s="1"/>
  <c r="O13" i="1" s="1"/>
  <c r="P13" i="1" s="1"/>
  <c r="AB21" i="37"/>
  <c r="U21" i="37"/>
  <c r="AC18" i="36"/>
  <c r="W18" i="36"/>
  <c r="AB25" i="40"/>
  <c r="U25" i="40"/>
  <c r="C40" i="71"/>
  <c r="D39" i="71"/>
  <c r="C35" i="71"/>
  <c r="T76" i="71"/>
  <c r="D76" i="71"/>
  <c r="G465" i="3"/>
  <c r="BA471" i="3"/>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G196" i="3"/>
  <c r="BA197" i="3"/>
  <c r="BL201" i="3"/>
  <c r="AZ201" i="3" s="1"/>
  <c r="BL203" i="3"/>
  <c r="BA204" i="3"/>
  <c r="AZ204" i="3" s="1"/>
  <c r="BA18" i="3"/>
  <c r="G21" i="3"/>
  <c r="BL21" i="3"/>
  <c r="AZ21" i="3" s="1"/>
  <c r="G23" i="3"/>
  <c r="G29" i="3"/>
  <c r="BA30" i="3"/>
  <c r="G38" i="3"/>
  <c r="BA38" i="3"/>
  <c r="BL40" i="3"/>
  <c r="BL41" i="3"/>
  <c r="G51" i="3"/>
  <c r="BA52" i="3"/>
  <c r="AZ52" i="3" s="1"/>
  <c r="BA53" i="3"/>
  <c r="BA54" i="3"/>
  <c r="BL57" i="3"/>
  <c r="G62" i="3"/>
  <c r="BL62" i="3"/>
  <c r="BL63" i="3"/>
  <c r="G80" i="3"/>
  <c r="G85" i="3"/>
  <c r="BL85" i="3"/>
  <c r="BA86" i="3"/>
  <c r="G95" i="3"/>
  <c r="G96" i="3"/>
  <c r="AZ103" i="3"/>
  <c r="U21" i="33"/>
  <c r="AB21" i="33"/>
  <c r="AC18" i="35"/>
  <c r="W18" i="35"/>
  <c r="B32" i="71"/>
  <c r="S32" i="71" s="1"/>
  <c r="AB26" i="71"/>
  <c r="AB27" i="71"/>
  <c r="BL59" i="3"/>
  <c r="AZ59" i="3" s="1"/>
  <c r="BL60" i="3"/>
  <c r="BA61" i="3"/>
  <c r="AZ61" i="3" s="1"/>
  <c r="BL69" i="3"/>
  <c r="AZ69" i="3" s="1"/>
  <c r="BL70" i="3"/>
  <c r="AZ70" i="3" s="1"/>
  <c r="BL71" i="3"/>
  <c r="BL72" i="3"/>
  <c r="AZ72" i="3" s="1"/>
  <c r="BA75" i="3"/>
  <c r="AZ75" i="3" s="1"/>
  <c r="BL86" i="3"/>
  <c r="BA91" i="3"/>
  <c r="AZ91" i="3" s="1"/>
  <c r="BA98" i="3"/>
  <c r="BA100" i="3"/>
  <c r="AZ100" i="3" s="1"/>
  <c r="BA102" i="3"/>
  <c r="BL111" i="3"/>
  <c r="W21" i="37"/>
  <c r="AC21" i="37"/>
  <c r="AB21" i="34"/>
  <c r="U21" i="34"/>
  <c r="B100" i="43"/>
  <c r="B57" i="43"/>
  <c r="B68" i="43"/>
  <c r="C86" i="71"/>
  <c r="D86" i="71" s="1"/>
  <c r="D87" i="71"/>
  <c r="C52" i="71"/>
  <c r="D51" i="71"/>
  <c r="AB34" i="71"/>
  <c r="C63" i="71"/>
  <c r="D62" i="71"/>
  <c r="F66" i="71"/>
  <c r="Q67" i="71"/>
  <c r="P68" i="71"/>
  <c r="U68" i="71"/>
  <c r="BL29" i="3"/>
  <c r="G33" i="3"/>
  <c r="G34" i="3"/>
  <c r="BA37" i="3"/>
  <c r="G39" i="3"/>
  <c r="BL39" i="3"/>
  <c r="G43" i="3"/>
  <c r="G44" i="3"/>
  <c r="BA45" i="3"/>
  <c r="BA46" i="3"/>
  <c r="BL49" i="3"/>
  <c r="BL50" i="3"/>
  <c r="AZ50" i="3" s="1"/>
  <c r="BL51" i="3"/>
  <c r="AZ51" i="3" s="1"/>
  <c r="G53" i="3"/>
  <c r="BL53" i="3"/>
  <c r="BA56" i="3"/>
  <c r="BA57" i="3"/>
  <c r="BL58" i="3"/>
  <c r="AZ58" i="3" s="1"/>
  <c r="G60" i="3"/>
  <c r="BA60" i="3"/>
  <c r="BL64" i="3"/>
  <c r="G65" i="3"/>
  <c r="BL65" i="3"/>
  <c r="AZ65" i="3" s="1"/>
  <c r="BL66" i="3"/>
  <c r="BL67" i="3"/>
  <c r="AZ67" i="3" s="1"/>
  <c r="G69" i="3"/>
  <c r="G72" i="3"/>
  <c r="BL73" i="3"/>
  <c r="BA74" i="3"/>
  <c r="AZ74" i="3" s="1"/>
  <c r="BL79" i="3"/>
  <c r="BL81" i="3"/>
  <c r="BA82" i="3"/>
  <c r="AZ82" i="3" s="1"/>
  <c r="BL83" i="3"/>
  <c r="G86" i="3"/>
  <c r="BA87" i="3"/>
  <c r="AZ87" i="3" s="1"/>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A63" i="3"/>
  <c r="AZ63" i="3" s="1"/>
  <c r="BA66" i="3"/>
  <c r="AZ66" i="3" s="1"/>
  <c r="BA71" i="3"/>
  <c r="AZ71" i="3" s="1"/>
  <c r="G76" i="3"/>
  <c r="BL77" i="3"/>
  <c r="AZ77" i="3" s="1"/>
  <c r="BA79" i="3"/>
  <c r="G82" i="3"/>
  <c r="G83" i="3"/>
  <c r="BA84" i="3"/>
  <c r="AZ84" i="3" s="1"/>
  <c r="BL88" i="3"/>
  <c r="AZ88" i="3" s="1"/>
  <c r="G90" i="3"/>
  <c r="BL90" i="3"/>
  <c r="AZ90" i="3" s="1"/>
  <c r="BL92" i="3"/>
  <c r="AZ92" i="3" s="1"/>
  <c r="G101" i="3"/>
  <c r="BA101" i="3"/>
  <c r="G108" i="3"/>
  <c r="G109" i="3"/>
  <c r="BL112" i="3"/>
  <c r="B88" i="43"/>
  <c r="F35" i="71"/>
  <c r="F36" i="71" s="1"/>
  <c r="V36" i="71" s="1"/>
  <c r="AA34" i="71"/>
  <c r="B51" i="71"/>
  <c r="B52" i="71" s="1"/>
  <c r="S52" i="71"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E28" i="6" s="1"/>
  <c r="K14" i="1" s="1"/>
  <c r="AB35" i="35"/>
  <c r="U35" i="35"/>
  <c r="AA13" i="35"/>
  <c r="AB31" i="34"/>
  <c r="U31" i="34"/>
  <c r="S12" i="21"/>
  <c r="AA12" i="21"/>
  <c r="S12" i="35"/>
  <c r="AA12" i="35"/>
  <c r="AC45" i="39"/>
  <c r="AA12" i="34"/>
  <c r="S34" i="21"/>
  <c r="J34" i="35"/>
  <c r="F34" i="35"/>
  <c r="J26" i="37"/>
  <c r="F26" i="37"/>
  <c r="F40" i="40"/>
  <c r="G578" i="3"/>
  <c r="AZ410" i="3"/>
  <c r="AZ431" i="3"/>
  <c r="AZ442" i="3"/>
  <c r="AZ445" i="3"/>
  <c r="AZ452" i="3"/>
  <c r="AZ456" i="3"/>
  <c r="AZ467" i="3"/>
  <c r="W35" i="39"/>
  <c r="F27" i="34"/>
  <c r="C21" i="39"/>
  <c r="U9" i="36"/>
  <c r="U14" i="37"/>
  <c r="H12" i="21"/>
  <c r="G526" i="3"/>
  <c r="AZ420" i="3"/>
  <c r="AZ424" i="3"/>
  <c r="AZ434" i="3"/>
  <c r="AZ446" i="3"/>
  <c r="AZ450" i="3"/>
  <c r="G28" i="6"/>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73" i="3"/>
  <c r="AZ106" i="3"/>
  <c r="G200" i="3"/>
  <c r="G207" i="3"/>
  <c r="BA23" i="3"/>
  <c r="AZ23" i="3" s="1"/>
  <c r="BA24" i="3"/>
  <c r="AZ24" i="3" s="1"/>
  <c r="BL26" i="3"/>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C103" i="9"/>
  <c r="N59" i="67"/>
  <c r="L59" i="67"/>
  <c r="L58" i="67"/>
  <c r="M59" i="67"/>
  <c r="B13" i="70"/>
  <c r="M7" i="67"/>
  <c r="J6" i="67" s="1"/>
  <c r="F50" i="67"/>
  <c r="F68" i="67"/>
  <c r="F64" i="67"/>
  <c r="C36" i="68"/>
  <c r="D9" i="69"/>
  <c r="C36" i="69"/>
  <c r="D9" i="68"/>
  <c r="F40" i="15"/>
  <c r="F13" i="15"/>
  <c r="F9" i="15"/>
  <c r="F36" i="15"/>
  <c r="C16" i="15"/>
  <c r="D7" i="73"/>
  <c r="D3" i="73"/>
  <c r="D4" i="73"/>
  <c r="M26" i="15"/>
  <c r="M28" i="15"/>
  <c r="F37" i="15"/>
  <c r="M8" i="15"/>
  <c r="F42" i="15"/>
  <c r="D5" i="73"/>
  <c r="F26" i="15"/>
  <c r="C16" i="67"/>
  <c r="J15" i="15"/>
  <c r="M22" i="15"/>
  <c r="C76" i="15"/>
  <c r="F7" i="15"/>
  <c r="AC27" i="33" l="1"/>
  <c r="AC37" i="33"/>
  <c r="U37" i="33"/>
  <c r="W43" i="33"/>
  <c r="S27" i="33"/>
  <c r="W42" i="33"/>
  <c r="S42" i="33"/>
  <c r="S43" i="33"/>
  <c r="AB27" i="33"/>
  <c r="S36" i="33"/>
  <c r="U9" i="33"/>
  <c r="AC9" i="33"/>
  <c r="W9" i="33"/>
  <c r="J7" i="37"/>
  <c r="P6" i="1"/>
  <c r="C13" i="12" s="1"/>
  <c r="H16" i="1"/>
  <c r="N370" i="46"/>
  <c r="F26" i="43"/>
  <c r="E59" i="40"/>
  <c r="F65" i="15"/>
  <c r="M7" i="15"/>
  <c r="J6" i="15" s="1"/>
  <c r="J18" i="15" s="1"/>
  <c r="C6" i="15"/>
  <c r="C32" i="15" s="1"/>
  <c r="F50" i="15"/>
  <c r="F59" i="15" s="1"/>
  <c r="F31" i="15"/>
  <c r="F64" i="15"/>
  <c r="Q71" i="15"/>
  <c r="C27" i="15"/>
  <c r="F68" i="15"/>
  <c r="F30" i="6"/>
  <c r="D23" i="71"/>
  <c r="C22" i="71"/>
  <c r="N65" i="71"/>
  <c r="N66" i="71"/>
  <c r="AC9" i="34"/>
  <c r="W9" i="34"/>
  <c r="AA27" i="21"/>
  <c r="S27" i="21"/>
  <c r="J7" i="36"/>
  <c r="E26" i="43"/>
  <c r="AZ81" i="3"/>
  <c r="AZ138" i="3"/>
  <c r="AZ190" i="3"/>
  <c r="AZ274" i="3"/>
  <c r="AZ154" i="3"/>
  <c r="AZ297" i="3"/>
  <c r="AZ241" i="3"/>
  <c r="AZ332" i="3"/>
  <c r="AZ229" i="3"/>
  <c r="AZ425" i="3"/>
  <c r="AZ249" i="3"/>
  <c r="AZ548" i="3"/>
  <c r="U23" i="36"/>
  <c r="AB23" i="36"/>
  <c r="AC29" i="21"/>
  <c r="W29" i="21"/>
  <c r="AC12" i="36"/>
  <c r="W12" i="36"/>
  <c r="AA43" i="39"/>
  <c r="S43" i="39"/>
  <c r="AA14" i="40"/>
  <c r="S14" i="40"/>
  <c r="AB33" i="40"/>
  <c r="U33" i="40"/>
  <c r="AC44" i="39"/>
  <c r="W44" i="39"/>
  <c r="W12" i="39"/>
  <c r="AC12" i="39"/>
  <c r="W27" i="21"/>
  <c r="AC27" i="21"/>
  <c r="AZ559" i="3"/>
  <c r="AC35" i="35"/>
  <c r="W35" i="35"/>
  <c r="W46" i="33"/>
  <c r="AC46" i="33"/>
  <c r="U30" i="21"/>
  <c r="AB30" i="21"/>
  <c r="K16" i="1"/>
  <c r="AA23" i="36"/>
  <c r="S23" i="36"/>
  <c r="AB36" i="39"/>
  <c r="U36" i="39"/>
  <c r="S45" i="34"/>
  <c r="AA45" i="34"/>
  <c r="U12" i="36"/>
  <c r="AB12" i="36"/>
  <c r="S12" i="39"/>
  <c r="AA12" i="39"/>
  <c r="W30" i="33"/>
  <c r="AC30" i="33"/>
  <c r="AC43" i="39"/>
  <c r="W43" i="39"/>
  <c r="G16" i="1"/>
  <c r="F10" i="39" s="1"/>
  <c r="AA10" i="39" s="1"/>
  <c r="G26" i="43"/>
  <c r="G5" i="3"/>
  <c r="B3" i="3" s="1"/>
  <c r="E536" i="3" s="1"/>
  <c r="AZ42" i="3"/>
  <c r="AZ5" i="3" s="1"/>
  <c r="AZ36" i="3"/>
  <c r="AZ113" i="3"/>
  <c r="AZ281" i="3"/>
  <c r="AZ253" i="3"/>
  <c r="AZ101" i="3"/>
  <c r="C26" i="71"/>
  <c r="D26" i="71" s="1"/>
  <c r="D27" i="71"/>
  <c r="AZ57" i="3"/>
  <c r="AZ45" i="3"/>
  <c r="AZ86" i="3"/>
  <c r="AZ121" i="3"/>
  <c r="AZ368" i="3"/>
  <c r="AZ471" i="3"/>
  <c r="C36" i="71"/>
  <c r="D35" i="71"/>
  <c r="AZ49" i="3"/>
  <c r="AZ41" i="3"/>
  <c r="AZ277" i="3"/>
  <c r="AZ256" i="3"/>
  <c r="AZ210" i="3"/>
  <c r="AZ488" i="3"/>
  <c r="AZ483" i="3"/>
  <c r="AZ464" i="3"/>
  <c r="AZ401" i="3"/>
  <c r="AZ247" i="3"/>
  <c r="AZ415" i="3"/>
  <c r="AZ398" i="3"/>
  <c r="AZ118" i="3"/>
  <c r="D44" i="71"/>
  <c r="T44" i="71"/>
  <c r="D67" i="71"/>
  <c r="C66" i="71"/>
  <c r="O67" i="71"/>
  <c r="C56" i="71"/>
  <c r="D55" i="71"/>
  <c r="C31" i="71"/>
  <c r="D30" i="71"/>
  <c r="AZ521" i="3"/>
  <c r="AZ538" i="3"/>
  <c r="AZ542" i="3"/>
  <c r="U26" i="33"/>
  <c r="AB26" i="33"/>
  <c r="AC13" i="21"/>
  <c r="W13" i="21"/>
  <c r="AA46" i="33"/>
  <c r="S46" i="33"/>
  <c r="AB28" i="21"/>
  <c r="U28" i="21"/>
  <c r="U14" i="21"/>
  <c r="AB14" i="21"/>
  <c r="S29" i="34"/>
  <c r="AA29" i="34"/>
  <c r="W14" i="40"/>
  <c r="AC14" i="40"/>
  <c r="W33" i="40"/>
  <c r="AC33" i="40"/>
  <c r="AA44" i="39"/>
  <c r="S44" i="39"/>
  <c r="AB46" i="33"/>
  <c r="U46" i="33"/>
  <c r="AC30" i="21"/>
  <c r="W30" i="21"/>
  <c r="C64" i="71"/>
  <c r="D63" i="71"/>
  <c r="T40" i="71"/>
  <c r="D40" i="71"/>
  <c r="AZ38" i="3"/>
  <c r="AB29" i="21"/>
  <c r="U29" i="21"/>
  <c r="S14" i="21"/>
  <c r="AA14" i="21"/>
  <c r="AB27" i="21"/>
  <c r="U27" i="21"/>
  <c r="U13" i="35"/>
  <c r="AB13" i="35"/>
  <c r="H26" i="43"/>
  <c r="N94" i="46"/>
  <c r="Q16" i="1"/>
  <c r="F27" i="69" s="1"/>
  <c r="F45" i="69" s="1"/>
  <c r="AA12" i="37"/>
  <c r="AZ107" i="3"/>
  <c r="AZ26" i="3"/>
  <c r="AZ165" i="3"/>
  <c r="AZ292" i="3"/>
  <c r="AZ246" i="3"/>
  <c r="AZ268" i="3"/>
  <c r="AZ111" i="3"/>
  <c r="AZ79" i="3"/>
  <c r="T52" i="71"/>
  <c r="D52" i="71"/>
  <c r="AZ102" i="3"/>
  <c r="AZ53" i="3"/>
  <c r="AZ197" i="3"/>
  <c r="AZ238" i="3"/>
  <c r="AZ39" i="3"/>
  <c r="AZ130" i="3"/>
  <c r="AZ254" i="3"/>
  <c r="AZ244" i="3"/>
  <c r="AZ239" i="3"/>
  <c r="AZ414" i="3"/>
  <c r="B19" i="71"/>
  <c r="B18" i="71" s="1"/>
  <c r="B17" i="71" s="1"/>
  <c r="B16" i="71" s="1"/>
  <c r="B15" i="71" s="1"/>
  <c r="B14" i="71" s="1"/>
  <c r="B13" i="71" s="1"/>
  <c r="B12" i="71" s="1"/>
  <c r="S20" i="71"/>
  <c r="AZ522" i="3"/>
  <c r="S26" i="33"/>
  <c r="AA26" i="33"/>
  <c r="U13" i="21"/>
  <c r="AB13" i="21"/>
  <c r="AC29" i="34"/>
  <c r="W29" i="34"/>
  <c r="AA31" i="39"/>
  <c r="S31" i="39"/>
  <c r="U33" i="36"/>
  <c r="AB33" i="36"/>
  <c r="W28" i="21"/>
  <c r="AC28" i="21"/>
  <c r="S30" i="21"/>
  <c r="AA30" i="21"/>
  <c r="S12" i="33"/>
  <c r="AA12" i="33"/>
  <c r="AA30" i="33"/>
  <c r="S30" i="33"/>
  <c r="AB44" i="39"/>
  <c r="U44" i="39"/>
  <c r="AC39" i="37"/>
  <c r="W39" i="37"/>
  <c r="W13" i="35"/>
  <c r="AC13" i="35"/>
  <c r="U30" i="33"/>
  <c r="AB30" i="33"/>
  <c r="AB43" i="39"/>
  <c r="U43" i="39"/>
  <c r="K1" i="73"/>
  <c r="E510" i="3"/>
  <c r="E502" i="3"/>
  <c r="E466" i="3"/>
  <c r="E435" i="3"/>
  <c r="E491" i="3"/>
  <c r="E292" i="3"/>
  <c r="E363" i="3"/>
  <c r="E467" i="3"/>
  <c r="E46" i="3"/>
  <c r="E300" i="3"/>
  <c r="E371" i="3"/>
  <c r="E33" i="3"/>
  <c r="E184" i="3"/>
  <c r="E81" i="3"/>
  <c r="E264" i="3"/>
  <c r="E494" i="3"/>
  <c r="E281" i="3"/>
  <c r="E75" i="3"/>
  <c r="E482" i="3"/>
  <c r="E174" i="3"/>
  <c r="E383" i="3"/>
  <c r="E206" i="3"/>
  <c r="E251" i="3"/>
  <c r="E287" i="3"/>
  <c r="E308" i="3"/>
  <c r="E197" i="3"/>
  <c r="E525" i="3"/>
  <c r="E456" i="3"/>
  <c r="E469" i="3"/>
  <c r="E360" i="3"/>
  <c r="E556" i="3"/>
  <c r="E470" i="3"/>
  <c r="E26" i="3"/>
  <c r="E115" i="3"/>
  <c r="E225" i="3"/>
  <c r="E428" i="3"/>
  <c r="E412" i="3"/>
  <c r="E220" i="3"/>
  <c r="E324" i="3"/>
  <c r="E49" i="3"/>
  <c r="E232"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F41" i="67"/>
  <c r="J5" i="15" l="1"/>
  <c r="J24" i="15" s="1"/>
  <c r="AB7" i="36"/>
  <c r="T36" i="36" s="1"/>
  <c r="G36" i="36" s="1"/>
  <c r="M17" i="15"/>
  <c r="S10" i="39"/>
  <c r="H10" i="39"/>
  <c r="U10" i="39" s="1"/>
  <c r="H10" i="40"/>
  <c r="AB10" i="40" s="1"/>
  <c r="J10" i="40"/>
  <c r="AC10" i="40" s="1"/>
  <c r="J10" i="39"/>
  <c r="W10" i="39" s="1"/>
  <c r="F10" i="40"/>
  <c r="S10" i="40" s="1"/>
  <c r="E80" i="3"/>
  <c r="E35" i="3"/>
  <c r="E190" i="3"/>
  <c r="E356" i="3"/>
  <c r="E41" i="3"/>
  <c r="E452" i="3"/>
  <c r="E451" i="3"/>
  <c r="T6" i="3"/>
  <c r="E140" i="3"/>
  <c r="E113" i="3"/>
  <c r="E86" i="3"/>
  <c r="E129" i="3"/>
  <c r="E42" i="3"/>
  <c r="E21" i="3"/>
  <c r="E381" i="3"/>
  <c r="E84" i="3"/>
  <c r="E249" i="3"/>
  <c r="E59" i="3"/>
  <c r="E152" i="3"/>
  <c r="I3" i="6"/>
  <c r="E286" i="3"/>
  <c r="H6" i="3"/>
  <c r="E370" i="3"/>
  <c r="E342" i="3"/>
  <c r="E78" i="3"/>
  <c r="E243" i="3"/>
  <c r="E104" i="3"/>
  <c r="E13" i="3"/>
  <c r="E512" i="3"/>
  <c r="E534" i="3"/>
  <c r="E205" i="3"/>
  <c r="AF6" i="3"/>
  <c r="E522" i="3"/>
  <c r="E96" i="3"/>
  <c r="E391" i="3"/>
  <c r="E283" i="3"/>
  <c r="E355" i="3"/>
  <c r="E23" i="3"/>
  <c r="E103" i="3"/>
  <c r="E76" i="3"/>
  <c r="E37" i="3"/>
  <c r="E255" i="3"/>
  <c r="E199" i="3"/>
  <c r="E484" i="3"/>
  <c r="E349" i="3"/>
  <c r="E192" i="3"/>
  <c r="E479" i="3"/>
  <c r="AP6" i="3"/>
  <c r="E541" i="3"/>
  <c r="E499" i="3"/>
  <c r="E539" i="3"/>
  <c r="D26" i="43"/>
  <c r="C25" i="43" s="1"/>
  <c r="E332" i="3"/>
  <c r="E513" i="3"/>
  <c r="E68" i="3"/>
  <c r="E144" i="3"/>
  <c r="E492" i="3"/>
  <c r="E160" i="3"/>
  <c r="E425" i="3"/>
  <c r="E544" i="3"/>
  <c r="E258" i="3"/>
  <c r="E56" i="3"/>
  <c r="E517" i="3"/>
  <c r="E430" i="3"/>
  <c r="R6" i="3"/>
  <c r="E212" i="3"/>
  <c r="C49" i="15"/>
  <c r="AY6" i="3"/>
  <c r="E3" i="6"/>
  <c r="D31" i="71"/>
  <c r="C32" i="71"/>
  <c r="S16" i="71"/>
  <c r="D64" i="71"/>
  <c r="T64" i="71"/>
  <c r="O65" i="71"/>
  <c r="D66" i="71"/>
  <c r="O66" i="71"/>
  <c r="AA7" i="36"/>
  <c r="R36" i="36" s="1"/>
  <c r="E36" i="36"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D36" i="71"/>
  <c r="T36"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8" i="35"/>
  <c r="U7" i="33"/>
  <c r="AB7" i="33"/>
  <c r="T48" i="33" s="1"/>
  <c r="G48" i="33" s="1"/>
  <c r="J24" i="67"/>
  <c r="C53" i="67"/>
  <c r="C48" i="67" s="1"/>
  <c r="C53" i="15"/>
  <c r="C10" i="15"/>
  <c r="C5" i="15" s="1"/>
  <c r="C38" i="15" s="1"/>
  <c r="M27" i="67"/>
  <c r="F41" i="15"/>
  <c r="M27" i="15"/>
  <c r="AC10" i="39" l="1"/>
  <c r="F24" i="15"/>
  <c r="C24" i="15" s="1"/>
  <c r="F22" i="69"/>
  <c r="F41" i="69" s="1"/>
  <c r="I46" i="37"/>
  <c r="J46" i="37" s="1"/>
  <c r="R37" i="36"/>
  <c r="W10" i="40"/>
  <c r="F22" i="68"/>
  <c r="F41" i="68" s="1"/>
  <c r="F25" i="12"/>
  <c r="C26" i="12" s="1"/>
  <c r="D25" i="12" s="1"/>
  <c r="F22" i="11"/>
  <c r="C23" i="11" s="1"/>
  <c r="F24" i="67"/>
  <c r="C24" i="67" s="1"/>
  <c r="C48" i="15"/>
  <c r="C66" i="15" s="1"/>
  <c r="AC6" i="3"/>
  <c r="E6" i="3" s="1"/>
  <c r="D116" i="43"/>
  <c r="T32" i="71"/>
  <c r="D32" i="71"/>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C23" i="68" l="1"/>
  <c r="C44" i="69"/>
  <c r="D41" i="69" s="1"/>
  <c r="C26" i="69"/>
  <c r="D22" i="69" s="1"/>
  <c r="C26" i="68"/>
  <c r="D22" i="68" s="1"/>
  <c r="C60" i="15"/>
  <c r="C25" i="11"/>
  <c r="C44" i="68"/>
  <c r="D41" i="68" s="1"/>
  <c r="C26" i="11"/>
  <c r="D22" i="11" s="1"/>
  <c r="C44" i="11"/>
  <c r="D41" i="11" s="1"/>
  <c r="C24" i="1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J19" i="67"/>
  <c r="C34" i="68"/>
  <c r="E6" i="76"/>
  <c r="B6" i="76"/>
  <c r="C14" i="15"/>
  <c r="H51" i="33" l="1"/>
  <c r="U6" i="1"/>
  <c r="C51" i="33"/>
  <c r="C50" i="33"/>
  <c r="C31" i="1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6" i="67" l="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C33" i="67"/>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D16" i="71" l="1"/>
  <c r="U16" i="71" s="1"/>
  <c r="C15" i="71"/>
  <c r="T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D19" i="9"/>
  <c r="G19" i="9" l="1"/>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8" i="1"/>
  <c r="AO9" i="1"/>
  <c r="AO6" i="1"/>
  <c r="D20" i="9"/>
  <c r="AO11" i="1"/>
  <c r="G20" i="9" l="1"/>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49" i="9" l="1"/>
  <c r="L64" i="9" s="1"/>
  <c r="M64" i="9" s="1"/>
  <c r="L68" i="9" l="1"/>
  <c r="M68" i="9" s="1"/>
  <c r="L67" i="9"/>
  <c r="M67" i="9" s="1"/>
  <c r="L65" i="9"/>
  <c r="M65" i="9" s="1"/>
  <c r="L66" i="9"/>
  <c r="M66" i="9" s="1"/>
  <c r="L63" i="9"/>
  <c r="M63" i="9" s="1"/>
  <c r="M69" i="9" s="1"/>
  <c r="N69" i="9" s="1"/>
  <c r="G118" i="9"/>
  <c r="G4" i="52" s="1"/>
  <c r="B52" i="72" s="1"/>
  <c r="F118" i="9"/>
  <c r="F4" i="52" s="1"/>
  <c r="B51" i="72" s="1"/>
  <c r="H118" i="9"/>
  <c r="H119" i="9" s="1"/>
  <c r="H5" i="52" s="1"/>
  <c r="I118" i="9"/>
  <c r="I4" i="52" s="1"/>
  <c r="H102" i="9" l="1"/>
  <c r="H101" i="9"/>
  <c r="C104" i="9"/>
  <c r="F119" i="9"/>
  <c r="F5" i="52" s="1"/>
  <c r="B53" i="72" s="1"/>
  <c r="H4" i="52"/>
  <c r="C105" i="9"/>
  <c r="E118" i="9"/>
  <c r="D7" i="53" l="1"/>
  <c r="B21" i="72" s="1"/>
  <c r="C5" i="74"/>
  <c r="E4" i="52"/>
  <c r="B48" i="72" s="1"/>
  <c r="D118" i="9"/>
  <c r="M48" i="9"/>
  <c r="D45" i="9"/>
  <c r="D5" i="53"/>
  <c r="H107" i="9"/>
  <c r="C72" i="9" l="1"/>
  <c r="D55" i="9"/>
  <c r="M53" i="9" s="1"/>
  <c r="C93" i="9"/>
  <c r="C86" i="9" s="1"/>
  <c r="C78" i="9"/>
  <c r="C73" i="9" s="1"/>
  <c r="D53" i="9"/>
  <c r="C85" i="9"/>
  <c r="C64" i="9"/>
  <c r="C63" i="9" s="1"/>
  <c r="C67" i="9" s="1"/>
  <c r="D52" i="9"/>
  <c r="D4" i="52"/>
  <c r="B47" i="72" s="1"/>
  <c r="D119" i="9"/>
  <c r="D5" i="52" s="1"/>
  <c r="B49" i="72" s="1"/>
  <c r="D122" i="9"/>
  <c r="H108" i="9"/>
  <c r="D13" i="53"/>
  <c r="B20" i="72"/>
  <c r="D6" i="53"/>
  <c r="B22" i="72" s="1"/>
  <c r="D15" i="53" l="1"/>
  <c r="B31" i="72" s="1"/>
  <c r="C6" i="74"/>
  <c r="D123" i="9"/>
  <c r="D9" i="52" s="1"/>
  <c r="D8" i="52"/>
  <c r="C68" i="9"/>
  <c r="D54" i="9" s="1"/>
  <c r="D59" i="9"/>
  <c r="M55" i="9" s="1"/>
  <c r="C95" i="9"/>
  <c r="B30" i="72"/>
  <c r="D14" i="53"/>
  <c r="B32" i="72" s="1"/>
  <c r="C79" i="9"/>
  <c r="C81" i="9" l="1"/>
  <c r="C80" i="9"/>
  <c r="E80" i="9" s="1"/>
  <c r="E81"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<sst xmlns="http://schemas.openxmlformats.org/spreadsheetml/2006/main" count="8017" uniqueCount="3528">
  <si>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</si>
  <si>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</si>
  <si>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</si>
  <si>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</si>
  <si>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</si>
  <si>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</si>
  <si>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</si>
  <si>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</si>
  <si>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</si>
  <si>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</si>
  <si>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</si>
  <si>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</si>
  <si>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</si>
  <si>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</si>
  <si>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</si>
  <si>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</si>
  <si>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</si>
  <si>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</si>
  <si>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</si>
  <si>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</si>
  <si>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</si>
  <si>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</si>
  <si>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</si>
  <si>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</si>
  <si>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</si>
  <si>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</si>
  <si>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</si>
  <si>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</si>
  <si>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</si>
  <si>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</si>
  <si>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</si>
  <si>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</si>
  <si>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</si>
  <si>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</si>
  <si>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</si>
  <si>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</si>
  <si>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</si>
  <si>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</si>
  <si>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</si>
  <si>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</si>
  <si>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</si>
  <si>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</si>
  <si>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</si>
  <si>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</si>
  <si>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</si>
  <si>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</si>
  <si>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</si>
  <si>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</si>
  <si>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</si>
  <si>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</si>
  <si>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</si>
  <si>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</si>
  <si>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</si>
  <si>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</si>
  <si>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</si>
  <si>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</si>
  <si>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</si>
  <si>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</si>
  <si>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</si>
  <si>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</si>
  <si>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</si>
  <si>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</si>
  <si>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</si>
  <si>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</si>
  <si>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</si>
  <si>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</si>
  <si>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</si>
  <si>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</si>
  <si>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</si>
  <si>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</si>
  <si>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</si>
  <si>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</si>
  <si>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</si>
  <si>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</si>
  <si>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</si>
  <si>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</si>
  <si>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</si>
  <si>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</si>
  <si>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</si>
  <si>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</si>
  <si>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</si>
  <si>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</si>
  <si>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</si>
  <si>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</si>
  <si>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</si>
  <si>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</si>
  <si>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</si>
  <si>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</si>
  <si>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</si>
  <si>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</si>
  <si>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</si>
  <si>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</si>
  <si>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</si>
  <si>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</si>
  <si>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</si>
  <si>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</si>
  <si>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</si>
  <si>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</si>
  <si>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</si>
  <si>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</si>
  <si>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</si>
  <si>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</si>
  <si>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</si>
  <si>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</si>
  <si>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</si>
  <si>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</si>
  <si>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</si>
  <si>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</si>
  <si>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</si>
  <si>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</si>
  <si>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</si>
  <si>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</si>
  <si>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</si>
  <si>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</si>
  <si>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</si>
  <si>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</si>
  <si>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</si>
  <si>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</si>
  <si>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</si>
  <si>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</si>
  <si>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</si>
  <si>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</si>
  <si>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</si>
  <si>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</si>
  <si>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</si>
  <si>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</si>
  <si>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</si>
  <si>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</si>
  <si>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</si>
  <si>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</si>
  <si>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</si>
  <si>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</si>
  <si>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</si>
  <si>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</si>
  <si>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</si>
  <si>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</si>
  <si>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</si>
  <si>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</si>
  <si>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</si>
  <si>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</si>
  <si>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</si>
  <si>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</si>
  <si>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</si>
  <si>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</si>
  <si>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</si>
  <si>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</si>
  <si>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</si>
  <si>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</si>
  <si>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</si>
  <si>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</si>
  <si>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</si>
  <si>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</si>
  <si>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</si>
  <si>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</si>
  <si>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</si>
  <si>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</si>
  <si>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</si>
  <si>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</si>
  <si>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</si>
  <si>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</si>
  <si>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</si>
  <si>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</si>
  <si>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</si>
  <si>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</si>
  <si>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</si>
  <si>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</si>
  <si>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</si>
  <si>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</si>
  <si>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</si>
  <si>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</si>
  <si>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</si>
  <si>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</si>
  <si>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</si>
  <si>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</si>
  <si>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</si>
  <si>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</si>
  <si>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</si>
  <si>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</si>
  <si>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</si>
  <si>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</si>
  <si>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</si>
  <si>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</si>
  <si>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</si>
  <si>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</si>
  <si>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</si>
  <si>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</si>
  <si>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</si>
  <si>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</si>
  <si>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</si>
  <si>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</si>
  <si>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</si>
  <si>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</si>
  <si>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</si>
  <si>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</si>
  <si>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</si>
  <si>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</si>
  <si>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</si>
  <si>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</si>
  <si>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</si>
  <si>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</si>
  <si>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</si>
  <si>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</si>
  <si>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</si>
  <si>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</si>
  <si>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</si>
  <si>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</si>
  <si>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</si>
  <si>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</si>
  <si>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</si>
  <si>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</si>
  <si>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</si>
  <si>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</si>
  <si>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</si>
  <si>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</si>
  <si>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</si>
  <si>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</si>
  <si>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</si>
  <si>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</si>
  <si>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</si>
  <si>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</si>
  <si>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</si>
  <si>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</si>
  <si>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</si>
  <si>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</si>
  <si>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</si>
  <si>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</si>
  <si>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</si>
  <si>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</si>
  <si>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</si>
  <si>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</si>
  <si>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</si>
  <si>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</si>
  <si>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</si>
  <si>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</si>
  <si>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</si>
  <si>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</si>
  <si>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</si>
  <si>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</si>
  <si>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</si>
  <si>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</si>
  <si>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</si>
  <si>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</si>
  <si>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</si>
  <si>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</si>
  <si>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</si>
  <si>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</si>
  <si>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</si>
  <si>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</si>
  <si>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</si>
  <si>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</si>
  <si>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</si>
  <si>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</si>
  <si>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</si>
  <si>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</si>
  <si>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</si>
  <si>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</si>
  <si>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</si>
  <si>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</si>
  <si>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</si>
  <si>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</si>
  <si>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</si>
  <si>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</si>
  <si>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</si>
  <si>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</si>
  <si>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</si>
  <si>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</si>
  <si>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</si>
  <si>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</si>
  <si>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</si>
  <si>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</si>
  <si>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</si>
  <si>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</si>
  <si>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</si>
  <si>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</si>
  <si>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</si>
  <si>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</si>
  <si>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</si>
  <si>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</si>
  <si>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</si>
  <si>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</si>
  <si>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</si>
  <si>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</si>
  <si>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</si>
  <si>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</si>
  <si>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</si>
  <si>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</si>
  <si>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</si>
  <si>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</si>
  <si>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</si>
  <si>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</si>
  <si>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</si>
  <si>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</si>
  <si>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</si>
  <si>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</si>
  <si>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</si>
  <si>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</si>
  <si>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</si>
  <si>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</si>
  <si>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</si>
  <si>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</si>
  <si>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</si>
  <si>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</si>
  <si>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</si>
  <si>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</si>
  <si>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</si>
  <si>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</si>
  <si>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</si>
  <si>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</si>
  <si>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</si>
  <si>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</si>
  <si>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</si>
  <si>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</si>
  <si>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</si>
  <si>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</si>
  <si>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</si>
  <si>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</si>
  <si>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</si>
  <si>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</si>
  <si>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</si>
  <si>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</si>
  <si>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</si>
  <si>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</si>
  <si>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</si>
  <si>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</si>
  <si>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</si>
  <si>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</si>
  <si>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</si>
  <si>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</si>
  <si>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</si>
  <si>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</si>
  <si>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</si>
  <si>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</si>
  <si>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</si>
  <si>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</si>
  <si>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</si>
  <si>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</si>
  <si>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</si>
  <si>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</si>
  <si>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</si>
  <si>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</si>
  <si>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</si>
  <si>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</si>
  <si>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</si>
  <si>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</si>
  <si>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</si>
  <si>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</si>
  <si>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</si>
  <si>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</si>
  <si>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</si>
  <si>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</si>
  <si>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</si>
  <si>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</si>
  <si>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</si>
  <si>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</si>
  <si>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</si>
  <si>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</si>
  <si>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</si>
  <si>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</si>
  <si>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</si>
  <si>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</si>
  <si>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</si>
  <si>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</si>
  <si>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</si>
  <si>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</si>
  <si>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</si>
  <si>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</si>
  <si>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</si>
  <si>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</si>
  <si>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</si>
  <si>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</si>
  <si>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</si>
  <si>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</si>
  <si>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</si>
  <si>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</si>
  <si>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</si>
  <si>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</si>
  <si>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</si>
  <si>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</si>
  <si>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</si>
  <si>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</si>
  <si>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</si>
  <si>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</si>
  <si>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</si>
  <si>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</si>
  <si>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</si>
  <si>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</si>
  <si>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</si>
  <si>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</si>
  <si>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</si>
  <si>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</si>
  <si>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</si>
  <si>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</si>
  <si>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</si>
  <si>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</si>
  <si>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</si>
  <si>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</si>
  <si>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</si>
  <si>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</si>
  <si>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</si>
  <si>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</si>
  <si>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</si>
  <si>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</si>
  <si>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</si>
  <si>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</si>
  <si>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</si>
  <si>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</si>
  <si>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</si>
  <si>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</si>
  <si>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</si>
  <si>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</si>
  <si>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</si>
  <si>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</si>
  <si>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</si>
  <si>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</si>
  <si>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</si>
  <si>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</si>
  <si>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</si>
  <si>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</si>
  <si>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</si>
  <si>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</si>
  <si>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</si>
  <si>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</si>
  <si>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</si>
  <si>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</si>
  <si>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</si>
  <si>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</si>
  <si>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</si>
  <si>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</si>
  <si>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</si>
  <si>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</si>
  <si>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</si>
  <si>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</si>
  <si>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</si>
  <si>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</si>
  <si>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</si>
  <si>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</si>
  <si>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</si>
  <si>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</si>
  <si>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</si>
  <si>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</si>
  <si>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</si>
  <si>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</si>
  <si>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</si>
  <si>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</si>
  <si>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</si>
  <si>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</si>
  <si>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</si>
  <si>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</si>
  <si>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</si>
  <si>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</si>
  <si>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</si>
  <si>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</si>
  <si>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</si>
  <si>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</si>
  <si>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</si>
  <si>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</si>
  <si>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</si>
  <si>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</si>
  <si>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</si>
  <si>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</si>
  <si>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</si>
  <si>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</si>
  <si>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</si>
  <si>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</si>
  <si>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</si>
  <si>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</si>
  <si>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</si>
  <si>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</si>
  <si>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</si>
  <si>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</si>
  <si>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</si>
  <si>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</si>
  <si>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</si>
  <si>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</si>
  <si>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</si>
  <si>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</si>
  <si>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</si>
  <si>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</si>
  <si>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</si>
  <si>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</si>
  <si>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</si>
  <si>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</si>
  <si>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</si>
  <si>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</si>
  <si>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</si>
  <si>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</si>
  <si>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</si>
  <si>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</si>
  <si>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</si>
  <si>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</si>
  <si>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</si>
  <si>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</si>
  <si>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</si>
  <si>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</si>
  <si>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</si>
  <si>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</si>
  <si>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</si>
  <si>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</si>
  <si>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</si>
  <si>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</si>
  <si>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</si>
  <si>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</si>
  <si>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</si>
  <si>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</si>
  <si>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</si>
  <si>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</si>
  <si>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</si>
  <si>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</si>
  <si>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</si>
  <si>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</si>
  <si>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</si>
  <si>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</si>
  <si>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</si>
  <si>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</si>
  <si>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</si>
  <si>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</si>
  <si>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</si>
  <si>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</si>
  <si>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</si>
  <si>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</si>
  <si>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</si>
  <si>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</si>
  <si>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</si>
  <si>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</si>
  <si>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</si>
  <si>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</si>
  <si>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</si>
  <si>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</si>
  <si>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</si>
  <si>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</si>
  <si>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</si>
  <si>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</si>
  <si>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</si>
  <si>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</si>
  <si>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</si>
  <si>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</si>
  <si>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</si>
  <si>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</si>
  <si>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</si>
  <si>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</si>
  <si>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</si>
  <si>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</si>
  <si>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</si>
  <si>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</si>
  <si>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</si>
  <si>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</si>
  <si>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</si>
  <si>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</si>
  <si>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</si>
  <si>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</si>
  <si>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</si>
  <si>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</si>
  <si>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</si>
  <si>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</si>
  <si>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</si>
  <si>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</si>
  <si>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</si>
  <si>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</si>
  <si>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</si>
  <si>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</si>
  <si>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</si>
  <si>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</si>
  <si>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</si>
  <si>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</si>
  <si>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</si>
  <si>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</si>
  <si>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</si>
  <si>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</si>
  <si>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</si>
  <si>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</si>
  <si>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</si>
  <si>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</si>
  <si>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</si>
  <si>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</si>
  <si>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</si>
  <si>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</si>
  <si>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</si>
  <si>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</si>
  <si>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</si>
  <si>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</si>
  <si>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</si>
  <si>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</si>
  <si>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</si>
  <si>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</si>
  <si>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</si>
  <si>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</si>
  <si>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</si>
  <si>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</si>
  <si>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</si>
  <si>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</si>
  <si>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</si>
  <si>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</si>
  <si>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</si>
  <si>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</si>
  <si>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</si>
  <si>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</si>
  <si>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</si>
  <si>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</si>
  <si>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</si>
  <si>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</si>
  <si>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</si>
  <si>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</si>
  <si>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</si>
  <si>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</si>
  <si>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</si>
  <si>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</si>
  <si>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</si>
  <si>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</si>
  <si>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</si>
  <si>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</si>
  <si>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</si>
  <si>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</si>
  <si>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</si>
  <si>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</si>
  <si>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</si>
  <si>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</si>
  <si>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</si>
  <si>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</si>
  <si>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</si>
  <si>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</si>
  <si>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</si>
  <si>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</si>
  <si>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</si>
  <si>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</si>
  <si>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</si>
  <si>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</si>
  <si>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</si>
  <si>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</si>
  <si>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</si>
  <si>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</si>
  <si>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</si>
  <si>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</si>
  <si>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</si>
  <si>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</si>
  <si>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</si>
  <si>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</si>
  <si>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</si>
  <si>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</si>
  <si>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</si>
  <si>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</si>
  <si>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</si>
  <si>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</si>
  <si>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</si>
  <si>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</si>
  <si>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</si>
  <si>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</si>
  <si>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</si>
  <si>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</si>
  <si>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</si>
  <si>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</si>
  <si>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</si>
  <si>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</si>
  <si>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</si>
  <si>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</si>
  <si>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</si>
  <si>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</si>
  <si>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</si>
  <si>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</si>
  <si>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</si>
  <si>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</si>
  <si>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</si>
  <si>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</si>
  <si>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</si>
  <si>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</si>
  <si>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</si>
  <si>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</si>
  <si>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</si>
  <si>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</si>
  <si>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</si>
  <si>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</si>
  <si>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</si>
  <si>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</si>
  <si>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</si>
  <si>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</si>
  <si>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</si>
  <si>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</si>
  <si>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</si>
  <si>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</si>
  <si>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</si>
  <si>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</si>
  <si>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</si>
  <si>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</si>
  <si>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</si>
  <si>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</si>
  <si>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</si>
  <si>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</si>
  <si>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</si>
  <si>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</si>
  <si>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</si>
  <si>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</si>
  <si>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</si>
  <si>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</si>
  <si>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</si>
  <si>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</si>
  <si>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</si>
  <si>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</si>
  <si>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</si>
  <si>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</si>
  <si>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</si>
  <si>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</si>
  <si>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</si>
  <si>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</si>
  <si>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</si>
  <si>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</si>
  <si>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</si>
  <si>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</si>
  <si>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</si>
  <si>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</si>
  <si>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</si>
  <si>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</si>
  <si>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</si>
  <si>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</si>
  <si>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</si>
  <si>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</si>
  <si>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</si>
  <si>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</si>
  <si>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</si>
  <si>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</si>
  <si>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</si>
  <si>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</si>
  <si>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</si>
  <si>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</si>
  <si>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</si>
  <si>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</si>
  <si>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</si>
  <si>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</si>
  <si>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</si>
  <si>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</si>
  <si>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</si>
  <si>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</si>
  <si>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</si>
  <si>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</si>
  <si>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</si>
  <si>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</si>
  <si>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</si>
  <si>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</si>
  <si>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</si>
  <si>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</si>
  <si>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</si>
  <si>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</si>
  <si>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</si>
  <si>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</si>
  <si>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</si>
  <si>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</si>
  <si>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</si>
  <si>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</si>
  <si>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</si>
  <si>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</si>
  <si>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</si>
  <si>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</si>
  <si>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</si>
  <si>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</si>
  <si>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</si>
  <si>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</si>
  <si>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</si>
  <si>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</si>
  <si>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</si>
  <si>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</si>
  <si>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</si>
  <si>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</si>
  <si>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</si>
  <si>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</si>
  <si>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</si>
  <si>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</si>
  <si>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</si>
  <si>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</si>
  <si>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</si>
  <si>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</si>
  <si>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</si>
  <si>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</si>
  <si>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</si>
  <si>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</si>
  <si>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</si>
  <si>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</si>
  <si>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</si>
  <si>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</si>
  <si>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</si>
  <si>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</si>
  <si>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</si>
  <si>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</si>
  <si>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</si>
  <si>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</si>
  <si>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</si>
  <si>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</si>
  <si>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</si>
  <si>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</si>
  <si>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</si>
  <si>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</si>
  <si>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</si>
  <si>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</si>
  <si>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</si>
  <si>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</si>
  <si>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</si>
  <si>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</si>
  <si>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</si>
  <si>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</si>
  <si>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</si>
  <si>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</si>
  <si>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</si>
  <si>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</si>
  <si>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</si>
  <si>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</si>
  <si>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</si>
  <si>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</si>
  <si>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</si>
  <si>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</si>
  <si>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</si>
  <si>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</si>
  <si>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</si>
  <si>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</si>
  <si>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</si>
  <si>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</si>
  <si>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</si>
  <si>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</si>
  <si>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</si>
  <si>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</si>
  <si>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</si>
  <si>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</si>
  <si>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</si>
  <si>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</si>
  <si>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</si>
  <si>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</si>
  <si>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</si>
  <si>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</si>
  <si>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</si>
  <si>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</si>
  <si>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</si>
  <si>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</si>
  <si>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</si>
  <si>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</si>
  <si>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</si>
  <si>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</si>
  <si>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</si>
  <si>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</si>
  <si>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</si>
  <si>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</si>
  <si>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</si>
  <si>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</si>
  <si>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</si>
  <si>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</si>
  <si>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</si>
  <si>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</si>
  <si>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</si>
  <si>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</si>
  <si>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</si>
  <si>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</si>
  <si>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</si>
  <si>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</si>
  <si>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</si>
  <si>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</si>
  <si>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</si>
  <si>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</si>
  <si>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</si>
  <si>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</si>
  <si>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</si>
  <si>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</si>
  <si>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</si>
  <si>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</si>
  <si>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</si>
  <si>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</si>
  <si>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</si>
  <si>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</si>
  <si>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</si>
  <si>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</si>
  <si>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</si>
  <si>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</si>
  <si>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</si>
  <si>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</si>
  <si>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</si>
  <si>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</si>
  <si>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</si>
  <si>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</si>
  <si>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</si>
  <si>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</si>
  <si>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</si>
  <si>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</si>
  <si>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</si>
  <si>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</si>
  <si>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</si>
  <si>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</si>
  <si>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</si>
  <si>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</si>
  <si>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</si>
  <si>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</si>
  <si>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</si>
  <si>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</si>
  <si>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</si>
  <si>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</si>
  <si>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</si>
  <si>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</si>
  <si>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</si>
  <si>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</si>
  <si>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</si>
  <si>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</si>
  <si>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</si>
  <si>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</si>
  <si>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</si>
  <si>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</si>
  <si>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</si>
  <si>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</si>
  <si>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</si>
  <si>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</si>
  <si>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</si>
  <si>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</si>
  <si>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</si>
  <si>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</si>
  <si>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</si>
  <si>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</si>
  <si>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</si>
  <si>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</si>
  <si>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</si>
  <si>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</si>
  <si>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</si>
  <si>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</si>
  <si>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</si>
  <si>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</si>
  <si>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</si>
  <si>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</si>
  <si>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</si>
  <si>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</si>
  <si>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</si>
  <si>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</si>
  <si>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</si>
  <si>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</si>
  <si>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</si>
  <si>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</si>
  <si>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</si>
  <si>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</si>
  <si>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</si>
  <si>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</si>
  <si>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</si>
  <si>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</si>
  <si>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</si>
  <si>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</si>
  <si>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</si>
  <si>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</si>
  <si>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</si>
  <si>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</si>
  <si>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</si>
  <si>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</si>
  <si>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</si>
  <si>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</si>
  <si>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</si>
  <si>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</si>
  <si>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</si>
  <si>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</si>
  <si>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</si>
  <si>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</si>
  <si>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</si>
  <si>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</si>
  <si>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</si>
  <si>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</si>
  <si>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</si>
  <si>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</si>
  <si>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</si>
  <si>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</si>
  <si>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</si>
  <si>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</si>
  <si>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</si>
  <si>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</si>
  <si>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</si>
  <si>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</si>
  <si>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</si>
  <si>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</si>
  <si>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</si>
  <si>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</si>
  <si>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</si>
  <si>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</si>
  <si>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</si>
  <si>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</si>
  <si>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</si>
  <si>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</si>
  <si>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</si>
  <si>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</si>
  <si>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</si>
  <si>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</si>
  <si>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</si>
  <si>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</si>
  <si>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</si>
  <si>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</si>
  <si>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</si>
  <si>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</si>
  <si>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</si>
  <si>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</si>
  <si>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</si>
  <si>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</si>
  <si>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</si>
  <si>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</si>
  <si>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</si>
  <si>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</si>
  <si>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</si>
  <si>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</si>
  <si>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</si>
  <si>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</si>
  <si>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</si>
  <si>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</si>
  <si>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</si>
  <si>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</si>
  <si>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</si>
  <si>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</si>
  <si>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</si>
  <si>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</si>
  <si>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</si>
  <si>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</si>
  <si>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</si>
  <si>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</si>
  <si>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</si>
  <si>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</si>
  <si>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</si>
  <si>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</si>
  <si>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</si>
  <si>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</si>
  <si>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</si>
  <si>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</si>
  <si>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</si>
  <si>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</si>
  <si>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</si>
  <si>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</si>
  <si>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</si>
  <si>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</si>
  <si>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</si>
  <si>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</si>
  <si>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</si>
  <si>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</si>
  <si>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</si>
  <si>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</si>
  <si>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</si>
  <si>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</si>
  <si>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</si>
  <si>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</si>
  <si>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</si>
  <si>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</si>
  <si>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</si>
  <si>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</si>
  <si>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</si>
  <si>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</si>
  <si>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</si>
  <si>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</si>
  <si>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</si>
  <si>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</si>
  <si>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</si>
  <si>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</si>
  <si>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</si>
  <si>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</si>
  <si>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</si>
  <si>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</si>
  <si>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</si>
  <si>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</si>
  <si>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</si>
  <si>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</si>
  <si>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</si>
  <si>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</si>
  <si>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</si>
  <si>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</si>
  <si>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</si>
  <si>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</si>
  <si>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</si>
  <si>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</si>
  <si>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</si>
  <si>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</si>
  <si>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</si>
  <si>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</si>
  <si>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</si>
  <si>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</si>
  <si>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</si>
  <si>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</si>
  <si>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</si>
  <si>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</si>
  <si>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</si>
  <si>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</si>
  <si>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</si>
  <si>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</si>
  <si>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</si>
  <si>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</si>
  <si>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</si>
  <si>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</si>
  <si>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</si>
  <si>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</si>
  <si>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</si>
  <si>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</si>
  <si>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</si>
  <si>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</si>
  <si>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</si>
  <si>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</si>
  <si>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</si>
  <si>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</si>
  <si>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</si>
  <si>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</si>
  <si>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</si>
  <si>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</si>
  <si>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</si>
  <si>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</si>
  <si>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</si>
  <si>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</si>
  <si>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</si>
  <si>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</si>
  <si>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</si>
  <si>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</si>
  <si>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</si>
  <si>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</si>
  <si>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</si>
  <si>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</si>
  <si>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</si>
  <si>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</si>
  <si>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</si>
  <si>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</si>
  <si>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</si>
  <si>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</si>
  <si>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</si>
  <si>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</si>
  <si>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</si>
  <si>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</si>
  <si>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</si>
  <si>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</si>
  <si>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</si>
  <si>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</si>
  <si>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</si>
  <si>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</si>
  <si>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</si>
  <si>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</si>
  <si>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</si>
  <si>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</si>
  <si>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</si>
  <si>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</si>
  <si>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</si>
  <si>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</si>
  <si>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</si>
  <si>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</si>
  <si>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</si>
  <si>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</si>
  <si>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</si>
  <si>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</si>
  <si>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</si>
  <si>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</si>
  <si>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</si>
  <si>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</si>
  <si>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</si>
  <si>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</si>
  <si>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</si>
  <si>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</si>
  <si>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</si>
  <si>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</si>
  <si>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</si>
  <si>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</si>
  <si>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</si>
  <si>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</si>
  <si>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</si>
  <si>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</si>
  <si>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</si>
  <si>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</si>
  <si>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</si>
  <si>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</si>
  <si>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</si>
  <si>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</si>
  <si>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</si>
  <si>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</si>
  <si>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</si>
  <si>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</si>
  <si>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</si>
  <si>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</si>
  <si>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</si>
  <si>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</si>
  <si>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</si>
  <si>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</si>
  <si>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</si>
  <si>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</si>
  <si>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</si>
  <si>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</si>
  <si>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</si>
  <si>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</si>
  <si>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</si>
  <si>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</si>
  <si>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</si>
  <si>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</si>
  <si>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</si>
  <si>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</si>
  <si>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</si>
  <si>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</si>
  <si>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</si>
  <si>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</si>
  <si>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</si>
  <si>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</si>
  <si>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</si>
  <si>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</si>
  <si>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</si>
  <si>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</si>
  <si>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</si>
  <si>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</si>
  <si>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</si>
  <si>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</si>
  <si>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</si>
  <si>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</si>
  <si>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</si>
  <si>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</si>
  <si>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</si>
  <si>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</si>
  <si>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</si>
  <si>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</si>
  <si>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</si>
  <si>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</si>
  <si>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</si>
  <si>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</si>
  <si>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</si>
  <si>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</si>
  <si>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</si>
  <si>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</si>
  <si>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</si>
  <si>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</si>
  <si>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</si>
  <si>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</si>
  <si>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</si>
  <si>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</si>
  <si>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</si>
  <si>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</si>
  <si>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</si>
  <si>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</si>
  <si>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</si>
  <si>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</si>
  <si>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</si>
  <si>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</si>
  <si>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</si>
  <si>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</si>
  <si>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</si>
  <si>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</si>
  <si>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</si>
  <si>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</si>
  <si>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</si>
  <si>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</si>
  <si>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</si>
  <si>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</si>
  <si>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</si>
  <si>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</si>
  <si>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</si>
  <si>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</si>
  <si>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</si>
  <si>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</si>
  <si>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</si>
  <si>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</si>
  <si>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</si>
  <si>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</si>
  <si>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</si>
  <si>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</si>
  <si>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</si>
  <si>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</si>
  <si>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</si>
  <si>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</si>
  <si>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</si>
  <si>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</si>
  <si>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</si>
  <si>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</si>
  <si>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</si>
  <si>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</si>
  <si>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</si>
  <si>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</si>
  <si>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</si>
  <si>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</si>
  <si>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</si>
  <si>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</si>
  <si>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</si>
  <si>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</si>
  <si>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</si>
  <si>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</si>
  <si>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</si>
  <si>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</si>
  <si>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</si>
  <si>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</si>
  <si>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</si>
  <si>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</si>
  <si>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</si>
  <si>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</si>
  <si>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</si>
  <si>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</si>
  <si>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</si>
  <si>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</si>
  <si>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</si>
  <si>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</si>
  <si>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</si>
  <si>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</si>
  <si>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</si>
  <si>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</si>
  <si>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</si>
  <si>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</si>
  <si>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</si>
  <si>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</si>
  <si>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</si>
  <si>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</si>
  <si>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</si>
  <si>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</si>
  <si>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</si>
  <si>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</si>
  <si>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</si>
  <si>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</si>
  <si>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</si>
  <si>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</si>
  <si>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</si>
  <si>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</si>
  <si>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</si>
  <si>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</si>
  <si>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</si>
  <si>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</si>
  <si>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</si>
  <si>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</si>
  <si>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</si>
  <si>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</si>
  <si>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</si>
  <si>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</si>
  <si>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</si>
  <si>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</si>
  <si>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</si>
  <si>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</si>
  <si>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</si>
  <si>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</si>
  <si>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</si>
  <si>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</si>
  <si>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</si>
  <si>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</si>
  <si>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</si>
  <si>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</si>
  <si>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</si>
  <si>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</si>
  <si>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</si>
  <si>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</si>
  <si>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</si>
  <si>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</si>
  <si>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</si>
  <si>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</si>
  <si>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</si>
  <si>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</si>
  <si>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</si>
  <si>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</si>
  <si>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</si>
  <si>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</si>
  <si>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</si>
  <si>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</si>
  <si>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</si>
  <si>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</si>
  <si>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</si>
  <si>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</si>
  <si>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</si>
  <si>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</si>
  <si>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</si>
  <si>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</si>
  <si>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</si>
  <si>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</si>
  <si>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</si>
  <si>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</si>
  <si>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</si>
  <si>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</si>
  <si>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</si>
  <si>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</si>
  <si>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</si>
  <si>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</si>
  <si>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</si>
  <si>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</si>
  <si>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</si>
  <si>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</si>
  <si>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</si>
  <si>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</si>
  <si>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</si>
  <si>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</si>
  <si>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</si>
  <si>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</si>
  <si>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</si>
  <si>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</si>
  <si>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</si>
  <si>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</si>
  <si>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</si>
  <si>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</si>
  <si>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</si>
  <si>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</si>
  <si>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</si>
  <si>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</si>
  <si>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</si>
  <si>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</si>
  <si>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</si>
  <si>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</si>
  <si>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</si>
  <si>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</si>
  <si>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</si>
  <si>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</si>
  <si>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</si>
  <si>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</si>
  <si>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</si>
  <si>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</si>
  <si>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</si>
  <si>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</si>
  <si>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</si>
  <si>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</si>
  <si>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</si>
  <si>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</si>
  <si>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</si>
  <si>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</si>
  <si>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</si>
  <si>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</si>
  <si>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</si>
  <si>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</si>
  <si>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</si>
  <si>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</si>
  <si>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</si>
  <si>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</si>
  <si>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</si>
  <si>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</si>
  <si>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</si>
  <si>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</si>
  <si>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</si>
  <si>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</si>
  <si>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</si>
  <si>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</si>
  <si>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</si>
  <si>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</si>
  <si>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</si>
  <si>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</si>
  <si>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</si>
  <si>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</si>
  <si>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</si>
  <si>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</si>
  <si>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</si>
  <si>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</si>
  <si>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</si>
  <si>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</si>
  <si>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</si>
  <si>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</si>
  <si>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</si>
  <si>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</si>
  <si>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</si>
  <si>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</si>
  <si>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</si>
  <si>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</si>
  <si>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</si>
  <si>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</si>
  <si>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</si>
  <si>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</si>
  <si>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</si>
  <si>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</si>
  <si>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</si>
  <si>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</si>
  <si>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</si>
  <si>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</si>
  <si>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</si>
  <si>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</si>
  <si>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</si>
  <si>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</si>
  <si>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</si>
  <si>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</si>
  <si>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</si>
  <si>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</si>
  <si>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</si>
  <si>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</si>
  <si>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</si>
  <si>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</si>
  <si>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</si>
  <si>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</si>
  <si>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</si>
  <si>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</si>
  <si>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</si>
  <si>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</si>
  <si>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</si>
  <si>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</si>
  <si>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</si>
  <si>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</si>
  <si>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</si>
  <si>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</si>
  <si>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</si>
  <si>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</si>
  <si>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</si>
  <si>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</si>
  <si>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</si>
  <si>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</si>
  <si>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</si>
  <si>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</si>
  <si>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</si>
  <si>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</si>
  <si>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</si>
  <si>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</si>
  <si>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</si>
  <si>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</si>
  <si>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</si>
  <si>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</si>
  <si>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</si>
  <si>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</si>
  <si>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</si>
  <si>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</si>
  <si>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</si>
  <si>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</si>
  <si>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</si>
  <si>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</si>
  <si>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</si>
  <si>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</si>
  <si>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</si>
  <si>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</si>
  <si>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</si>
  <si>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</si>
  <si>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</si>
  <si>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</si>
  <si>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</si>
  <si>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</si>
  <si>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</si>
  <si>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</si>
  <si>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</si>
  <si>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</si>
  <si>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</si>
  <si>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</si>
  <si>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</si>
  <si>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</si>
  <si>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</si>
  <si>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</si>
  <si>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</si>
  <si>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</si>
  <si>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</si>
  <si>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</si>
  <si>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</si>
  <si>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</si>
  <si>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</si>
  <si>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</si>
  <si>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</si>
  <si>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</si>
  <si>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</si>
  <si>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</si>
  <si>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</si>
  <si>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</si>
  <si>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</si>
  <si>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</si>
  <si>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</si>
  <si>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</si>
  <si>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</si>
  <si>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</si>
  <si>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</si>
  <si>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</si>
  <si>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</si>
  <si>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</si>
  <si>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</si>
  <si>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</si>
  <si>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</si>
  <si>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</si>
  <si>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</si>
  <si>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</si>
  <si>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</si>
  <si>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</si>
  <si>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</si>
  <si>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</si>
  <si>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</si>
  <si>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</si>
  <si>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</si>
  <si>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</si>
  <si>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</si>
  <si>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</si>
  <si>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</si>
  <si>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</si>
  <si>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</si>
  <si>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</si>
  <si>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</si>
  <si>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</si>
  <si>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</si>
  <si>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</si>
  <si>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</si>
  <si>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</si>
  <si>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</si>
  <si>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</si>
  <si>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</si>
  <si>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</si>
  <si>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</si>
  <si>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</si>
  <si>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</si>
  <si>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</si>
  <si>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</si>
  <si>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</si>
  <si>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</si>
  <si>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</si>
  <si>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</si>
  <si>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</si>
  <si>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</si>
  <si>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</si>
  <si>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</si>
  <si>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</si>
  <si>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</si>
  <si>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</si>
  <si>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</si>
  <si>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</si>
  <si>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</si>
  <si>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</si>
  <si>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</si>
  <si>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</si>
  <si>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</si>
  <si>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</si>
  <si>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</si>
  <si>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</si>
  <si>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</si>
  <si>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</si>
  <si>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</si>
  <si>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</si>
  <si>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</si>
  <si>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</si>
  <si>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</si>
  <si>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</si>
  <si>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</si>
  <si>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</si>
  <si>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</si>
  <si>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</si>
  <si>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</si>
  <si>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</si>
  <si>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</si>
  <si>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</si>
  <si>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</si>
  <si>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</si>
  <si>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</si>
  <si>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</si>
  <si>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</si>
  <si>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</si>
  <si>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</si>
  <si>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</si>
  <si>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</si>
  <si>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</si>
  <si>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</si>
  <si>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</si>
  <si>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</si>
  <si>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</si>
  <si>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</si>
  <si>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</si>
  <si>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</si>
  <si>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</si>
  <si>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</si>
  <si>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</si>
  <si>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</si>
  <si>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</si>
  <si>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</si>
  <si>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</si>
  <si>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</si>
  <si>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</si>
  <si>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</si>
  <si>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</si>
  <si>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</si>
  <si>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</si>
  <si>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</si>
  <si>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</si>
  <si>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</si>
  <si>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</si>
  <si>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</si>
  <si>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</si>
  <si>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</si>
  <si>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</si>
  <si>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</si>
  <si>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</si>
  <si>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</si>
  <si>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</si>
  <si>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</si>
  <si>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</si>
  <si>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</si>
  <si>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</si>
  <si>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</si>
  <si>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</si>
  <si>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</si>
  <si>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</si>
  <si>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</si>
  <si>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</si>
  <si>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</si>
  <si>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</si>
  <si>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</si>
  <si>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</si>
  <si>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</si>
  <si>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</si>
  <si>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</si>
  <si>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</si>
  <si>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</si>
  <si>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</si>
  <si>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</si>
  <si>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</si>
  <si>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</si>
  <si>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</si>
  <si>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</si>
  <si>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</si>
  <si>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</si>
  <si>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</si>
  <si>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</si>
  <si>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</si>
  <si>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</si>
  <si>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</si>
  <si>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</si>
  <si>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</si>
  <si>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</si>
  <si>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</si>
  <si>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</si>
  <si>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</si>
  <si>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</si>
  <si>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</si>
  <si>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</si>
  <si>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</si>
  <si>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</si>
  <si>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</si>
  <si>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</si>
  <si>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</si>
  <si>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</si>
  <si>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</si>
  <si>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</si>
  <si>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</si>
  <si>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</si>
  <si>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</si>
  <si>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</si>
  <si>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</si>
  <si>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</si>
  <si>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</si>
  <si>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</si>
  <si>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</si>
  <si>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</si>
  <si>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</si>
  <si>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</si>
  <si>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</si>
  <si>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</si>
  <si>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</si>
  <si>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</si>
  <si>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</si>
  <si>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</si>
  <si>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</si>
  <si>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</si>
  <si>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</si>
  <si>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</si>
  <si>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</si>
  <si>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</si>
  <si>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</si>
  <si>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</si>
  <si>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</si>
  <si>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</si>
  <si>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</si>
  <si>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</si>
  <si>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</si>
  <si>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</si>
  <si>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</si>
  <si>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</si>
  <si>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</si>
  <si>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</si>
  <si>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</si>
  <si>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</si>
  <si>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</si>
  <si>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</si>
  <si>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</si>
  <si>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</si>
  <si>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</si>
  <si>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</si>
  <si>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</si>
  <si>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</si>
  <si>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</si>
  <si>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</si>
  <si>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</si>
  <si>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</si>
  <si>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</si>
  <si>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</si>
  <si>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</si>
  <si>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</si>
  <si>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</si>
  <si>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</si>
  <si>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</si>
  <si>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</si>
  <si>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</si>
  <si>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</si>
  <si>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</si>
  <si>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</si>
  <si>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</si>
  <si>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</si>
  <si>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</si>
  <si>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</si>
  <si>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</si>
  <si>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</si>
  <si>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</si>
  <si>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</si>
  <si>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</si>
  <si>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</si>
  <si>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</si>
  <si>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</si>
  <si>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</si>
  <si>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</si>
  <si>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</si>
  <si>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</si>
  <si>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</si>
  <si>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</si>
  <si>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</si>
  <si>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</si>
  <si>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</si>
  <si>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</si>
  <si>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</si>
  <si>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</si>
  <si>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</si>
  <si>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</si>
  <si>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</si>
  <si>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</si>
  <si>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</si>
  <si>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</si>
  <si>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</si>
  <si>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</si>
  <si>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</si>
  <si>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</si>
  <si>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</si>
  <si>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</si>
  <si>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</si>
  <si>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</si>
  <si>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</si>
  <si>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</si>
  <si>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</si>
  <si>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</si>
  <si>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</si>
  <si>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</si>
  <si>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</si>
  <si>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</si>
  <si>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</si>
  <si>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</si>
  <si>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</si>
  <si>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</si>
  <si>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</si>
  <si>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</si>
  <si>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</si>
  <si>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</si>
  <si>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</si>
  <si>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</si>
  <si>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</si>
  <si>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</si>
  <si>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</si>
  <si>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</si>
  <si>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</si>
  <si>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</si>
  <si>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</si>
  <si>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</si>
  <si>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</si>
  <si>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</si>
  <si>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</si>
  <si>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</si>
  <si>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</si>
  <si>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</si>
  <si>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</si>
  <si>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</si>
  <si>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</si>
  <si>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</si>
  <si>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</si>
  <si>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</si>
  <si>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</si>
  <si>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</si>
  <si>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</si>
  <si>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</si>
  <si>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</si>
  <si>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</si>
  <si>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</si>
  <si>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</si>
  <si>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</si>
  <si>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</si>
  <si>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</si>
  <si>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</si>
  <si>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</si>
  <si>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</si>
  <si>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</si>
  <si>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</si>
  <si>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</si>
  <si>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</si>
  <si>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</si>
  <si>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</si>
  <si>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</si>
  <si>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</si>
  <si>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</si>
  <si>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</si>
  <si>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</si>
  <si>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</si>
  <si>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</si>
  <si>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</si>
  <si>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</si>
  <si>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</si>
  <si>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</si>
  <si>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</si>
  <si>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</si>
  <si>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</si>
  <si>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</si>
  <si>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</si>
  <si>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</si>
  <si>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</si>
  <si>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</si>
  <si>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</si>
  <si>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</si>
  <si>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</si>
  <si>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</si>
  <si>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</si>
  <si>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</si>
  <si>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</si>
  <si>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</si>
  <si>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</si>
  <si>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</si>
  <si>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</si>
  <si>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</si>
  <si>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</si>
  <si>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</si>
  <si>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</si>
  <si>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</si>
  <si>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</si>
  <si>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</si>
  <si>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</si>
  <si>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</si>
  <si>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</si>
  <si>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</si>
  <si>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</si>
  <si>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</si>
  <si>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</si>
  <si>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</si>
  <si>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</si>
  <si>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</si>
  <si>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</si>
  <si>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</si>
  <si>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</si>
  <si>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</si>
  <si>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</si>
  <si>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</si>
  <si>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</si>
  <si>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</si>
  <si>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</si>
  <si>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</si>
  <si>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</si>
  <si>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</si>
  <si>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</si>
  <si>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</si>
  <si>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</si>
  <si>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</si>
  <si>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</si>
  <si>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</si>
  <si>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</si>
  <si>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</si>
  <si>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</si>
  <si>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</si>
  <si>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</si>
  <si>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</si>
  <si>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</si>
  <si>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</si>
  <si>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</si>
  <si>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</si>
  <si>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</si>
  <si>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</si>
  <si>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</si>
  <si>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</si>
  <si>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</si>
  <si>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</si>
  <si>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</si>
  <si>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</si>
  <si>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</si>
  <si>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</si>
  <si>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</si>
  <si>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</si>
  <si>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</si>
  <si>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</si>
  <si>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</si>
  <si>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</si>
  <si>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</si>
  <si>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</si>
  <si>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</si>
  <si>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</si>
  <si>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</si>
  <si>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</si>
  <si>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</si>
  <si>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</si>
  <si>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</si>
  <si>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</si>
  <si>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</si>
  <si>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</si>
  <si>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</si>
  <si>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</si>
  <si>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</si>
  <si>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</si>
  <si>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</si>
  <si>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</si>
  <si>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</si>
  <si>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</si>
  <si>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</si>
  <si>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</si>
  <si>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</si>
  <si>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</si>
  <si>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</si>
  <si>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</si>
  <si>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</si>
  <si>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</si>
  <si>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</si>
  <si>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</si>
  <si>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</si>
  <si>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</si>
  <si>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</si>
  <si>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</si>
  <si>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</si>
  <si>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</si>
  <si>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</si>
  <si>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</si>
  <si>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</si>
  <si>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</si>
  <si>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</si>
  <si>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</si>
  <si>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</si>
  <si>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</si>
  <si>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</si>
  <si>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</si>
  <si>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</si>
  <si>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</si>
  <si>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</si>
  <si>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</si>
  <si>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</si>
  <si>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</si>
  <si>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</si>
  <si>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</si>
  <si>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</si>
  <si>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</si>
  <si>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</si>
  <si>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</si>
  <si>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</si>
  <si>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</si>
  <si>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</si>
  <si>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</si>
  <si>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</si>
  <si>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</si>
  <si>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</si>
  <si>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</si>
  <si>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</si>
  <si>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</si>
  <si>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</si>
  <si>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</si>
  <si>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</si>
  <si>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</si>
  <si>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</si>
  <si>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</si>
  <si>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</si>
  <si>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</si>
  <si>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</si>
  <si>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</si>
  <si>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</si>
  <si>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</si>
  <si>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</si>
  <si>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</si>
  <si>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</si>
  <si>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</si>
  <si>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</si>
  <si>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</si>
  <si>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</si>
  <si>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</si>
  <si>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</si>
  <si>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</si>
  <si>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</si>
  <si>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</si>
  <si>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</si>
  <si>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</si>
  <si>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</si>
  <si>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</si>
  <si>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</si>
  <si>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</si>
  <si>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</si>
  <si>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</si>
  <si>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</si>
  <si>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</si>
  <si>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</si>
  <si>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</si>
  <si>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</si>
  <si>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</si>
  <si>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</si>
  <si>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</si>
  <si>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</si>
  <si>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</si>
  <si>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</si>
  <si>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</si>
  <si>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</si>
  <si>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</si>
  <si>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</si>
  <si>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</si>
  <si>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</si>
  <si>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</si>
  <si>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</si>
  <si>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</si>
  <si>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</si>
  <si>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</si>
  <si>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</si>
  <si>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</si>
  <si>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</si>
  <si>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</si>
  <si>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</si>
  <si>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</si>
  <si>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</si>
  <si>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</si>
  <si>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</si>
  <si>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</si>
  <si>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</si>
  <si>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</si>
  <si>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</si>
  <si>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</si>
  <si>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</si>
  <si>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</si>
  <si>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</si>
  <si>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</si>
  <si>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</si>
  <si>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</si>
  <si>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</si>
  <si>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</si>
  <si>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</si>
  <si>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</si>
  <si>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</si>
  <si>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</si>
  <si>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</si>
  <si>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</si>
  <si>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</si>
  <si>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</si>
  <si>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</si>
  <si>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</si>
  <si>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</si>
  <si>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</si>
  <si>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</si>
  <si>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</si>
  <si>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</si>
  <si>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</si>
  <si>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</si>
  <si>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</si>
  <si>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</si>
  <si>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</si>
  <si>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</si>
  <si>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</si>
  <si>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</si>
  <si>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</si>
  <si>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</si>
  <si>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</si>
  <si>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</si>
  <si>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</si>
  <si>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</si>
  <si>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</si>
  <si>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</si>
  <si>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</si>
  <si>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</si>
  <si>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</si>
  <si>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</si>
  <si>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</si>
  <si>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</si>
  <si>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</si>
  <si>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</si>
  <si>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</si>
  <si>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</si>
  <si>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</si>
  <si>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</si>
  <si>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</si>
  <si>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</si>
  <si>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</si>
  <si>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</si>
  <si>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</si>
  <si>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</si>
  <si>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</si>
  <si>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</si>
  <si>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</si>
  <si>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</si>
  <si>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</si>
  <si>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</si>
  <si>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</si>
  <si>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</si>
  <si>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</si>
  <si>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</si>
  <si>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</si>
  <si>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</si>
  <si>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</si>
  <si>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</si>
  <si>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</si>
  <si>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</si>
  <si>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</si>
  <si>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</si>
  <si>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</si>
  <si>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</si>
  <si>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</si>
  <si>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</si>
  <si>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</si>
  <si>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</si>
  <si>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</si>
  <si>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</si>
  <si>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</si>
  <si>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</si>
  <si>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</si>
  <si>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</si>
  <si>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</si>
  <si>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</si>
  <si>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</si>
  <si>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</si>
  <si>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</si>
  <si>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</si>
  <si>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</si>
  <si>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</si>
  <si>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</si>
  <si>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</si>
  <si>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</si>
  <si>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</si>
  <si>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</si>
  <si>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</si>
  <si>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</si>
  <si>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</si>
  <si>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</si>
  <si>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</si>
  <si>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</si>
  <si>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</si>
  <si>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</si>
  <si>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</si>
  <si>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</si>
  <si>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</si>
  <si>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</si>
  <si>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</si>
  <si>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</si>
  <si>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</si>
  <si>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</si>
  <si>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</si>
  <si>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</si>
  <si>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</si>
  <si>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</si>
  <si>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</si>
  <si>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</si>
  <si>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</si>
  <si>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</si>
  <si>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</si>
  <si>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</si>
  <si>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</si>
  <si>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</si>
  <si>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</si>
  <si>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</si>
  <si>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</si>
  <si>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</si>
  <si>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</si>
  <si>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</si>
  <si>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</si>
  <si>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</si>
  <si>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</si>
  <si>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</si>
  <si>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</si>
  <si>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</si>
  <si>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</si>
  <si>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</si>
  <si>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</si>
  <si>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</si>
  <si>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</si>
  <si>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</si>
  <si>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</si>
  <si>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</si>
  <si>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</si>
  <si>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</si>
  <si>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</si>
  <si>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</si>
  <si>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</si>
  <si>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</si>
  <si>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</si>
  <si>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</si>
  <si>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</si>
  <si>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</si>
  <si>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</si>
  <si>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</si>
  <si>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</si>
  <si>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</si>
  <si>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</si>
  <si>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</si>
  <si>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</si>
  <si>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</si>
  <si>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</si>
  <si>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</si>
  <si>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</si>
  <si>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</si>
  <si>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</si>
  <si>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</si>
  <si>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</si>
  <si>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</si>
  <si>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</si>
  <si>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</si>
  <si>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</si>
  <si>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</si>
  <si>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</si>
  <si>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</si>
  <si>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</si>
  <si>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</si>
  <si>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</si>
  <si>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</si>
  <si>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</si>
  <si>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</si>
  <si>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</si>
  <si>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</si>
  <si>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</si>
  <si>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</si>
  <si>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</si>
  <si>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</si>
  <si>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</si>
  <si>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</si>
  <si>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</si>
  <si>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</si>
  <si>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</si>
  <si>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</si>
  <si>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</si>
  <si>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</si>
  <si>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</si>
  <si>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</si>
  <si>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</si>
  <si>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</si>
  <si>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</si>
  <si>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</si>
  <si>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</si>
  <si>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</si>
  <si>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</si>
  <si>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</si>
  <si>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</si>
  <si>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</si>
  <si>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</si>
  <si>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</si>
  <si>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</si>
  <si>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</si>
  <si>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</si>
  <si>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</si>
  <si>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</si>
  <si>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</si>
  <si>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</si>
  <si>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</si>
  <si>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</si>
  <si>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</si>
  <si>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</si>
  <si>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</si>
  <si>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</si>
  <si>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</si>
  <si>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</si>
  <si>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</si>
  <si>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</si>
  <si>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</si>
  <si>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</si>
  <si>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</si>
  <si>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</si>
  <si>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</si>
  <si>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</si>
  <si>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</si>
  <si>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</si>
  <si>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</si>
  <si>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</si>
  <si>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</si>
  <si>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</si>
  <si>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</si>
  <si>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</si>
  <si>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</si>
  <si>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</si>
  <si>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</si>
  <si>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</si>
  <si>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</si>
  <si>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</si>
  <si>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</si>
  <si>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</si>
  <si>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</si>
  <si>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</si>
  <si>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</si>
  <si>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</si>
  <si>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</si>
  <si>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</si>
  <si>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</si>
  <si>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</si>
  <si>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</si>
  <si>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</si>
  <si>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</si>
  <si>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</si>
  <si>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</si>
  <si>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</si>
  <si>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</si>
  <si>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</si>
  <si>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</si>
  <si>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</si>
  <si>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</si>
  <si>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</si>
  <si>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</si>
  <si>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</si>
  <si>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</si>
  <si>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</si>
  <si>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</si>
  <si>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</si>
  <si>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</si>
  <si>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</si>
  <si>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</si>
  <si>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</si>
  <si>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</si>
  <si>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</si>
  <si>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</si>
  <si>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</si>
  <si>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</si>
  <si>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</si>
  <si>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</si>
  <si>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</si>
  <si>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</si>
  <si>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</si>
  <si>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</si>
  <si>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</si>
  <si>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</si>
  <si>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</si>
  <si>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</si>
  <si>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</si>
  <si>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</si>
  <si>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</si>
  <si>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</si>
  <si>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</si>
  <si>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</si>
  <si>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</si>
  <si>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</si>
  <si>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</si>
  <si>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</si>
  <si>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</si>
  <si>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</si>
  <si>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</si>
  <si>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</si>
  <si>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</si>
  <si>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</si>
  <si>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</si>
  <si>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</si>
  <si>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</si>
  <si>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</si>
  <si>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</si>
  <si>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</si>
  <si>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</si>
  <si>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</si>
  <si>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</si>
  <si>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</si>
  <si>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</si>
  <si>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</si>
  <si>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</si>
  <si>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</si>
  <si>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</si>
  <si>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</si>
  <si>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</si>
  <si>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</si>
  <si>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</si>
  <si>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</si>
  <si>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</si>
  <si>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</si>
  <si>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</si>
  <si>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</si>
  <si>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</si>
  <si>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</si>
  <si>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</si>
  <si>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</si>
  <si>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</si>
  <si>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</si>
  <si>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</si>
  <si>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</si>
  <si>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</si>
  <si>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</si>
  <si>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</si>
  <si>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</si>
  <si>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</si>
  <si>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</si>
  <si>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</si>
  <si>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</si>
  <si>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</si>
  <si>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</si>
  <si>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</si>
  <si>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</si>
  <si>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</si>
  <si>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</si>
  <si>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</si>
  <si>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</si>
  <si>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</si>
  <si>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</si>
  <si>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</si>
  <si>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</si>
  <si>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</si>
  <si>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</si>
  <si>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</si>
  <si>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</si>
  <si>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</si>
  <si>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</si>
  <si>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</si>
  <si>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</si>
  <si>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</si>
  <si>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</si>
  <si>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</si>
  <si>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</si>
  <si>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</si>
  <si>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</si>
  <si>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</si>
  <si>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</si>
  <si>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</si>
  <si>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</si>
  <si>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</si>
  <si>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</si>
  <si>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</si>
  <si>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</si>
  <si>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</si>
  <si>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</si>
  <si>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</si>
  <si>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</si>
  <si>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</si>
  <si>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</si>
  <si>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</si>
  <si>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</si>
  <si>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</si>
  <si>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</si>
  <si>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</si>
  <si>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</si>
  <si>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</si>
  <si>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</si>
  <si>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</si>
  <si>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</si>
  <si>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</si>
  <si>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</si>
  <si>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</si>
  <si>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</si>
  <si>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</si>
  <si>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</si>
  <si>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</si>
  <si>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</si>
  <si>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</si>
  <si>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</si>
  <si>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</si>
  <si>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</si>
  <si>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</si>
  <si>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</si>
  <si>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</si>
  <si>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</si>
  <si>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</si>
  <si>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</si>
  <si>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</si>
  <si>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</si>
  <si>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</si>
  <si>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</si>
  <si>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</si>
  <si>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</si>
  <si>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</si>
  <si>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</si>
  <si>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</si>
  <si>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</si>
  <si>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</si>
  <si>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</si>
  <si>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</si>
  <si>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</si>
  <si>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</si>
  <si>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</si>
  <si>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</si>
  <si>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</si>
  <si>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</si>
  <si>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</si>
  <si>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</si>
  <si>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</si>
  <si>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</si>
  <si>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</si>
  <si>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</si>
  <si>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</si>
  <si>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</si>
  <si>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</si>
  <si>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</si>
  <si>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</si>
  <si>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</si>
  <si>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</si>
  <si>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</si>
  <si>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</si>
  <si>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</si>
  <si>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</si>
  <si>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</si>
  <si>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</si>
  <si>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</si>
  <si>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</si>
  <si>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</si>
  <si>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</si>
  <si>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</si>
  <si>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</si>
  <si>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</si>
  <si>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</si>
  <si>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</si>
  <si>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</si>
  <si>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</si>
  <si>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</si>
  <si>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</si>
  <si>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</si>
  <si>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</si>
  <si>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</si>
  <si>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</si>
  <si>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</si>
  <si>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</si>
  <si>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</si>
  <si>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</si>
  <si>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</si>
  <si>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</si>
  <si>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</si>
  <si>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</si>
  <si>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</si>
  <si>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</si>
  <si>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</si>
  <si>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</si>
  <si>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</si>
  <si>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</si>
  <si>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</si>
  <si>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</si>
  <si>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</si>
  <si>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</si>
  <si>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</si>
  <si>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</si>
  <si>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</si>
  <si>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</si>
  <si>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</si>
  <si>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</si>
  <si>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</si>
  <si>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</si>
  <si>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</si>
  <si>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</si>
  <si>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</si>
  <si>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</si>
  <si>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</si>
  <si>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</si>
  <si>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</si>
  <si>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</si>
  <si>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</si>
  <si>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</si>
  <si>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</si>
  <si>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</si>
  <si>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</si>
  <si>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</si>
  <si>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</si>
  <si>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</si>
  <si>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</si>
  <si>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</si>
  <si>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</si>
  <si>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</si>
  <si>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</si>
  <si>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</si>
  <si>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</si>
  <si>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</si>
  <si>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</si>
  <si>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</si>
  <si>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</si>
  <si>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</si>
  <si>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</si>
  <si>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</si>
  <si>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</si>
  <si>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</si>
  <si>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</si>
  <si>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</si>
  <si>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</si>
  <si>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</si>
  <si>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</si>
  <si>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</si>
  <si>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</si>
  <si>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</si>
  <si>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</si>
  <si>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</si>
  <si>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</si>
  <si>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</si>
  <si>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</si>
  <si>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</si>
  <si>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</si>
  <si>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</si>
  <si>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</si>
  <si>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</si>
  <si>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</si>
  <si>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</si>
  <si>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</si>
  <si>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</si>
  <si>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</si>
  <si>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</si>
  <si>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</si>
  <si>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</si>
  <si>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</si>
  <si>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</si>
  <si>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</si>
  <si>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</si>
  <si>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</si>
  <si>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</si>
  <si>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</si>
  <si>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</si>
  <si>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</si>
  <si>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</si>
  <si>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</si>
  <si>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</si>
  <si>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</si>
  <si>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</si>
  <si>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</si>
  <si>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</si>
  <si>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</si>
  <si>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</si>
  <si>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</si>
  <si>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</si>
  <si>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</si>
  <si>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</si>
  <si>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</si>
  <si>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</si>
  <si>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</si>
  <si>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</si>
  <si>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</si>
  <si>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</si>
  <si>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</si>
  <si>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</si>
  <si>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</si>
  <si>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</si>
  <si>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</si>
  <si>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</si>
  <si>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</si>
  <si>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</si>
  <si>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</si>
  <si>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</si>
  <si>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</si>
  <si>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</si>
  <si>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</si>
  <si>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</si>
  <si>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</si>
  <si>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</si>
  <si>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</si>
  <si>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</si>
  <si>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</si>
  <si>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</si>
  <si>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</si>
  <si>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</si>
  <si>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</si>
  <si>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</si>
  <si>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</si>
  <si>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</si>
  <si>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</si>
  <si>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</si>
  <si>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</si>
  <si>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</si>
  <si>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</si>
  <si>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</si>
  <si>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</si>
  <si>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</si>
  <si>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</si>
  <si>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</si>
  <si>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</si>
  <si>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</si>
  <si>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</si>
  <si>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</si>
  <si>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</si>
  <si>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</si>
  <si>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</si>
  <si>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</si>
  <si>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</si>
  <si>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</si>
  <si>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</si>
  <si>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</si>
  <si>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</si>
  <si>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</si>
  <si>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</si>
  <si>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</si>
  <si>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</si>
  <si>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</si>
  <si>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</si>
  <si>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</si>
  <si>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</si>
  <si>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</si>
  <si>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</si>
  <si>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</si>
  <si>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</si>
  <si>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</si>
  <si>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</si>
  <si>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</si>
  <si>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</si>
  <si>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</si>
  <si>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</si>
  <si>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</si>
  <si>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</si>
  <si>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</si>
  <si>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</si>
  <si>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</si>
  <si>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</si>
  <si>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</si>
  <si>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</si>
  <si>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</si>
  <si>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</si>
  <si>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</si>
  <si>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</si>
  <si>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</si>
  <si>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</si>
  <si>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</si>
  <si>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</si>
  <si>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</si>
  <si>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</si>
  <si>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</si>
  <si>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</si>
  <si>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</si>
  <si>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</si>
  <si>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</si>
  <si>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</si>
  <si>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</si>
  <si>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</si>
  <si>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</si>
  <si>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</si>
  <si>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</si>
  <si>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</si>
  <si>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</si>
  <si>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</si>
  <si>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</si>
  <si>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</si>
  <si>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</si>
  <si>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</si>
  <si>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</si>
  <si>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</si>
  <si>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</si>
  <si>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</si>
  <si>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</si>
  <si>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</si>
  <si>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</si>
  <si>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</si>
  <si>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</si>
  <si>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</si>
  <si>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</si>
  <si>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</si>
  <si>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</si>
  <si>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</si>
  <si>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</si>
  <si>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</si>
  <si>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</si>
  <si>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</si>
  <si>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</si>
  <si>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</si>
  <si>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</si>
  <si>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</si>
  <si>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</si>
  <si>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</si>
  <si>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</si>
  <si>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</si>
  <si>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</si>
  <si>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</si>
  <si>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</si>
  <si>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</si>
  <si>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</si>
  <si>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</si>
  <si>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</si>
  <si>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</si>
  <si>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</si>
  <si>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</si>
  <si>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</si>
  <si>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</si>
  <si>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</si>
  <si>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</si>
  <si>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</si>
  <si>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</si>
  <si>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</si>
  <si>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</si>
  <si>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</si>
  <si>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</si>
  <si>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</si>
  <si>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</si>
  <si>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</si>
  <si>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</si>
  <si>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</si>
  <si>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</si>
  <si>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</si>
  <si>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</si>
  <si>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</si>
  <si>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</si>
  <si>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</si>
  <si>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</si>
  <si>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</si>
  <si>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</si>
  <si>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</si>
  <si>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</si>
  <si>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</si>
  <si>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</si>
  <si>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</si>
  <si>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</si>
  <si>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</si>
  <si>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</si>
  <si>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</si>
  <si>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</si>
  <si>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</si>
  <si>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</si>
  <si>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</si>
  <si>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</si>
  <si>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</si>
  <si>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</si>
  <si>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</si>
  <si>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</si>
  <si>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</si>
  <si>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</si>
  <si>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</si>
  <si>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</si>
  <si>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</si>
  <si>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</si>
  <si>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</si>
  <si>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</si>
  <si>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</si>
  <si>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</si>
  <si>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</si>
  <si>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</si>
  <si>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</si>
  <si>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</si>
  <si>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</si>
  <si>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</si>
  <si>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</si>
  <si>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</si>
  <si>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</si>
  <si>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</si>
  <si>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</si>
  <si>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</si>
  <si>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</si>
  <si>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</si>
  <si>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</si>
  <si>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</si>
  <si>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</si>
  <si>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</si>
  <si>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</si>
  <si>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</si>
  <si>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</si>
  <si>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</si>
  <si>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</si>
  <si>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</si>
  <si>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</si>
  <si>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</si>
  <si>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</si>
  <si>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</si>
  <si>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</si>
  <si>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</si>
  <si>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</si>
  <si>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</si>
  <si>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</si>
  <si>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</si>
  <si>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</si>
  <si>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</si>
  <si>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</si>
  <si>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</si>
  <si>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</si>
  <si>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</si>
  <si>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</si>
  <si>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</si>
  <si>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</si>
  <si>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</si>
  <si>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</si>
  <si>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</si>
  <si>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</si>
  <si>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</si>
  <si>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</si>
  <si>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</si>
  <si>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</si>
  <si>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</si>
  <si>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</si>
  <si>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</si>
  <si>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</si>
  <si>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</si>
  <si>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</si>
  <si>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</si>
  <si>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</si>
  <si>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</si>
  <si>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</si>
  <si>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</si>
  <si>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</si>
  <si>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</si>
  <si>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</si>
  <si>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</si>
  <si>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</si>
  <si>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</si>
  <si>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</si>
  <si>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</si>
  <si>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</si>
  <si>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</si>
  <si>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</si>
  <si>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</si>
  <si>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</si>
  <si>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</si>
  <si>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</si>
  <si>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</si>
  <si>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</si>
  <si>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</si>
  <si>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</si>
  <si>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</si>
  <si>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</si>
  <si>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</si>
  <si>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</si>
  <si>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</si>
  <si>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</si>
  <si>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</si>
  <si>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</si>
  <si>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</si>
  <si>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</si>
  <si>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</si>
  <si>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</si>
  <si>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</si>
  <si>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</si>
  <si>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</si>
  <si>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</si>
  <si>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</si>
  <si>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</si>
  <si>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</si>
  <si>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</si>
  <si>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</si>
  <si>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</si>
  <si>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</si>
  <si>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</si>
  <si>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</si>
  <si>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</si>
  <si>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</si>
  <si>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</si>
  <si>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</si>
  <si>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</si>
  <si>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</si>
  <si>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</si>
  <si>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</si>
  <si>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</si>
  <si>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</si>
  <si>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</si>
  <si>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</si>
  <si>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</si>
  <si>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</si>
  <si>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</si>
  <si>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</si>
  <si>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</si>
  <si>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</si>
  <si>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</si>
  <si>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</si>
  <si>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</si>
  <si>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</si>
  <si>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</si>
  <si>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</si>
  <si>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</si>
  <si>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</si>
  <si>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</si>
  <si>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</si>
  <si>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</si>
  <si>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</si>
  <si>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</si>
  <si>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</si>
  <si>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</si>
  <si>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</si>
  <si>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</si>
  <si>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</si>
  <si>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</si>
  <si>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</si>
  <si>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</si>
  <si>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</si>
  <si>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</si>
  <si>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</si>
  <si>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</si>
  <si>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</si>
  <si>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</si>
  <si>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</si>
  <si>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</si>
  <si>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</si>
  <si>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</si>
  <si>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</si>
  <si>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</si>
  <si>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</si>
  <si>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</si>
  <si>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</si>
  <si>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</si>
  <si>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</si>
  <si>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</si>
  <si>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</si>
  <si>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</si>
  <si>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</si>
  <si>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</si>
  <si>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</si>
  <si>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</si>
  <si>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</si>
  <si>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</si>
  <si>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</si>
  <si>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</si>
  <si>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</si>
  <si>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</si>
  <si>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</si>
  <si>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</si>
  <si>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</si>
  <si>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</si>
  <si>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</si>
  <si>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</si>
  <si>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</si>
  <si>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</si>
  <si>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</si>
  <si>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</si>
  <si>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</si>
  <si>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</si>
  <si>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</si>
  <si>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</si>
  <si>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</si>
  <si>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</si>
  <si>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</si>
  <si>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</si>
  <si>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</si>
  <si>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</si>
  <si>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</si>
  <si>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</si>
  <si>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</si>
  <si>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</si>
  <si>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</si>
  <si>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</si>
  <si>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</si>
  <si>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</si>
  <si>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</si>
  <si>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</si>
  <si>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</si>
  <si>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</si>
  <si>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</si>
  <si>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</si>
  <si>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</si>
  <si>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</si>
  <si>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</si>
  <si>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</si>
  <si>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</si>
  <si>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</si>
  <si>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</si>
  <si>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</si>
  <si>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</si>
  <si>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</si>
  <si>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</si>
  <si>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</si>
  <si>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</si>
  <si>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</si>
  <si>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</si>
  <si>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</si>
  <si>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</si>
  <si>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</si>
  <si>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</si>
  <si>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</si>
  <si>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</si>
  <si>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</si>
  <si>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</si>
  <si>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</si>
  <si>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</si>
  <si>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</si>
  <si>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</si>
  <si>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</si>
  <si>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</si>
  <si>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</si>
  <si>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</si>
  <si>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</si>
  <si>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</si>
  <si>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</si>
  <si>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</si>
  <si>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</si>
  <si>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</si>
  <si>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</si>
  <si>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</si>
  <si>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</si>
  <si>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</si>
  <si>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</si>
  <si>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</si>
  <si>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</si>
  <si>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</si>
  <si>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</si>
  <si>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</si>
  <si>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</si>
  <si>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</si>
  <si>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</si>
  <si>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</si>
  <si>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</si>
  <si>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</si>
  <si>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</si>
  <si>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</si>
  <si>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</si>
  <si>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</si>
  <si>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</si>
  <si>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</si>
  <si>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</si>
  <si>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</si>
  <si>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</si>
  <si>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</si>
  <si>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</si>
  <si>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</si>
  <si>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</si>
  <si>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</si>
  <si>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</si>
  <si>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</si>
  <si>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</si>
  <si>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</si>
  <si>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</si>
  <si>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</si>
  <si>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</si>
  <si>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</si>
  <si>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</si>
  <si>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</si>
  <si>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</si>
  <si>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</si>
  <si>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</si>
  <si>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</si>
  <si>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</si>
  <si>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</si>
  <si>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</si>
  <si>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</si>
  <si>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</si>
  <si>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</si>
  <si>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</si>
  <si>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</si>
  <si>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</si>
  <si>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</si>
  <si>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</si>
  <si>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</si>
  <si>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</si>
  <si>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</si>
  <si>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</si>
  <si>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</si>
  <si>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</si>
  <si>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</si>
  <si>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</si>
  <si>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</si>
  <si>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</si>
  <si>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</si>
  <si>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</si>
  <si>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</si>
  <si>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</si>
  <si>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</si>
  <si>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</si>
  <si>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</si>
  <si>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</si>
  <si>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</si>
  <si>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</si>
  <si>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</si>
  <si>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</si>
  <si>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</si>
  <si>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</si>
  <si>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</si>
  <si>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</si>
  <si>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</si>
  <si>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</si>
  <si>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</si>
  <si>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</si>
  <si>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</si>
  <si>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</si>
  <si>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</si>
  <si>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</si>
  <si>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</si>
  <si>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</si>
  <si>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</si>
  <si>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</si>
  <si>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</si>
  <si>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</si>
  <si>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</si>
  <si>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</si>
  <si>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</si>
  <si>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</si>
  <si>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</si>
  <si>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</si>
  <si>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</si>
  <si>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</si>
  <si>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</si>
  <si>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</si>
  <si>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</si>
  <si>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</si>
  <si>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</si>
  <si>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</si>
  <si>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</si>
  <si>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</si>
  <si>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</si>
  <si>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</si>
  <si>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</si>
  <si>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</si>
  <si>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</si>
  <si>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</si>
  <si>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</si>
  <si>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</si>
  <si>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</si>
  <si>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</si>
  <si>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</si>
  <si>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</si>
  <si>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</si>
  <si>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</si>
  <si>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</si>
  <si>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</si>
  <si>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</si>
  <si>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</si>
  <si>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</si>
  <si>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</si>
  <si>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</si>
  <si>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</si>
  <si>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</si>
  <si>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</si>
  <si>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</si>
  <si>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</si>
  <si>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</si>
  <si>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</si>
  <si>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</si>
  <si>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</si>
  <si>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</si>
  <si>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</si>
  <si>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</si>
  <si>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</si>
  <si>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</si>
  <si>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</si>
  <si>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</si>
  <si>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</si>
  <si>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</si>
  <si>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</si>
  <si>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</si>
  <si>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</si>
  <si>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</si>
  <si>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</si>
  <si>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</si>
  <si>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</si>
  <si>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</si>
  <si>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</si>
  <si>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</si>
  <si>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</si>
  <si>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</si>
  <si>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</si>
  <si>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</si>
  <si>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</si>
  <si>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</si>
  <si>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</si>
  <si>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</si>
  <si>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</si>
  <si>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</si>
  <si>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</si>
  <si>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</si>
  <si>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</si>
  <si>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</si>
  <si>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</si>
  <si>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</si>
  <si>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</si>
  <si>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</si>
  <si>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</si>
  <si>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</si>
  <si>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</si>
  <si>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</si>
  <si>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</si>
  <si>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</si>
  <si>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</si>
  <si>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</si>
  <si>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</si>
  <si>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</si>
  <si>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</si>
  <si>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</si>
  <si>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</si>
  <si>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</si>
  <si>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</si>
  <si>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</si>
  <si>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</si>
  <si>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</si>
  <si>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</si>
  <si>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</si>
  <si>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</si>
  <si>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</si>
  <si>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</si>
  <si>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</si>
  <si>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</si>
  <si>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</si>
  <si>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</si>
  <si>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</si>
  <si>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</si>
  <si>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</si>
  <si>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</si>
  <si>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</si>
  <si>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</si>
  <si>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</si>
  <si>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</si>
  <si>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</si>
  <si>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</si>
  <si>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</si>
  <si>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</si>
  <si>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</si>
  <si>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</si>
  <si>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</si>
  <si>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</si>
  <si>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</si>
  <si>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</si>
  <si>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</si>
  <si>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</si>
  <si>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</si>
  <si>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</si>
  <si>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</si>
  <si>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</si>
  <si>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</si>
  <si>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</si>
  <si>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</si>
  <si>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</si>
  <si>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</si>
  <si>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</si>
  <si>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</si>
  <si>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</si>
  <si>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</si>
  <si>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</si>
  <si>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</si>
  <si>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</si>
  <si>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</si>
  <si>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</si>
  <si>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</si>
  <si>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</si>
  <si>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</si>
  <si>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</si>
  <si>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</si>
  <si>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</si>
  <si>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</si>
  <si>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</si>
  <si>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</si>
  <si>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</si>
  <si>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</si>
  <si>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</si>
  <si>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</si>
  <si>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</si>
  <si>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</si>
  <si>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</si>
  <si>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</si>
  <si>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</si>
  <si>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</si>
  <si>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</si>
  <si>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</si>
  <si>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</si>
  <si>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</si>
  <si>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</si>
  <si>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</si>
  <si>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</si>
  <si>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</si>
  <si>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</si>
  <si>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</si>
  <si>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</si>
  <si>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</si>
  <si>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</si>
  <si>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</si>
  <si>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</si>
  <si>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</si>
  <si>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</si>
  <si>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</si>
  <si>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</si>
  <si>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</si>
  <si>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</si>
  <si>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</si>
  <si>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</si>
  <si>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</si>
  <si>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商业街商铺</t>
    <phoneticPr fontId="134" type="noConversion"/>
  </si>
  <si>
    <r>
      <t>1</t>
    </r>
    <r>
      <rPr>
        <sz val="11"/>
        <color theme="1"/>
        <rFont val="宋体"/>
        <family val="3"/>
        <charset val="134"/>
        <scheme val="minor"/>
      </rPr>
      <t>-2层</t>
    </r>
    <phoneticPr fontId="134" type="noConversion"/>
  </si>
  <si>
    <t>两层面积差不多</t>
    <phoneticPr fontId="134" type="noConversion"/>
  </si>
  <si>
    <t>建筑面积</t>
    <phoneticPr fontId="134" type="noConversion"/>
  </si>
  <si>
    <t>日租金</t>
    <phoneticPr fontId="134" type="noConversion"/>
  </si>
  <si>
    <t>净租金</t>
    <phoneticPr fontId="134" type="noConversion"/>
  </si>
  <si>
    <t>可餐饮</t>
  </si>
  <si>
    <t>可餐饮</t>
    <phoneticPr fontId="134" type="noConversion"/>
  </si>
  <si>
    <t>成交价大概在</t>
    <phoneticPr fontId="134" type="noConversion"/>
  </si>
  <si>
    <r>
      <t>7</t>
    </r>
    <r>
      <rPr>
        <sz val="11"/>
        <color theme="1"/>
        <rFont val="宋体"/>
        <family val="3"/>
        <charset val="134"/>
        <scheme val="minor"/>
      </rPr>
      <t>.5-8</t>
    </r>
    <phoneticPr fontId="134" type="noConversion"/>
  </si>
  <si>
    <t>前门大街</t>
    <phoneticPr fontId="134" type="noConversion"/>
  </si>
  <si>
    <t>纯一层</t>
    <phoneticPr fontId="134" type="noConversion"/>
  </si>
  <si>
    <t>不能餐饮，无燃气</t>
    <phoneticPr fontId="134" type="noConversion"/>
  </si>
  <si>
    <r>
      <t>6</t>
    </r>
    <r>
      <rPr>
        <sz val="11"/>
        <color theme="1"/>
        <rFont val="宋体"/>
        <family val="3"/>
        <charset val="134"/>
        <scheme val="minor"/>
      </rPr>
      <t>.5-7</t>
    </r>
    <phoneticPr fontId="134" type="noConversion"/>
  </si>
  <si>
    <t>正常层高</t>
    <phoneticPr fontId="134" type="noConversion"/>
  </si>
  <si>
    <t>面积</t>
    <phoneticPr fontId="134" type="noConversion"/>
  </si>
  <si>
    <t>占比</t>
    <phoneticPr fontId="134" type="noConversion"/>
  </si>
  <si>
    <t>1层</t>
    <phoneticPr fontId="134" type="noConversion"/>
  </si>
  <si>
    <t>2层</t>
    <phoneticPr fontId="134" type="noConversion"/>
  </si>
  <si>
    <t>1-2层（2层面积小）</t>
    <phoneticPr fontId="134" type="noConversion"/>
  </si>
  <si>
    <t>3层</t>
    <phoneticPr fontId="134" type="noConversion"/>
  </si>
  <si>
    <t>1-2层</t>
    <phoneticPr fontId="134" type="noConversion"/>
  </si>
  <si>
    <t>1-3层</t>
    <phoneticPr fontId="134" type="noConversion"/>
  </si>
  <si>
    <t>是</t>
  </si>
  <si>
    <t>地上</t>
  </si>
  <si>
    <t>商业</t>
    <phoneticPr fontId="7" type="noConversion"/>
  </si>
  <si>
    <t>郑燚</t>
  </si>
  <si>
    <t>崔锴</t>
  </si>
  <si>
    <t>商业</t>
    <phoneticPr fontId="6" type="noConversion"/>
  </si>
  <si>
    <t>现房</t>
  </si>
  <si>
    <t>商业项目</t>
  </si>
  <si>
    <r>
      <t>88-92</t>
    </r>
    <r>
      <rPr>
        <sz val="10"/>
        <color indexed="8"/>
        <rFont val="宋体"/>
        <family val="3"/>
        <charset val="134"/>
      </rPr>
      <t>号</t>
    </r>
    <phoneticPr fontId="3" type="noConversion"/>
  </si>
  <si>
    <t>崇文区西兴隆街88.90.92号</t>
    <phoneticPr fontId="6" type="noConversion"/>
  </si>
  <si>
    <t>北京市</t>
  </si>
  <si>
    <t>企业</t>
  </si>
  <si>
    <t>前门大街</t>
    <phoneticPr fontId="3" type="noConversion"/>
  </si>
  <si>
    <t>正常</t>
  </si>
  <si>
    <t>报价</t>
    <phoneticPr fontId="3" type="noConversion"/>
  </si>
  <si>
    <t>商业</t>
    <phoneticPr fontId="30" type="noConversion"/>
  </si>
  <si>
    <t>报价</t>
  </si>
  <si>
    <t>一般</t>
  </si>
  <si>
    <t>较好</t>
  </si>
  <si>
    <t>好</t>
  </si>
  <si>
    <t>六通</t>
  </si>
  <si>
    <t>五通</t>
  </si>
  <si>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</si>
  <si>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</si>
  <si>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</si>
  <si>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</si>
  <si>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</si>
  <si>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</si>
  <si>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</si>
  <si>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</si>
  <si>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</si>
  <si>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</si>
  <si>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</si>
  <si>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</si>
  <si>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</si>
  <si>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1-2</t>
    </r>
    <r>
      <rPr>
        <sz val="11"/>
        <color indexed="8"/>
        <rFont val="宋体"/>
        <family val="3"/>
        <charset val="134"/>
      </rPr>
      <t>层（</t>
    </r>
    <r>
      <rPr>
        <sz val="11"/>
        <color indexed="8"/>
        <rFont val="Arial"/>
        <family val="2"/>
      </rPr>
      <t>2</t>
    </r>
    <r>
      <rPr>
        <sz val="11"/>
        <color indexed="8"/>
        <rFont val="宋体"/>
        <family val="3"/>
        <charset val="134"/>
      </rPr>
      <t>层面积小）</t>
    </r>
    <phoneticPr fontId="3" type="noConversion"/>
  </si>
  <si>
    <t>商业街商业</t>
    <phoneticPr fontId="3" type="noConversion"/>
  </si>
  <si>
    <t>临街商业</t>
    <phoneticPr fontId="3" type="noConversion"/>
  </si>
  <si>
    <t>混合</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</si>
  <si>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</si>
  <si>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</si>
  <si>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</si>
  <si>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</si>
  <si>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</si>
  <si>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</si>
  <si>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</si>
  <si>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</si>
  <si>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</si>
  <si>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</si>
  <si>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</si>
  <si>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双面临街</t>
  </si>
  <si>
    <t>单面临街</t>
  </si>
  <si>
    <t>较好</t>
    <phoneticPr fontId="30" type="noConversion"/>
  </si>
  <si>
    <t>较大</t>
  </si>
  <si>
    <t>大</t>
  </si>
  <si>
    <t>1-2层（2层面积小）</t>
  </si>
  <si>
    <t>1层</t>
  </si>
  <si>
    <t>1-2层</t>
  </si>
  <si>
    <t>临街商业</t>
  </si>
  <si>
    <t>商业街商业</t>
  </si>
  <si>
    <t>混合</t>
  </si>
  <si>
    <t>毛坯</t>
  </si>
  <si>
    <t>简单装修</t>
  </si>
  <si>
    <t>鲜鱼口和大栅栏交叉口</t>
    <phoneticPr fontId="134" type="noConversion"/>
  </si>
  <si>
    <t>楼层</t>
    <phoneticPr fontId="134" type="noConversion"/>
  </si>
  <si>
    <t>含税含物业</t>
    <phoneticPr fontId="134" type="noConversion"/>
  </si>
  <si>
    <t>无燃气</t>
    <phoneticPr fontId="134" type="noConversion"/>
  </si>
  <si>
    <t>可做轻食</t>
    <phoneticPr fontId="134" type="noConversion"/>
  </si>
  <si>
    <t>在鲜鱼口，距主街5-6米</t>
    <phoneticPr fontId="134" type="noConversion"/>
  </si>
  <si>
    <t>毛坯</t>
    <phoneticPr fontId="134" type="noConversion"/>
  </si>
  <si>
    <t>简装</t>
    <phoneticPr fontId="134" type="noConversion"/>
  </si>
  <si>
    <t>链家经纪人蔡安春</t>
    <phoneticPr fontId="134" type="noConversion"/>
  </si>
  <si>
    <r>
      <t>西兴隆街租金1</t>
    </r>
    <r>
      <rPr>
        <sz val="11"/>
        <color theme="1"/>
        <rFont val="宋体"/>
        <family val="3"/>
        <charset val="134"/>
        <scheme val="minor"/>
      </rPr>
      <t>-2层租金大概在10元左右，净租金</t>
    </r>
    <phoneticPr fontId="134" type="noConversion"/>
  </si>
  <si>
    <r>
      <t>5</t>
    </r>
    <r>
      <rPr>
        <sz val="11"/>
        <color theme="1"/>
        <rFont val="宋体"/>
        <family val="3"/>
        <charset val="134"/>
        <scheme val="minor"/>
      </rPr>
      <t>8同城</t>
    </r>
    <phoneticPr fontId="134" type="noConversion"/>
  </si>
  <si>
    <t>西兴隆街租金1租金大概在12-15元左右，净租金</t>
    <phoneticPr fontId="134" type="noConversion"/>
  </si>
  <si>
    <t>案例1</t>
    <phoneticPr fontId="134" type="noConversion"/>
  </si>
  <si>
    <t>案例2</t>
    <phoneticPr fontId="134" type="noConversion"/>
  </si>
  <si>
    <t>案例3</t>
    <phoneticPr fontId="134" type="noConversion"/>
  </si>
  <si>
    <t>前门大街附近都没有市政供暖和物业</t>
    <phoneticPr fontId="134" type="noConversion"/>
  </si>
  <si>
    <t>1拖二</t>
    <phoneticPr fontId="134" type="noConversion"/>
  </si>
  <si>
    <t>两层面积一样</t>
    <phoneticPr fontId="134" type="noConversion"/>
  </si>
  <si>
    <t>有燃气</t>
    <phoneticPr fontId="134" type="noConversion"/>
  </si>
  <si>
    <t>吴裕泰</t>
    <phoneticPr fontId="134" type="noConversion"/>
  </si>
  <si>
    <t>纯二层</t>
    <phoneticPr fontId="134" type="noConversion"/>
  </si>
  <si>
    <t>大栅栏商业步行街</t>
    <phoneticPr fontId="134" type="noConversion"/>
  </si>
  <si>
    <r>
      <t>1</t>
    </r>
    <r>
      <rPr>
        <sz val="11"/>
        <color theme="1"/>
        <rFont val="宋体"/>
        <family val="3"/>
        <charset val="134"/>
        <scheme val="minor"/>
      </rPr>
      <t>-3层</t>
    </r>
    <phoneticPr fontId="134" type="noConversion"/>
  </si>
  <si>
    <t>月租金</t>
    <phoneticPr fontId="134" type="noConversion"/>
  </si>
  <si>
    <t>6万左右</t>
    <phoneticPr fontId="134" type="noConversion"/>
  </si>
  <si>
    <r>
      <t>单层面积6</t>
    </r>
    <r>
      <rPr>
        <sz val="11"/>
        <color theme="1"/>
        <rFont val="宋体"/>
        <family val="3"/>
        <charset val="134"/>
        <scheme val="minor"/>
      </rPr>
      <t>0，加一个40多平的露台</t>
    </r>
    <phoneticPr fontId="134" type="noConversion"/>
  </si>
  <si>
    <t>无暖气无物业</t>
    <phoneticPr fontId="134" type="noConversion"/>
  </si>
  <si>
    <t>油烟大不行</t>
    <phoneticPr fontId="134" type="noConversion"/>
  </si>
  <si>
    <t>一般</t>
    <phoneticPr fontId="30" type="noConversion"/>
  </si>
  <si>
    <r>
      <t>元/㎡</t>
    </r>
    <r>
      <rPr>
        <sz val="11"/>
        <color theme="1"/>
        <rFont val="宋体"/>
        <family val="3"/>
        <charset val="134"/>
        <scheme val="minor"/>
      </rPr>
      <t>/天</t>
    </r>
    <phoneticPr fontId="134" type="noConversion"/>
  </si>
  <si>
    <t>鲜鱼口与大栅栏</t>
    <phoneticPr fontId="3" type="noConversion"/>
  </si>
  <si>
    <t>租金</t>
  </si>
  <si>
    <t>单套模式</t>
  </si>
  <si>
    <t>修正为1-2层面积小价格</t>
    <phoneticPr fontId="134" type="noConversion"/>
  </si>
  <si>
    <t>可餐饮，无燃气</t>
    <phoneticPr fontId="134" type="noConversion"/>
  </si>
  <si>
    <t>1-2层总建筑面积400平，3层有露台，现在一层出租为咖啡店，2层闲置，2层+3层露台租金30多万</t>
    <phoneticPr fontId="134" type="noConversion"/>
  </si>
  <si>
    <t>2层面积差不多</t>
    <phoneticPr fontId="134" type="noConversion"/>
  </si>
  <si>
    <t>商业步行街斜对面的一条街，人流量不是很大</t>
    <phoneticPr fontId="134" type="noConversion"/>
  </si>
  <si>
    <t>修正系数</t>
    <phoneticPr fontId="134" type="noConversion"/>
  </si>
  <si>
    <t>楼层系数</t>
    <phoneticPr fontId="134" type="noConversion"/>
  </si>
  <si>
    <t>押一</t>
  </si>
  <si>
    <t>成新度</t>
  </si>
  <si>
    <t>收益法 (元)</t>
  </si>
  <si>
    <t>砖混</t>
  </si>
  <si>
    <t>非生产用房</t>
  </si>
  <si>
    <t>年租金</t>
    <phoneticPr fontId="30" type="noConversion"/>
  </si>
  <si>
    <t>元</t>
    <phoneticPr fontId="30" type="noConversion"/>
  </si>
  <si>
    <t>租金范围</t>
    <phoneticPr fontId="30" type="noConversion"/>
  </si>
  <si>
    <t>不含税</t>
    <phoneticPr fontId="30" type="noConversion"/>
  </si>
  <si>
    <t>比较法-商业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</si>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</sst>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0" fillId="5" borderId="1" xfId="0" applyFill="1" applyBorder="1">
      <alignment vertical="center"/>
    </xf>
    <xf numFmtId="0" fontId="95" fillId="5" borderId="1" xfId="0" applyFont="1" applyFill="1" applyBorder="1">
      <alignment vertical="center"/>
    </xf>
    <xf numFmtId="0" fontId="0" fillId="0" borderId="0" xfId="0" applyAlignment="1">
      <alignment vertical="center" wrapText="1"/>
    </xf>
    <xf numFmtId="0" fontId="95" fillId="5" borderId="0" xfId="0" applyFont="1" applyFill="1" applyAlignment="1">
      <alignment vertical="center" wrapText="1"/>
    </xf>
    <xf numFmtId="0" fontId="95" fillId="0" borderId="0" xfId="0" applyFont="1" applyAlignment="1">
      <alignment vertical="center" wrapText="1"/>
    </xf>
    <xf numFmtId="0" fontId="95" fillId="9" borderId="1" xfId="0" applyFont="1" applyFill="1" applyBorder="1">
      <alignment vertical="center"/>
    </xf>
    <xf numFmtId="0" fontId="95" fillId="0" borderId="1" xfId="0" applyFont="1" applyBorder="1">
      <alignment vertical="center"/>
    </xf>
    <xf numFmtId="0" fontId="0" fillId="0" borderId="1" xfId="0" applyBorder="1">
      <alignment vertical="center"/>
    </xf>
    <xf numFmtId="0" fontId="94" fillId="12" borderId="0" xfId="0" applyFont="1" applyFill="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455429</xdr:colOff>
      <xdr:row>27</xdr:row>
      <xdr:rowOff>14335</xdr:rowOff>
    </xdr:to>
    <xdr:pic>
      <xdr:nvPicPr>
        <xdr:cNvPr id="2" name="图片 1">
          <a:extLst>
            <a:ext uri="{FF2B5EF4-FFF2-40B4-BE49-F238E27FC236}">
              <a16:creationId xmlns:a16="http://schemas.microsoft.com/office/drawing/2014/main" id="{B59A82DE-BCF8-5CD2-7849-5AD6B193A6DC}"/>
            </a:ext>
          </a:extLst>
        </xdr:cNvPr>
        <xdr:cNvPicPr>
          <a:picLocks noChangeAspect="1"/>
        </xdr:cNvPicPr>
      </xdr:nvPicPr>
      <xdr:blipFill>
        <a:blip xmlns:r="http://schemas.openxmlformats.org/officeDocument/2006/relationships" r:embed="rId1"/>
        <a:stretch>
          <a:fillRect/>
        </a:stretch>
      </xdr:blipFill>
      <xdr:spPr>
        <a:xfrm>
          <a:off x="0" y="7620"/>
          <a:ext cx="6551429" cy="4944475"/>
        </a:xfrm>
        <a:prstGeom prst="rect">
          <a:avLst/>
        </a:prstGeom>
      </xdr:spPr>
    </xdr:pic>
    <xdr:clientData/>
  </xdr:twoCellAnchor>
  <xdr:twoCellAnchor editAs="oneCell">
    <xdr:from>
      <xdr:col>19</xdr:col>
      <xdr:colOff>228600</xdr:colOff>
      <xdr:row>27</xdr:row>
      <xdr:rowOff>0</xdr:rowOff>
    </xdr:from>
    <xdr:to>
      <xdr:col>29</xdr:col>
      <xdr:colOff>606928</xdr:colOff>
      <xdr:row>42</xdr:row>
      <xdr:rowOff>10523</xdr:rowOff>
    </xdr:to>
    <xdr:pic>
      <xdr:nvPicPr>
        <xdr:cNvPr id="3" name="图片 2">
          <a:extLst>
            <a:ext uri="{FF2B5EF4-FFF2-40B4-BE49-F238E27FC236}">
              <a16:creationId xmlns:a16="http://schemas.microsoft.com/office/drawing/2014/main" id="{9FFC18A8-2BC5-F05B-08EB-E565BEC21554}"/>
            </a:ext>
          </a:extLst>
        </xdr:cNvPr>
        <xdr:cNvPicPr>
          <a:picLocks noChangeAspect="1"/>
        </xdr:cNvPicPr>
      </xdr:nvPicPr>
      <xdr:blipFill>
        <a:blip xmlns:r="http://schemas.openxmlformats.org/officeDocument/2006/relationships" r:embed="rId2"/>
        <a:stretch>
          <a:fillRect/>
        </a:stretch>
      </xdr:blipFill>
      <xdr:spPr>
        <a:xfrm>
          <a:off x="13083540" y="5120640"/>
          <a:ext cx="6474328" cy="4948283"/>
        </a:xfrm>
        <a:prstGeom prst="rect">
          <a:avLst/>
        </a:prstGeom>
      </xdr:spPr>
    </xdr:pic>
    <xdr:clientData/>
  </xdr:twoCellAnchor>
  <xdr:twoCellAnchor editAs="oneCell">
    <xdr:from>
      <xdr:col>0</xdr:col>
      <xdr:colOff>79871</xdr:colOff>
      <xdr:row>42</xdr:row>
      <xdr:rowOff>129540</xdr:rowOff>
    </xdr:from>
    <xdr:to>
      <xdr:col>10</xdr:col>
      <xdr:colOff>212117</xdr:colOff>
      <xdr:row>64</xdr:row>
      <xdr:rowOff>161043</xdr:rowOff>
    </xdr:to>
    <xdr:pic>
      <xdr:nvPicPr>
        <xdr:cNvPr id="4" name="图片 3">
          <a:extLst>
            <a:ext uri="{FF2B5EF4-FFF2-40B4-BE49-F238E27FC236}">
              <a16:creationId xmlns:a16="http://schemas.microsoft.com/office/drawing/2014/main" id="{29AD6C2F-D71F-8353-B6B0-CEFB43E9BB7C}"/>
            </a:ext>
          </a:extLst>
        </xdr:cNvPr>
        <xdr:cNvPicPr>
          <a:picLocks noChangeAspect="1"/>
        </xdr:cNvPicPr>
      </xdr:nvPicPr>
      <xdr:blipFill>
        <a:blip xmlns:r="http://schemas.openxmlformats.org/officeDocument/2006/relationships" r:embed="rId3"/>
        <a:stretch>
          <a:fillRect/>
        </a:stretch>
      </xdr:blipFill>
      <xdr:spPr>
        <a:xfrm>
          <a:off x="79871" y="10370820"/>
          <a:ext cx="6228246" cy="4420623"/>
        </a:xfrm>
        <a:prstGeom prst="rect">
          <a:avLst/>
        </a:prstGeom>
      </xdr:spPr>
    </xdr:pic>
    <xdr:clientData/>
  </xdr:twoCellAnchor>
  <xdr:twoCellAnchor editAs="oneCell">
    <xdr:from>
      <xdr:col>0</xdr:col>
      <xdr:colOff>0</xdr:colOff>
      <xdr:row>28</xdr:row>
      <xdr:rowOff>0</xdr:rowOff>
    </xdr:from>
    <xdr:to>
      <xdr:col>10</xdr:col>
      <xdr:colOff>389612</xdr:colOff>
      <xdr:row>40</xdr:row>
      <xdr:rowOff>434340</xdr:rowOff>
    </xdr:to>
    <xdr:pic>
      <xdr:nvPicPr>
        <xdr:cNvPr id="7" name="图片 6">
          <a:extLst>
            <a:ext uri="{FF2B5EF4-FFF2-40B4-BE49-F238E27FC236}">
              <a16:creationId xmlns:a16="http://schemas.microsoft.com/office/drawing/2014/main" id="{6E6119A3-7F30-424E-B869-3CBCD804F7D4}"/>
            </a:ext>
          </a:extLst>
        </xdr:cNvPr>
        <xdr:cNvPicPr>
          <a:picLocks noChangeAspect="1"/>
        </xdr:cNvPicPr>
      </xdr:nvPicPr>
      <xdr:blipFill>
        <a:blip xmlns:r="http://schemas.openxmlformats.org/officeDocument/2006/relationships" r:embed="rId4"/>
        <a:stretch>
          <a:fillRect/>
        </a:stretch>
      </xdr:blipFill>
      <xdr:spPr>
        <a:xfrm>
          <a:off x="0" y="5303520"/>
          <a:ext cx="6485612" cy="4457700"/>
        </a:xfrm>
        <a:prstGeom prst="rect">
          <a:avLst/>
        </a:prstGeom>
      </xdr:spPr>
    </xdr:pic>
    <xdr:clientData/>
  </xdr:twoCellAnchor>
  <xdr:twoCellAnchor editAs="oneCell">
    <xdr:from>
      <xdr:col>22</xdr:col>
      <xdr:colOff>41602</xdr:colOff>
      <xdr:row>0</xdr:row>
      <xdr:rowOff>38100</xdr:rowOff>
    </xdr:from>
    <xdr:to>
      <xdr:col>25</xdr:col>
      <xdr:colOff>353765</xdr:colOff>
      <xdr:row>13</xdr:row>
      <xdr:rowOff>18429</xdr:rowOff>
    </xdr:to>
    <xdr:pic>
      <xdr:nvPicPr>
        <xdr:cNvPr id="8" name="图片 7">
          <a:extLst>
            <a:ext uri="{FF2B5EF4-FFF2-40B4-BE49-F238E27FC236}">
              <a16:creationId xmlns:a16="http://schemas.microsoft.com/office/drawing/2014/main" id="{FD021457-9622-9E84-D52B-F6B728DB5F04}"/>
            </a:ext>
          </a:extLst>
        </xdr:cNvPr>
        <xdr:cNvPicPr>
          <a:picLocks noChangeAspect="1"/>
        </xdr:cNvPicPr>
      </xdr:nvPicPr>
      <xdr:blipFill>
        <a:blip xmlns:r="http://schemas.openxmlformats.org/officeDocument/2006/relationships" r:embed="rId5"/>
        <a:stretch>
          <a:fillRect/>
        </a:stretch>
      </xdr:blipFill>
      <xdr:spPr>
        <a:xfrm>
          <a:off x="14725342" y="38100"/>
          <a:ext cx="2140963" cy="2357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北京市崇文区西兴隆街88.90.92号预评估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受贵公司委托，我公司对北京市崇文区西兴隆街88.90.92号进行了预评估。</v>
      </c>
    </row>
    <row r="7" spans="1:2">
      <c r="A7" s="1119" t="s">
        <v>566</v>
      </c>
      <c r="B7" s="1120" t="str">
        <f>'预评函-1'!A7</f>
        <v>估价对象为北京市崇文区西兴隆街88.90.92号房地产，为所有。根据《国有土地使用证》[]，估价对象（分摊）出让国有建设用地使用权面积为0平方米，建筑面积为105.3平方米。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崇文区西兴隆街88.90.92号房地产,属开发建设的商业项目，该项目尚在开发建设中。根据《国有土地使用证》[]，估价对象（分摊）出让国有建设用地使用权面积为0平方米，规划建筑面积为105.3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9</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9</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北京市崇文区西兴隆街88.90.92号房地产</v>
      </c>
    </row>
    <row r="42" spans="1:2" ht="31.2">
      <c r="A42" s="1119" t="s">
        <v>590</v>
      </c>
      <c r="B42" s="1120" t="str">
        <f>'预评函-3'!B2</f>
        <v>建筑面积</v>
      </c>
    </row>
    <row r="43" spans="1:2">
      <c r="A43" s="1119" t="s">
        <v>591</v>
      </c>
      <c r="B43" s="1120">
        <f>'预评函-3'!B4</f>
        <v>105.3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西兴隆街88.90.92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6" t="s">
        <v>2582</v>
      </c>
      <c r="J2" s="3206"/>
      <c r="K2" s="3206"/>
      <c r="L2" s="3206"/>
      <c r="M2" s="3206"/>
      <c r="N2" s="3206"/>
      <c r="O2" s="3206"/>
      <c r="P2" s="3206"/>
      <c r="Q2" s="3206"/>
      <c r="R2" s="3206"/>
    </row>
    <row r="3" spans="1:18">
      <c r="A3" s="2762" t="s">
        <v>2503</v>
      </c>
      <c r="B3" s="2763">
        <f>项目基本情况!D3</f>
        <v>45629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北京市崇文区西兴隆街88.90.92号预评估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北京市崇文区西兴隆街88.90.92号</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北京市崇文区西兴隆街88.90.92号房地产</v>
      </c>
      <c r="T2" s="1618"/>
      <c r="U2" s="1618"/>
      <c r="V2" s="1618"/>
      <c r="W2" s="1618"/>
      <c r="X2" s="1618"/>
      <c r="Y2" s="1618"/>
      <c r="Z2" s="1618"/>
      <c r="AA2" s="1618"/>
      <c r="AB2" s="1618"/>
    </row>
    <row r="3" spans="1:30">
      <c r="A3" s="294" t="s">
        <v>2170</v>
      </c>
      <c r="B3" s="2185">
        <v>45629</v>
      </c>
      <c r="C3" s="2186" t="s">
        <v>2171</v>
      </c>
      <c r="D3" s="2185">
        <f>B3</f>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3416</v>
      </c>
      <c r="C4" s="2188">
        <f ca="1">SUMIF(注册房地产估价师,B4,估价师及机构信息!B3:B24)</f>
        <v>1120070131</v>
      </c>
      <c r="D4" s="2187" t="s">
        <v>3417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0" t="s">
        <v>2177</v>
      </c>
      <c r="E8" s="2202"/>
      <c r="F8" s="2203"/>
      <c r="G8" s="2442"/>
      <c r="H8" s="2442"/>
      <c r="I8" s="2442"/>
      <c r="J8" s="2245"/>
      <c r="K8" s="2400"/>
      <c r="L8" s="2399"/>
      <c r="M8" s="2399"/>
      <c r="N8" s="2245"/>
      <c r="O8" s="1670"/>
      <c r="P8" s="2245"/>
      <c r="Q8" s="2245"/>
      <c r="R8" s="2245"/>
    </row>
    <row r="9" spans="1:30" ht="13.8" thickBot="1">
      <c r="A9" s="2204" t="s">
        <v>2178</v>
      </c>
      <c r="B9" s="2205"/>
      <c r="C9" s="2206"/>
      <c r="D9" s="3211"/>
      <c r="E9" s="2205"/>
      <c r="F9" s="2207"/>
      <c r="G9" s="2443"/>
      <c r="H9" s="2443"/>
      <c r="I9" s="2443"/>
      <c r="J9" s="2245"/>
      <c r="K9" s="2402"/>
      <c r="L9" s="2399"/>
      <c r="M9" s="2399"/>
      <c r="N9" s="2245"/>
      <c r="O9" s="1670"/>
      <c r="P9" s="2245"/>
      <c r="Q9" s="2245"/>
      <c r="R9" s="2245"/>
    </row>
    <row r="10" spans="1:30" ht="13.8" thickTop="1">
      <c r="A10" s="2208" t="s">
        <v>2179</v>
      </c>
      <c r="B10" s="2209" t="s">
        <v>3423</v>
      </c>
      <c r="C10" s="2210"/>
      <c r="D10" s="2193"/>
      <c r="E10" s="2211" t="s">
        <v>2180</v>
      </c>
      <c r="F10" s="3144" t="s">
        <v>3422</v>
      </c>
      <c r="G10" s="2444"/>
      <c r="H10" s="2445"/>
      <c r="I10" s="2446"/>
      <c r="J10" s="2245"/>
      <c r="K10" s="2402"/>
      <c r="L10" s="2399"/>
      <c r="M10" s="2399"/>
      <c r="N10" s="2245"/>
      <c r="O10" s="1670"/>
      <c r="P10" s="2245"/>
      <c r="Q10" s="2245"/>
      <c r="R10" s="2245"/>
    </row>
    <row r="11" spans="1:30">
      <c r="A11" s="2212" t="s">
        <v>2181</v>
      </c>
      <c r="B11" s="2213" t="s">
        <v>3424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3334</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7" t="s">
        <v>3418</v>
      </c>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105.3</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0" t="s">
        <v>2214</v>
      </c>
      <c r="B27" s="312" t="s">
        <v>2215</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1"/>
      <c r="B30" s="294" t="s">
        <v>2218</v>
      </c>
      <c r="C30" s="3232"/>
      <c r="D30" s="3233"/>
      <c r="E30" s="2442"/>
      <c r="F30" s="2442"/>
      <c r="G30" s="2442"/>
      <c r="H30" s="2442"/>
      <c r="I30" s="2442"/>
      <c r="J30" s="2245"/>
      <c r="K30" s="2402"/>
      <c r="L30" s="2399"/>
      <c r="M30" s="2399"/>
      <c r="N30" s="2245"/>
      <c r="O30" s="1670"/>
      <c r="P30" s="2245"/>
      <c r="Q30" s="2245"/>
      <c r="R30" s="2245"/>
      <c r="S30" s="2245"/>
      <c r="T30" s="2245"/>
      <c r="U30" s="2245"/>
      <c r="V30" s="2245"/>
    </row>
    <row r="31" spans="1:28">
      <c r="A31" s="3234"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5"/>
      <c r="V34" s="2245"/>
    </row>
    <row r="35" spans="1:30">
      <c r="A35" s="2236"/>
      <c r="B35" s="3229" t="s">
        <v>2229</v>
      </c>
      <c r="C35" s="3229"/>
      <c r="D35" s="3229"/>
      <c r="E35" s="322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105.3</v>
      </c>
      <c r="H5" s="13">
        <f t="shared" ref="H5:AT5" si="0">SUM(H13:H656)</f>
        <v>105.3</v>
      </c>
      <c r="I5" s="13">
        <f t="shared" si="0"/>
        <v>105.3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v>
      </c>
      <c r="BA5" s="15">
        <f t="shared" si="1"/>
        <v>105.3</v>
      </c>
      <c r="BB5" s="15">
        <f t="shared" si="1"/>
        <v>105.3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3413</v>
      </c>
      <c r="E13" s="13">
        <f>IF($C$3="是",ROUND($A$3*G13/$B$3,2),ROUND($A$3*(G13-AT13)/$B$3,2))</f>
        <v>0</v>
      </c>
      <c r="F13" s="29"/>
      <c r="G13" s="30">
        <f>H13+AC13+AT13</f>
        <v>105.3</v>
      </c>
      <c r="H13" s="17">
        <f>SUMIF(I$12:AB$12,"总值",I13:AB13)</f>
        <v>105.3</v>
      </c>
      <c r="I13" s="1514">
        <v>105.3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88-92号</v>
      </c>
      <c r="AY13" s="1260">
        <f>ROUND($AY$6*AZ13/$AZ$5,2)</f>
        <v>0</v>
      </c>
      <c r="AZ13" s="13">
        <f>BA13+BL13</f>
        <v>105.3</v>
      </c>
      <c r="BA13" s="13">
        <f>SUM(BB13:BK13)</f>
        <v>105.3</v>
      </c>
      <c r="BB13" s="13">
        <f>IF($D13="是",I13-J13,0)</f>
        <v>105.3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9"/>
      <c r="G2" s="2432"/>
      <c r="H2" s="2433"/>
      <c r="I2" s="2146" t="s">
        <v>1132</v>
      </c>
      <c r="J2" s="2439"/>
      <c r="K2" s="2439"/>
      <c r="L2" s="2439"/>
      <c r="M2" s="2439"/>
      <c r="N2" s="2440"/>
      <c r="O2" s="2439"/>
      <c r="P2" s="2439"/>
    </row>
    <row r="3" spans="1:16" ht="15" thickBot="1">
      <c r="A3" s="3246" t="s">
        <v>1105</v>
      </c>
      <c r="B3" s="3246"/>
      <c r="C3" s="3246"/>
      <c r="D3" s="41">
        <f>'数据-基础表'!AY6</f>
        <v>0</v>
      </c>
      <c r="E3" s="41">
        <f>'数据-基础表'!AZ5</f>
        <v>105.3</v>
      </c>
      <c r="F3" s="2439"/>
      <c r="G3" s="42"/>
      <c r="H3" s="43" t="s">
        <v>1106</v>
      </c>
      <c r="I3" s="802" t="e">
        <f>ROUND('数据-基础表'!B3/'数据-基础表'!A3,2)</f>
        <v>#DIV/0!</v>
      </c>
      <c r="J3" s="2439"/>
      <c r="K3" s="2439"/>
      <c r="L3" s="2439"/>
      <c r="M3" s="2439"/>
      <c r="N3" s="2440"/>
      <c r="O3" s="2439"/>
      <c r="P3" s="2439"/>
    </row>
    <row r="4" spans="1:16" ht="14.4">
      <c r="A4" s="3247"/>
      <c r="B4" s="3248"/>
      <c r="C4" s="324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0" t="s">
        <v>1110</v>
      </c>
      <c r="C5" s="325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0" t="s">
        <v>1111</v>
      </c>
      <c r="C6" s="3250"/>
      <c r="D6" s="43">
        <f>ROUND($D$3*E6/$E$3,2)</f>
        <v>0</v>
      </c>
      <c r="E6" s="44">
        <f>E3-E5</f>
        <v>105.3</v>
      </c>
      <c r="F6" s="2439"/>
      <c r="G6" s="1529" t="s">
        <v>1112</v>
      </c>
      <c r="H6" s="45" t="s">
        <v>1113</v>
      </c>
      <c r="I6" s="2435" t="e">
        <f>ROUND(F31/D31,2)</f>
        <v>#DIV/0!</v>
      </c>
      <c r="J6" s="2439"/>
      <c r="K6" s="2439"/>
      <c r="L6" s="2439"/>
      <c r="M6" s="2439"/>
      <c r="N6" s="2439"/>
      <c r="O6" s="2439"/>
      <c r="P6" s="2439"/>
    </row>
    <row r="7" spans="1:16" ht="15" thickBot="1">
      <c r="A7" s="3242"/>
      <c r="B7" s="3243"/>
      <c r="C7" s="324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105.3</v>
      </c>
      <c r="F16" s="2439"/>
      <c r="G16" s="2439"/>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3415</v>
      </c>
      <c r="D19" s="43">
        <f>ROUND($D$3*E19/$E$3,2)</f>
        <v>0</v>
      </c>
      <c r="E19" s="51">
        <f t="shared" ref="E19:E26" si="1">SUM(F19:G19)</f>
        <v>105.3</v>
      </c>
      <c r="F19" s="2557">
        <f>'数据-基础表'!G13</f>
        <v>105.3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105.3</v>
      </c>
      <c r="F27" s="1072">
        <f>IF(SUM(F19:F26)=E8,SUM(F19:F26),"地上面积有误")</f>
        <v>105.3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105.3</v>
      </c>
      <c r="F31" s="644">
        <f>F27+F30</f>
        <v>105.3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54" sqref="G5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105.3</v>
      </c>
      <c r="L6" s="692">
        <v>2500</v>
      </c>
      <c r="M6" s="64">
        <f t="shared" ref="M6:M14" si="0">ROUND(K6*L6/10000,0)</f>
        <v>26</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'比较法-商业'!C48</f>
        <v>8.9</v>
      </c>
      <c r="V6" s="67">
        <v>0.02</v>
      </c>
      <c r="W6" s="67">
        <v>0.1</v>
      </c>
      <c r="X6" s="979"/>
      <c r="Y6" s="68">
        <v>0.7</v>
      </c>
      <c r="Z6" s="69"/>
      <c r="AA6" s="63"/>
      <c r="AB6" s="63"/>
      <c r="AC6" s="979"/>
      <c r="AD6" s="70"/>
      <c r="AE6" s="980">
        <f ca="1">IF(AN6="",0,SUMIF(INDIRECT("'"&amp;AN6&amp;"'"&amp;"!E:E"),$AE$5,INDIRECT("'"&amp;AN6&amp;"'"&amp;"!F:F")))</f>
        <v>0</v>
      </c>
      <c r="AF6" s="74"/>
      <c r="AG6" s="130">
        <f>IF(AF6="",0,AE6-AF6)</f>
        <v>0</v>
      </c>
      <c r="AH6" s="71"/>
      <c r="AI6" s="73">
        <v>365</v>
      </c>
      <c r="AJ6" s="74"/>
      <c r="AK6" s="75">
        <v>2E-3</v>
      </c>
      <c r="AL6" s="76">
        <v>1E-3</v>
      </c>
      <c r="AM6" s="77">
        <v>5.0000000000000001E-3</v>
      </c>
      <c r="AN6" s="1589" t="s">
        <v>3518</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105.3</v>
      </c>
      <c r="L16" s="87">
        <f>ROUND(M16*10000/SUM(K6:K14),0)</f>
        <v>2469</v>
      </c>
      <c r="M16" s="87">
        <f>SUM(M6:M14)</f>
        <v>26</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2303</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1</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f>C54</f>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1" t="s">
        <v>2286</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105.3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45629</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8.9</v>
      </c>
      <c r="C5" s="2300">
        <f ca="1">IF(B5=D14,结果表!H102,ROUND(B5*10000/$B$1,0))</f>
        <v>9</v>
      </c>
      <c r="D5" s="2300" t="e">
        <f>ROUND(B5*10000/$B$2,0)</f>
        <v>#DIV/0!</v>
      </c>
      <c r="E5" s="2461"/>
      <c r="F5" s="2462"/>
      <c r="G5" s="2462"/>
      <c r="H5" s="2462"/>
      <c r="I5" s="2462"/>
      <c r="J5" s="2462"/>
      <c r="K5" s="2462"/>
    </row>
    <row r="6" spans="1:11" ht="15.6">
      <c r="A6" s="2300" t="s">
        <v>656</v>
      </c>
      <c r="B6" s="2300">
        <f>SUM(G14:G23)</f>
        <v>0</v>
      </c>
      <c r="C6" s="2300">
        <f ca="1">IF(B6=G14,结果表!H108,ROUND(B6*10000/$B$1,0))</f>
        <v>9</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t="e">
        <f>IF(E10="",0,ROUND(B1*(E10*365/G10)/10000,0))</f>
        <v>#DIV/0!</v>
      </c>
      <c r="C10" s="2300" t="s">
        <v>3358</v>
      </c>
      <c r="D10" s="2300" t="s">
        <v>3359</v>
      </c>
      <c r="E10" s="3136">
        <f>'比较法-商业'!C48</f>
        <v>8.9</v>
      </c>
      <c r="F10" s="3140" t="s">
        <v>3360</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105.3</v>
      </c>
      <c r="C14" s="2306"/>
      <c r="D14" s="2306">
        <f>'比较法-商业'!C48</f>
        <v>8.9</v>
      </c>
      <c r="E14" s="2306">
        <f>ROUND(D14*10000/B14,0)</f>
        <v>845</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70" zoomScaleNormal="100" zoomScaleSheetLayoutView="70" zoomScalePageLayoutView="80" workbookViewId="0">
      <selection activeCell="D122" sqref="D122:I1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320" t="str">
        <f>项目基本情况!S2</f>
        <v>北京市崇文区西兴隆街88.90.92号房地产</v>
      </c>
      <c r="B2" s="3321"/>
      <c r="C2" s="3321"/>
      <c r="D2" s="3321"/>
      <c r="E2" s="3321"/>
      <c r="F2" s="3321"/>
      <c r="G2" s="3321"/>
      <c r="H2" s="3321"/>
      <c r="I2" s="3322"/>
    </row>
    <row r="3" spans="1:12" ht="13.2">
      <c r="A3" s="3324" t="s">
        <v>1264</v>
      </c>
      <c r="B3" s="3325"/>
      <c r="C3" s="3325"/>
      <c r="D3" s="3325"/>
      <c r="E3" s="3325"/>
      <c r="F3" s="3325"/>
      <c r="G3" s="3325"/>
      <c r="H3" s="3325"/>
      <c r="I3" s="3325"/>
    </row>
    <row r="4" spans="1:12" ht="14.4">
      <c r="A4" s="1624" t="s">
        <v>1265</v>
      </c>
      <c r="B4" s="1625" t="s">
        <v>1266</v>
      </c>
      <c r="C4" s="1626" t="s">
        <v>3525</v>
      </c>
      <c r="D4" s="1626" t="s">
        <v>3518</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323">
        <v>25</v>
      </c>
      <c r="C5" s="3326"/>
      <c r="D5" s="3314"/>
      <c r="E5" s="123" t="s">
        <v>1269</v>
      </c>
      <c r="F5" s="1627"/>
      <c r="G5" s="1627"/>
      <c r="H5" s="1627"/>
      <c r="I5" s="1281"/>
    </row>
    <row r="6" spans="1:12" ht="13.2">
      <c r="A6" s="3268"/>
      <c r="B6" s="3323"/>
      <c r="C6" s="3328"/>
      <c r="D6" s="3314"/>
      <c r="E6" s="123" t="s">
        <v>1270</v>
      </c>
      <c r="F6" s="1627"/>
      <c r="G6" s="1627"/>
      <c r="H6" s="1627"/>
      <c r="I6" s="1281"/>
    </row>
    <row r="7" spans="1:12" ht="13.2">
      <c r="A7" s="3268"/>
      <c r="B7" s="3323"/>
      <c r="C7" s="3327"/>
      <c r="D7" s="3314"/>
      <c r="E7" s="123" t="s">
        <v>1271</v>
      </c>
      <c r="F7" s="1627"/>
      <c r="G7" s="1627"/>
      <c r="H7" s="1627"/>
      <c r="I7" s="1281"/>
    </row>
    <row r="8" spans="1:12" ht="13.2">
      <c r="A8" s="3268" t="s">
        <v>1272</v>
      </c>
      <c r="B8" s="3323">
        <v>15</v>
      </c>
      <c r="C8" s="3326"/>
      <c r="D8" s="3314"/>
      <c r="E8" s="123" t="s">
        <v>1273</v>
      </c>
      <c r="F8" s="1627"/>
      <c r="G8" s="1627"/>
      <c r="H8" s="1627"/>
      <c r="I8" s="1281"/>
    </row>
    <row r="9" spans="1:12" ht="13.2">
      <c r="A9" s="3268"/>
      <c r="B9" s="3323"/>
      <c r="C9" s="3327"/>
      <c r="D9" s="3314"/>
      <c r="E9" s="123" t="s">
        <v>1274</v>
      </c>
      <c r="F9" s="1627"/>
      <c r="G9" s="1627"/>
      <c r="H9" s="1627"/>
      <c r="I9" s="1281"/>
    </row>
    <row r="10" spans="1:12" ht="13.2">
      <c r="A10" s="3268" t="s">
        <v>1275</v>
      </c>
      <c r="B10" s="3323">
        <v>15</v>
      </c>
      <c r="C10" s="3326"/>
      <c r="D10" s="3314"/>
      <c r="E10" s="123" t="s">
        <v>1276</v>
      </c>
      <c r="F10" s="1627"/>
      <c r="G10" s="1627"/>
      <c r="H10" s="1627"/>
      <c r="I10" s="1281"/>
    </row>
    <row r="11" spans="1:12" ht="13.2">
      <c r="A11" s="3268"/>
      <c r="B11" s="3323"/>
      <c r="C11" s="3327"/>
      <c r="D11" s="3314"/>
      <c r="E11" s="123" t="s">
        <v>1277</v>
      </c>
      <c r="F11" s="1627"/>
      <c r="G11" s="1627"/>
      <c r="H11" s="1627"/>
      <c r="I11" s="1281"/>
    </row>
    <row r="12" spans="1:12" ht="13.2">
      <c r="A12" s="3268" t="s">
        <v>1278</v>
      </c>
      <c r="B12" s="3323">
        <v>15</v>
      </c>
      <c r="C12" s="3326"/>
      <c r="D12" s="3314"/>
      <c r="E12" s="123" t="s">
        <v>1279</v>
      </c>
      <c r="F12" s="1627"/>
      <c r="G12" s="1627"/>
      <c r="H12" s="1627"/>
      <c r="I12" s="1281"/>
    </row>
    <row r="13" spans="1:12" ht="13.2">
      <c r="A13" s="3268"/>
      <c r="B13" s="3323"/>
      <c r="C13" s="3327"/>
      <c r="D13" s="3314"/>
      <c r="E13" s="123" t="s">
        <v>1280</v>
      </c>
      <c r="F13" s="1627"/>
      <c r="G13" s="1627"/>
      <c r="H13" s="1627"/>
      <c r="I13" s="1281"/>
    </row>
    <row r="14" spans="1:12" ht="13.2">
      <c r="A14" s="3268" t="s">
        <v>1281</v>
      </c>
      <c r="B14" s="3323">
        <v>30</v>
      </c>
      <c r="C14" s="3326">
        <v>100</v>
      </c>
      <c r="D14" s="3314">
        <v>0</v>
      </c>
      <c r="E14" s="123" t="s">
        <v>1282</v>
      </c>
      <c r="F14" s="1627"/>
      <c r="G14" s="1627"/>
      <c r="H14" s="1627"/>
      <c r="I14" s="1281"/>
    </row>
    <row r="15" spans="1:12" ht="13.2">
      <c r="A15" s="3268"/>
      <c r="B15" s="3323"/>
      <c r="C15" s="3328"/>
      <c r="D15" s="3314"/>
      <c r="E15" s="123" t="s">
        <v>1283</v>
      </c>
      <c r="F15" s="1627"/>
      <c r="G15" s="1627"/>
      <c r="H15" s="1627"/>
      <c r="I15" s="1281"/>
    </row>
    <row r="16" spans="1:12" ht="13.2">
      <c r="A16" s="3268"/>
      <c r="B16" s="3323"/>
      <c r="C16" s="3327"/>
      <c r="D16" s="3314"/>
      <c r="E16" s="123" t="s">
        <v>1284</v>
      </c>
      <c r="F16" s="1627"/>
      <c r="G16" s="1627"/>
      <c r="H16" s="1627"/>
      <c r="I16" s="1281"/>
    </row>
    <row r="17" spans="1:36" ht="14.4">
      <c r="A17" s="1628" t="s">
        <v>1285</v>
      </c>
      <c r="B17" s="54"/>
      <c r="C17" s="124">
        <f>SUM(C5:C16)</f>
        <v>100</v>
      </c>
      <c r="D17" s="124">
        <f>SUM(D5:D16)</f>
        <v>0</v>
      </c>
      <c r="E17" s="121"/>
      <c r="F17" s="121"/>
      <c r="G17" s="121"/>
      <c r="H17" s="121"/>
      <c r="I17" s="121"/>
      <c r="K17" s="294"/>
      <c r="L17" s="294" t="s">
        <v>1286</v>
      </c>
      <c r="M17" s="294" t="s">
        <v>1287</v>
      </c>
    </row>
    <row r="18" spans="1:36" ht="31.95" customHeight="1" thickBot="1">
      <c r="A18" s="1629" t="s">
        <v>1288</v>
      </c>
      <c r="B18" s="1542"/>
      <c r="C18" s="125">
        <f>ROUND(C17/SUM(C17:D17),2)</f>
        <v>1</v>
      </c>
      <c r="D18" s="125">
        <f>1-C18</f>
        <v>0</v>
      </c>
      <c r="E18" s="3345" t="s">
        <v>2131</v>
      </c>
      <c r="F18" s="3346"/>
      <c r="G18" s="3346"/>
      <c r="H18" s="3346"/>
      <c r="I18" s="3346"/>
      <c r="K18" s="294" t="s">
        <v>1289</v>
      </c>
      <c r="L18" s="294">
        <f>IF(C1="",'数据-汇总表'!E3,SUMIF(项目类型,C1,'数据-汇总表'!E17:E26)+SUMIF(项目类型,C1,'数据-汇总表'!I17:I26))</f>
        <v>105.3</v>
      </c>
      <c r="M18" s="294">
        <f>IF(C1="",'数据-汇总表'!E3,SUMIF(项目类型,C1,'数据-汇总表'!E17:E26))</f>
        <v>105.3</v>
      </c>
    </row>
    <row r="19" spans="1:36" ht="14.4">
      <c r="A19" s="1630" t="s">
        <v>1290</v>
      </c>
      <c r="B19" s="1631" t="s">
        <v>1291</v>
      </c>
      <c r="C19" s="126">
        <f ca="1">SUMIF(INDIRECT("'"&amp;C4&amp;"'"&amp;"!A:A"),结果表!B19,INDIRECT("'"&amp;C4&amp;"'"&amp;"!B:B"))</f>
        <v>9.3700000000000006E-2</v>
      </c>
      <c r="D19" s="127">
        <f ca="1">SUMIF(INDIRECT("'"&amp;D4&amp;"'"&amp;"!A:A"),结果表!B19,INDIRECT("'"&amp;D4&amp;"'"&amp;"!B:B"))</f>
        <v>0</v>
      </c>
      <c r="E19" s="1630" t="s">
        <v>1292</v>
      </c>
      <c r="F19" s="1631" t="s">
        <v>1291</v>
      </c>
      <c r="G19" s="128">
        <f ca="1">ROUND(C19*$C$18+D19*$D$18,0)</f>
        <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8.9</v>
      </c>
      <c r="D20" s="130">
        <f ca="1">SUMIF(INDIRECT("'"&amp;D4&amp;"'"&amp;"!A:A"),结果表!B20,INDIRECT("'"&amp;D4&amp;"'"&amp;"!B:B"))</f>
        <v>0</v>
      </c>
      <c r="E20" s="1633"/>
      <c r="F20" s="43" t="s">
        <v>1295</v>
      </c>
      <c r="G20" s="131">
        <f ca="1">ROUND(C20*$C$18+D20*$D$18,0)</f>
        <v>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338" t="s">
        <v>1299</v>
      </c>
      <c r="B24" s="1631" t="s">
        <v>1291</v>
      </c>
      <c r="C24" s="128">
        <f>IF(B30=0,0,D30)</f>
        <v>0</v>
      </c>
      <c r="D24" s="1637"/>
      <c r="E24" s="121"/>
      <c r="F24" s="121"/>
      <c r="G24" s="121"/>
      <c r="H24" s="121"/>
      <c r="I24" s="121"/>
    </row>
    <row r="25" spans="1:36" ht="14.4">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v>
      </c>
      <c r="D32" s="1641" t="s">
        <v>3526</v>
      </c>
      <c r="E32" s="121"/>
      <c r="F32" s="121"/>
      <c r="G32" s="121"/>
      <c r="H32" s="121"/>
      <c r="I32" s="121"/>
    </row>
    <row r="33" spans="1:15" ht="14.4">
      <c r="A33" s="740" t="s">
        <v>1306</v>
      </c>
      <c r="B33" s="123"/>
      <c r="C33" s="1642" t="s">
        <v>3527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5" t="s">
        <v>1312</v>
      </c>
      <c r="B36" s="1652" t="s">
        <v>1313</v>
      </c>
      <c r="C36" s="137"/>
      <c r="D36" s="1653"/>
      <c r="E36" s="1567"/>
      <c r="F36" s="1654"/>
      <c r="G36" s="121"/>
      <c r="H36" s="121"/>
      <c r="I36" s="121"/>
    </row>
    <row r="37" spans="1:15" ht="15" thickBot="1">
      <c r="A37" s="3316"/>
      <c r="B37" s="1555" t="s">
        <v>1314</v>
      </c>
      <c r="C37" s="139"/>
      <c r="D37" s="1071"/>
      <c r="E37" s="1071"/>
      <c r="F37" s="1654"/>
      <c r="G37" s="121"/>
      <c r="H37" s="121"/>
      <c r="I37" s="121"/>
    </row>
    <row r="38" spans="1:15" ht="15" thickBot="1">
      <c r="A38" s="331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f ca="1">ROUND(H101*F45,0)</f>
        <v>0</v>
      </c>
      <c r="E45" s="148" t="s">
        <v>1327</v>
      </c>
      <c r="F45" s="149">
        <v>1</v>
      </c>
      <c r="G45" s="150" t="s">
        <v>1328</v>
      </c>
      <c r="H45" s="121"/>
      <c r="I45" s="121"/>
      <c r="J45" s="3255" t="s">
        <v>1329</v>
      </c>
      <c r="K45" s="3255"/>
      <c r="L45" s="3255"/>
      <c r="M45" s="3255"/>
      <c r="N45" s="3255"/>
      <c r="O45" s="3255"/>
    </row>
    <row r="46" spans="1:15" ht="14.25" customHeight="1">
      <c r="A46" s="3332" t="s">
        <v>1330</v>
      </c>
      <c r="B46" s="3333"/>
      <c r="C46" s="3333"/>
      <c r="D46" s="3333"/>
      <c r="E46" s="3333"/>
      <c r="F46" s="3333"/>
      <c r="G46" s="3334"/>
      <c r="H46" s="1668"/>
      <c r="I46" s="151"/>
      <c r="J46" s="2310">
        <v>1</v>
      </c>
      <c r="K46" s="3256" t="s">
        <v>1331</v>
      </c>
      <c r="L46" s="3256"/>
      <c r="M46" s="3257"/>
      <c r="N46" s="3257"/>
      <c r="O46" s="3257"/>
    </row>
    <row r="47" spans="1:15" ht="12" customHeight="1">
      <c r="A47" s="152" t="s">
        <v>1332</v>
      </c>
      <c r="B47" s="153"/>
      <c r="C47" s="154"/>
      <c r="D47" s="1024" t="s">
        <v>1333</v>
      </c>
      <c r="E47" s="294" t="s">
        <v>1334</v>
      </c>
      <c r="F47" s="155" t="s">
        <v>1335</v>
      </c>
      <c r="G47" s="2333" t="s">
        <v>1336</v>
      </c>
      <c r="H47" s="2334"/>
      <c r="I47" s="151"/>
      <c r="J47" s="2310">
        <v>2</v>
      </c>
      <c r="K47" s="3256" t="s">
        <v>1337</v>
      </c>
      <c r="L47" s="3256"/>
      <c r="M47" s="3258">
        <f>'数据-取费表'!B2</f>
        <v>45629</v>
      </c>
      <c r="N47" s="3258"/>
      <c r="O47" s="3258"/>
    </row>
    <row r="48" spans="1:15" ht="26.4">
      <c r="A48" s="3318" t="s">
        <v>1338</v>
      </c>
      <c r="B48" s="3319"/>
      <c r="C48" s="331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6" t="s">
        <v>1340</v>
      </c>
      <c r="L48" s="3256"/>
      <c r="M48" s="3259">
        <f ca="1">H101</f>
        <v>0</v>
      </c>
      <c r="N48" s="3259"/>
      <c r="O48" s="3259"/>
    </row>
    <row r="49" spans="1:35" ht="25.5" customHeight="1">
      <c r="A49" s="2152" t="s">
        <v>1341</v>
      </c>
      <c r="B49" s="3304" t="s">
        <v>1342</v>
      </c>
      <c r="C49" s="3304"/>
      <c r="D49" s="1478">
        <v>0</v>
      </c>
      <c r="E49" s="316" t="s">
        <v>1343</v>
      </c>
      <c r="F49" s="2233" t="s">
        <v>28</v>
      </c>
      <c r="G49" s="3287"/>
      <c r="H49" s="2134" t="s">
        <v>2134</v>
      </c>
      <c r="I49" s="2135"/>
      <c r="J49" s="2310">
        <v>4</v>
      </c>
      <c r="K49" s="3256" t="str">
        <f>IF(项目基本情况!E8="房地产抵押价值","房地产抵押价值","抵押担保权已注销时的房地产抵押价值")</f>
        <v>抵押担保权已注销时的房地产抵押价值</v>
      </c>
      <c r="L49" s="3256"/>
      <c r="M49" s="3259" t="str">
        <f>IF(项目基本情况!E8="房地产抵押价值",H107,H109)</f>
        <v>——</v>
      </c>
      <c r="N49" s="3259"/>
      <c r="O49" s="3259"/>
    </row>
    <row r="50" spans="1:35" ht="25.5" customHeight="1">
      <c r="A50" s="2338"/>
      <c r="B50" s="3304" t="s">
        <v>1344</v>
      </c>
      <c r="C50" s="3304"/>
      <c r="D50" s="2189"/>
      <c r="E50" s="323"/>
      <c r="F50" s="2233"/>
      <c r="G50" s="3288"/>
      <c r="H50" s="2136" t="s">
        <v>2135</v>
      </c>
      <c r="I50" s="2135"/>
      <c r="J50" s="3255" t="s">
        <v>1345</v>
      </c>
      <c r="K50" s="3255"/>
      <c r="L50" s="3255"/>
      <c r="M50" s="3255"/>
      <c r="N50" s="3255"/>
      <c r="O50" s="3255"/>
    </row>
    <row r="51" spans="1:35" ht="20.399999999999999" customHeight="1">
      <c r="A51" s="2339"/>
      <c r="B51" s="3304" t="s">
        <v>1346</v>
      </c>
      <c r="C51" s="3304"/>
      <c r="D51" s="1024"/>
      <c r="E51" s="319"/>
      <c r="F51" s="2233"/>
      <c r="G51" s="3289"/>
      <c r="H51" s="2136" t="s">
        <v>2136</v>
      </c>
      <c r="I51" s="2135"/>
      <c r="J51" s="2311" t="s">
        <v>1347</v>
      </c>
      <c r="K51" s="3256" t="s">
        <v>1348</v>
      </c>
      <c r="L51" s="3256"/>
      <c r="M51" s="2311" t="s">
        <v>1349</v>
      </c>
      <c r="N51" s="2311" t="s">
        <v>1350</v>
      </c>
      <c r="O51" s="2311" t="s">
        <v>1351</v>
      </c>
    </row>
    <row r="52" spans="1:35" ht="24" customHeight="1">
      <c r="A52" s="2153" t="s">
        <v>1352</v>
      </c>
      <c r="B52" s="3304" t="s">
        <v>1353</v>
      </c>
      <c r="C52" s="3304"/>
      <c r="D52" s="1024">
        <f ca="1">ROUND(D45*'数据-取费表'!B41/(1+'数据-取费表'!C42),0)</f>
        <v>0</v>
      </c>
      <c r="E52" s="1256" t="s">
        <v>1354</v>
      </c>
      <c r="F52" s="2340">
        <f>'数据-取费表'!B41</f>
        <v>5.6000000000000001E-2</v>
      </c>
      <c r="G52" s="2341"/>
      <c r="H52" s="2331"/>
      <c r="I52" s="1669"/>
      <c r="J52" s="2310">
        <v>1</v>
      </c>
      <c r="K52" s="3281" t="s">
        <v>1355</v>
      </c>
      <c r="L52" s="3281"/>
      <c r="M52" s="2312" t="b">
        <f>D48</f>
        <v>0</v>
      </c>
      <c r="N52" s="2310" t="str">
        <f>E48</f>
        <v>销售额×税（费）率</v>
      </c>
      <c r="O52" s="2313">
        <f>F48</f>
        <v>5.6000000000000001E-2</v>
      </c>
    </row>
    <row r="53" spans="1:35" ht="12" customHeight="1">
      <c r="A53" s="2153" t="s">
        <v>1356</v>
      </c>
      <c r="B53" s="3305" t="s">
        <v>2291</v>
      </c>
      <c r="C53" s="3306"/>
      <c r="D53" s="1024">
        <f ca="1">ROUND(D45*'数据-取费表'!B41/(1+'数据-取费表'!C42),0)</f>
        <v>0</v>
      </c>
      <c r="E53" s="1256" t="s">
        <v>1354</v>
      </c>
      <c r="F53" s="2340">
        <f>'数据-取费表'!B41</f>
        <v>5.6000000000000001E-2</v>
      </c>
      <c r="G53" s="2341"/>
      <c r="H53" s="2331"/>
      <c r="I53" s="1669"/>
      <c r="J53" s="2310">
        <v>2</v>
      </c>
      <c r="K53" s="3281" t="s">
        <v>1357</v>
      </c>
      <c r="L53" s="3281"/>
      <c r="M53" s="2312">
        <f t="shared" ref="M53:O54" ca="1" si="0">D55</f>
        <v>0</v>
      </c>
      <c r="N53" s="2310" t="str">
        <f t="shared" si="0"/>
        <v>销售额×税（费）率</v>
      </c>
      <c r="O53" s="2313" t="str">
        <f t="shared" si="0"/>
        <v>免征</v>
      </c>
    </row>
    <row r="54" spans="1:35" ht="12" customHeight="1">
      <c r="A54" s="2153" t="s">
        <v>1358</v>
      </c>
      <c r="B54" s="3305" t="s">
        <v>2292</v>
      </c>
      <c r="C54" s="3306"/>
      <c r="D54" s="1024">
        <f ca="1">C68</f>
        <v>0</v>
      </c>
      <c r="E54" s="319" t="s">
        <v>1359</v>
      </c>
      <c r="F54" s="2340">
        <f>'数据-取费表'!B41</f>
        <v>5.6000000000000001E-2</v>
      </c>
      <c r="G54" s="2341"/>
      <c r="H54" s="2342"/>
      <c r="I54" s="1669"/>
      <c r="J54" s="2310">
        <v>3</v>
      </c>
      <c r="K54" s="3281" t="s">
        <v>1360</v>
      </c>
      <c r="L54" s="3281"/>
      <c r="M54" s="2312">
        <f t="shared" ca="1" si="0"/>
        <v>0</v>
      </c>
      <c r="N54" s="2310" t="str">
        <f t="shared" si="0"/>
        <v>增值额×税（费）率</v>
      </c>
      <c r="O54" s="2314" t="str">
        <f t="shared" si="0"/>
        <v>免征</v>
      </c>
    </row>
    <row r="55" spans="1:35" ht="24" customHeight="1">
      <c r="A55" s="3341" t="s">
        <v>1361</v>
      </c>
      <c r="B55" s="3319"/>
      <c r="C55" s="3319"/>
      <c r="D55" s="12">
        <f ca="1">IF(H55="个人住宅",0,ROUND(D45*I55,0))</f>
        <v>0</v>
      </c>
      <c r="E55" s="1256" t="s">
        <v>1362</v>
      </c>
      <c r="F55" s="2340" t="str">
        <f>IF(H55="正常",I55,"免征")</f>
        <v>免征</v>
      </c>
      <c r="G55" s="2341"/>
      <c r="H55" s="2337"/>
      <c r="I55" s="157">
        <f>'数据-取费表'!B49</f>
        <v>5.0000000000000001E-4</v>
      </c>
      <c r="J55" s="2310">
        <f>IF(H59="非个人房产","",4)</f>
        <v>4</v>
      </c>
      <c r="K55" s="3281" t="str">
        <f>IF(H59="非个人房产","——","个人所得税")</f>
        <v>个人所得税</v>
      </c>
      <c r="L55" s="3281"/>
      <c r="M55" s="2315">
        <f ca="1">D59</f>
        <v>0</v>
      </c>
      <c r="N55" s="1883" t="str">
        <f>E59</f>
        <v>差额计税</v>
      </c>
      <c r="O55" s="2316">
        <f>F59</f>
        <v>0.01</v>
      </c>
    </row>
    <row r="56" spans="1:35" ht="25.2">
      <c r="A56" s="3341" t="s">
        <v>1363</v>
      </c>
      <c r="B56" s="3319"/>
      <c r="C56" s="3319"/>
      <c r="D56" s="12">
        <f ca="1">IF(H56="个人住宅",D57,D58)</f>
        <v>0</v>
      </c>
      <c r="E56" s="1256" t="s">
        <v>1364</v>
      </c>
      <c r="F56" s="2340" t="str">
        <f>IF(H56="正常",F58,"免征")</f>
        <v>免征</v>
      </c>
      <c r="G56" s="2343" t="s">
        <v>1365</v>
      </c>
      <c r="H56" s="2344"/>
      <c r="I56" s="1670"/>
      <c r="J56" s="2310" t="str">
        <f>IF(项目基本情况!K6="上海银行",IF(J55="",4,J55+1),"")</f>
        <v/>
      </c>
      <c r="K56" s="3262" t="str">
        <f>IF(项目基本情况!K6="上海银行","其他处置费用","")</f>
        <v/>
      </c>
      <c r="L56" s="3263"/>
      <c r="M56" s="2312" t="str">
        <f>IF(项目基本情况!K6="上海银行",M69,"")</f>
        <v/>
      </c>
      <c r="N56" s="3262" t="str">
        <f>IF(项目基本情况!K6="上海银行","包含处置中涉及的律师、诉讼、拍卖、评估等费用","")</f>
        <v/>
      </c>
      <c r="O56" s="3265"/>
    </row>
    <row r="57" spans="1:35" ht="13.2">
      <c r="A57" s="2153" t="s">
        <v>1341</v>
      </c>
      <c r="B57" s="3305" t="s">
        <v>1366</v>
      </c>
      <c r="C57" s="3306"/>
      <c r="D57" s="1478">
        <v>0</v>
      </c>
      <c r="E57" s="316" t="s">
        <v>1343</v>
      </c>
      <c r="F57" s="294"/>
      <c r="G57" s="2341"/>
      <c r="H57" s="2345"/>
      <c r="I57" s="1670"/>
      <c r="J57" s="3281">
        <f>IF(AND(J55="",J56=""),4,IF(项目基本情况!K6="上海银行",结果表!J56+1,结果表!J55+1))</f>
        <v>5</v>
      </c>
      <c r="K57" s="3281" t="s">
        <v>1367</v>
      </c>
      <c r="L57" s="2317" t="s">
        <v>1368</v>
      </c>
      <c r="M57" s="2318"/>
      <c r="N57" s="2319">
        <f ca="1">SUMIF(M52:M56,"&lt;9e307")</f>
        <v>0</v>
      </c>
      <c r="O57" s="2320"/>
      <c r="P57" s="2464" t="e">
        <f ca="1">N57/M49</f>
        <v>#VALUE!</v>
      </c>
    </row>
    <row r="58" spans="1:35" ht="25.2">
      <c r="A58" s="2153" t="s">
        <v>1352</v>
      </c>
      <c r="B58" s="3305" t="s">
        <v>1369</v>
      </c>
      <c r="C58" s="3304"/>
      <c r="D58" s="12">
        <f ca="1">IF(H58="转让取得",C81,C97)</f>
        <v>0</v>
      </c>
      <c r="E58" s="1256" t="s">
        <v>1364</v>
      </c>
      <c r="F58" s="294" t="s">
        <v>28</v>
      </c>
      <c r="G58" s="2341"/>
      <c r="H58" s="2344"/>
      <c r="I58" s="1670"/>
      <c r="J58" s="3281"/>
      <c r="K58" s="3281"/>
      <c r="L58" s="2317" t="s">
        <v>1370</v>
      </c>
      <c r="M58" s="2321"/>
      <c r="N58" s="2322" t="str">
        <f ca="1">NUMBERSTRING(INT(N57*10000),2)&amp;"元整"</f>
        <v>零元整</v>
      </c>
      <c r="O58" s="2323"/>
    </row>
    <row r="59" spans="1:35" ht="24.6" thickBot="1">
      <c r="A59" s="3285" t="s">
        <v>1371</v>
      </c>
      <c r="B59" s="3286"/>
      <c r="C59" s="3286"/>
      <c r="D59" s="2346">
        <f ca="1">IF(H59="非个人房产","——",IF(H59="个人住宅（满五唯一有凭证）",0,IF(H59="个人其他（无凭证）",ROUND(D45*F59,0),ROUND(C67*F59,0))))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3">
        <f>J57+1</f>
        <v>6</v>
      </c>
      <c r="K59" s="3281" t="s">
        <v>1372</v>
      </c>
      <c r="L59" s="2310" t="s">
        <v>1368</v>
      </c>
      <c r="M59" s="2324"/>
      <c r="N59" s="2325" t="e">
        <f ca="1">M49-N57</f>
        <v>#VALUE!</v>
      </c>
      <c r="O59" s="2326"/>
    </row>
    <row r="60" spans="1:35" ht="12" customHeight="1">
      <c r="A60" s="1671"/>
      <c r="B60" s="646"/>
      <c r="C60" s="646"/>
      <c r="D60" s="646"/>
      <c r="E60" s="1466"/>
      <c r="F60" s="1670"/>
      <c r="G60" s="1670"/>
      <c r="H60" s="151"/>
      <c r="I60" s="121"/>
      <c r="J60" s="3284"/>
      <c r="K60" s="3281"/>
      <c r="L60" s="2317" t="s">
        <v>1370</v>
      </c>
      <c r="M60" s="2321"/>
      <c r="N60" s="2322" t="e">
        <f ca="1">NUMBERSTRING(INT(N59*10000),2)&amp;"元整"</f>
        <v>#VALUE!</v>
      </c>
      <c r="O60" s="2323"/>
    </row>
    <row r="61" spans="1:35" ht="13.8" thickBot="1">
      <c r="A61" s="3340" t="s">
        <v>1373</v>
      </c>
      <c r="B61" s="3340"/>
      <c r="C61" s="3340"/>
      <c r="D61" s="3340"/>
      <c r="E61" s="3340"/>
      <c r="F61" s="1670"/>
      <c r="G61" s="1670"/>
      <c r="H61" s="151"/>
      <c r="I61" s="121"/>
      <c r="J61" s="2310">
        <f>J59+1</f>
        <v>7</v>
      </c>
      <c r="K61" s="3281" t="s">
        <v>1374</v>
      </c>
      <c r="L61" s="3281"/>
      <c r="M61" s="2327"/>
      <c r="N61" s="2328" t="e">
        <f ca="1">ROUND(N59*10000/'数据-汇总表'!E3,0)</f>
        <v>#VALUE!</v>
      </c>
      <c r="O61" s="2329"/>
    </row>
    <row r="62" spans="1:35" ht="13.2">
      <c r="A62" s="3300" t="s">
        <v>1375</v>
      </c>
      <c r="B62" s="3301"/>
      <c r="C62" s="1865"/>
      <c r="D62" s="1865" t="s">
        <v>1376</v>
      </c>
      <c r="E62" s="158" t="s">
        <v>1377</v>
      </c>
      <c r="F62" s="1670"/>
      <c r="G62" s="1670"/>
      <c r="H62" s="151"/>
      <c r="I62" s="121"/>
    </row>
    <row r="63" spans="1:35" ht="13.2">
      <c r="A63" s="165" t="s">
        <v>330</v>
      </c>
      <c r="B63" s="159" t="s">
        <v>1378</v>
      </c>
      <c r="C63" s="2350">
        <f ca="1">ROUND((C64+C65)/(1+'数据-取费表'!C42),0)</f>
        <v>0</v>
      </c>
      <c r="D63" s="159"/>
      <c r="E63" s="160"/>
      <c r="F63" s="1670"/>
      <c r="G63" s="1670"/>
      <c r="H63" s="151"/>
      <c r="I63" s="121"/>
      <c r="J63" s="326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0</v>
      </c>
      <c r="D64" s="162" t="s">
        <v>26</v>
      </c>
      <c r="E64" s="164"/>
      <c r="F64" s="1670"/>
      <c r="G64" s="1670"/>
      <c r="H64" s="151"/>
      <c r="I64" s="121"/>
      <c r="J64" s="32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4"/>
      <c r="K66" s="1245" t="s">
        <v>1387</v>
      </c>
      <c r="L66" s="1245" t="e">
        <f>M49*0.5%</f>
        <v>#VALUE!</v>
      </c>
      <c r="M66" s="294" t="e">
        <f>IF(L66&gt;0.5,0.5,ROUND(L66,0))</f>
        <v>#VALUE!</v>
      </c>
      <c r="N66" s="2331" t="s">
        <v>1388</v>
      </c>
      <c r="Z66" s="1623"/>
      <c r="AI66" s="1561"/>
    </row>
    <row r="67" spans="1:35" ht="14.25" customHeight="1">
      <c r="A67" s="165" t="s">
        <v>328</v>
      </c>
      <c r="B67" s="166" t="s">
        <v>1389</v>
      </c>
      <c r="C67" s="2354">
        <f ca="1">C63-C66</f>
        <v>0</v>
      </c>
      <c r="D67" s="162" t="s">
        <v>26</v>
      </c>
      <c r="E67" s="164"/>
      <c r="F67" s="1670"/>
      <c r="G67" s="1670"/>
      <c r="H67" s="151"/>
      <c r="I67" s="121"/>
      <c r="J67" s="32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26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4"/>
      <c r="K69" s="1245" t="s">
        <v>1393</v>
      </c>
      <c r="L69" s="1245"/>
      <c r="M69" s="294" t="e">
        <f>ROUND(SUM(M63:M68),0)</f>
        <v>#VALUE!</v>
      </c>
      <c r="N69" s="2332" t="e">
        <f>M69/M49</f>
        <v>#VALUE!</v>
      </c>
      <c r="Z69" s="1623"/>
      <c r="AI69" s="1561"/>
    </row>
    <row r="70" spans="1:35" s="642" customFormat="1" ht="14.4"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5" t="s">
        <v>1402</v>
      </c>
      <c r="F76" s="3304"/>
      <c r="G76" s="3304"/>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0</v>
      </c>
      <c r="D78" s="2363">
        <f>'数据-取费表'!B43</f>
        <v>6.000000000000001E-3</v>
      </c>
      <c r="E78" s="3297" t="s">
        <v>1406</v>
      </c>
      <c r="F78" s="3298"/>
      <c r="G78" s="3298"/>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6" t="s">
        <v>2129</v>
      </c>
      <c r="H90" s="326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7" t="s">
        <v>1422</v>
      </c>
      <c r="F92" s="3298"/>
      <c r="G92" s="3298"/>
      <c r="H92" s="329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0</v>
      </c>
      <c r="D93" s="2363">
        <f>'数据-取费表'!B43</f>
        <v>6.000000000000001E-3</v>
      </c>
      <c r="E93" s="3297" t="s">
        <v>1406</v>
      </c>
      <c r="F93" s="3298"/>
      <c r="G93" s="3298"/>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2" t="s">
        <v>1426</v>
      </c>
      <c r="F94" s="3343"/>
      <c r="G94" s="3343"/>
      <c r="H94" s="334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2"/>
      <c r="E100" s="3248" t="s">
        <v>1429</v>
      </c>
      <c r="F100" s="3248"/>
      <c r="G100" s="3248"/>
      <c r="H100" s="3282"/>
      <c r="I100" s="121"/>
    </row>
    <row r="101" spans="1:35" ht="18.75" customHeight="1">
      <c r="A101" s="3290" t="s">
        <v>1430</v>
      </c>
      <c r="B101" s="3291"/>
      <c r="C101" s="2371" t="str">
        <f>C4</f>
        <v>比较法-商业</v>
      </c>
      <c r="D101" s="2372" t="str">
        <f>D4</f>
        <v>收益法 (元)</v>
      </c>
      <c r="E101" s="3260" t="s">
        <v>1431</v>
      </c>
      <c r="F101" s="3261"/>
      <c r="G101" s="1687" t="s">
        <v>1432</v>
      </c>
      <c r="H101" s="2381">
        <f ca="1">H118</f>
        <v>0</v>
      </c>
      <c r="I101" s="121"/>
    </row>
    <row r="102" spans="1:35" ht="18.75" customHeight="1">
      <c r="A102" s="3292" t="s">
        <v>1433</v>
      </c>
      <c r="B102" s="2370" t="s">
        <v>1432</v>
      </c>
      <c r="C102" s="2371">
        <f ca="1">IF(D32="楼面单价",ROUND(C19,0),C19)</f>
        <v>0</v>
      </c>
      <c r="D102" s="2372">
        <f ca="1">IF(D32="楼面单价",ROUND(D19,0),D19)</f>
        <v>0</v>
      </c>
      <c r="E102" s="3260"/>
      <c r="F102" s="3261"/>
      <c r="G102" s="1687" t="s">
        <v>1434</v>
      </c>
      <c r="H102" s="2341">
        <f ca="1">I118</f>
        <v>9</v>
      </c>
      <c r="I102" s="121"/>
    </row>
    <row r="103" spans="1:35" ht="42.75" customHeight="1">
      <c r="A103" s="3292"/>
      <c r="B103" s="2370" t="s">
        <v>1434</v>
      </c>
      <c r="C103" s="2373">
        <f ca="1">C20</f>
        <v>8.9</v>
      </c>
      <c r="D103" s="2374">
        <f ca="1">D20</f>
        <v>0</v>
      </c>
      <c r="E103" s="3253" t="s">
        <v>1435</v>
      </c>
      <c r="F103" s="3254"/>
      <c r="G103" s="1688" t="s">
        <v>1436</v>
      </c>
      <c r="H103" s="2381">
        <f>IF(D36="正常操作",H104+H105+H106,H105+H106)</f>
        <v>0</v>
      </c>
      <c r="I103" s="121"/>
    </row>
    <row r="104" spans="1:35" ht="18.75" customHeight="1">
      <c r="A104" s="3292" t="s">
        <v>1437</v>
      </c>
      <c r="B104" s="2375" t="s">
        <v>1432</v>
      </c>
      <c r="C104" s="2376">
        <f ca="1">H118</f>
        <v>0</v>
      </c>
      <c r="D104" s="2377"/>
      <c r="E104" s="1555" t="s">
        <v>1438</v>
      </c>
      <c r="F104" s="1548"/>
      <c r="G104" s="1688" t="s">
        <v>1436</v>
      </c>
      <c r="H104" s="2382">
        <f>IF(D36="同一抵押权人同一抵押物续贷",C36&amp;"（续贷，未扣减，详见特别提示）",C36)</f>
        <v>0</v>
      </c>
      <c r="I104" s="121"/>
    </row>
    <row r="105" spans="1:35" ht="18.75" customHeight="1" thickBot="1">
      <c r="A105" s="3302"/>
      <c r="B105" s="2378" t="s">
        <v>1434</v>
      </c>
      <c r="C105" s="2379">
        <f ca="1">I118</f>
        <v>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61"/>
      <c r="G107" s="1687" t="s">
        <v>1432</v>
      </c>
      <c r="H107" s="2381">
        <f ca="1">IF(E107="——","——",H101-H103)</f>
        <v>0</v>
      </c>
      <c r="I107" s="121"/>
    </row>
    <row r="108" spans="1:35" ht="18.75" customHeight="1">
      <c r="A108" s="121"/>
      <c r="B108" s="121"/>
      <c r="C108" s="121"/>
      <c r="D108" s="121"/>
      <c r="E108" s="3293"/>
      <c r="F108" s="3261"/>
      <c r="G108" s="1687" t="s">
        <v>1434</v>
      </c>
      <c r="H108" s="2341">
        <f ca="1">IF(H107=H101,H102,ROUND(H107*10000/'数据-汇总表'!E3,0))</f>
        <v>9</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61"/>
      <c r="G109" s="1687" t="s">
        <v>1432</v>
      </c>
      <c r="H109" s="2384" t="str">
        <f>IF(E109="——","——",H101-H105-H106)</f>
        <v>——</v>
      </c>
      <c r="I109" s="121"/>
    </row>
    <row r="110" spans="1:35" ht="18.75" customHeight="1">
      <c r="A110" s="121"/>
      <c r="B110" s="121"/>
      <c r="C110" s="121"/>
      <c r="D110" s="121"/>
      <c r="E110" s="3293"/>
      <c r="F110" s="3261"/>
      <c r="G110" s="1687" t="s">
        <v>1434</v>
      </c>
      <c r="H110" s="2341" t="str">
        <f>IF(H109="——","——",ROUND(H109*10000/'数据-汇总表'!E3,0))</f>
        <v>——</v>
      </c>
      <c r="I110" s="121"/>
    </row>
    <row r="111" spans="1:35" ht="18.75" customHeight="1">
      <c r="A111" s="121"/>
      <c r="B111" s="121"/>
      <c r="C111" s="121"/>
      <c r="D111" s="121"/>
      <c r="E111" s="3294" t="str">
        <f>IF(项目基本情况!E9="抵押净值",IF(OR(项目基本情况!E8="已注销",项目基本情况!E8="房地产抵押价值"),"4.抵押净值","5.抵押净值"),"——")</f>
        <v>——</v>
      </c>
      <c r="F111" s="3280"/>
      <c r="G111" s="1687" t="s">
        <v>1432</v>
      </c>
      <c r="H111" s="2381" t="str">
        <f>IF(E111="——","——",N59)</f>
        <v>——</v>
      </c>
      <c r="I111" s="121"/>
    </row>
    <row r="112" spans="1:35" ht="18.75" customHeight="1" thickBot="1">
      <c r="A112" s="121"/>
      <c r="B112" s="121"/>
      <c r="C112" s="121"/>
      <c r="D112" s="121"/>
      <c r="E112" s="3295"/>
      <c r="F112" s="3296"/>
      <c r="G112" s="1690" t="s">
        <v>1434</v>
      </c>
      <c r="H112" s="2385"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8" t="s">
        <v>1443</v>
      </c>
      <c r="B116" s="3272" t="s">
        <v>1444</v>
      </c>
      <c r="C116" s="3272" t="s">
        <v>1445</v>
      </c>
      <c r="D116" s="3278" t="s">
        <v>1446</v>
      </c>
      <c r="E116" s="3279"/>
      <c r="F116" s="3310" t="s">
        <v>1447</v>
      </c>
      <c r="G116" s="3310"/>
      <c r="H116" s="3268" t="s">
        <v>1448</v>
      </c>
      <c r="I116" s="3268"/>
    </row>
    <row r="117" spans="1:27" ht="18.75" customHeight="1">
      <c r="A117" s="3268"/>
      <c r="B117" s="3273"/>
      <c r="C117" s="3273"/>
      <c r="D117" s="2150" t="s">
        <v>1449</v>
      </c>
      <c r="E117" s="2150" t="s">
        <v>1450</v>
      </c>
      <c r="F117" s="2150" t="s">
        <v>1449</v>
      </c>
      <c r="G117" s="2150" t="s">
        <v>1451</v>
      </c>
      <c r="H117" s="2150" t="s">
        <v>1449</v>
      </c>
      <c r="I117" s="2150" t="s">
        <v>1451</v>
      </c>
    </row>
    <row r="118" spans="1:27" ht="24.75" customHeight="1">
      <c r="A118" s="2386" t="str">
        <f>项目基本情况!S2</f>
        <v>北京市崇文区西兴隆街88.90.92号房地产</v>
      </c>
      <c r="B118" s="2150">
        <f>M18</f>
        <v>105.3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v>
      </c>
    </row>
    <row r="119" spans="1:27" ht="18.75" customHeight="1">
      <c r="A119" s="3268" t="s">
        <v>1452</v>
      </c>
      <c r="B119" s="3268"/>
      <c r="C119" s="3268"/>
      <c r="D119" s="3274" t="str">
        <f>NUMBERSTRING(INT(D118*10000),2)&amp;"元整"</f>
        <v>零元整</v>
      </c>
      <c r="E119" s="3275"/>
      <c r="F119" s="3274" t="str">
        <f>NUMBERSTRING(INT(F118*10000),2)&amp;"元整"</f>
        <v>零元整</v>
      </c>
      <c r="G119" s="3275"/>
      <c r="H119" s="3274" t="str">
        <f ca="1">NUMBERSTRING(INT(H118*10000),2)&amp;"元整"</f>
        <v>零元整</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4" t="s">
        <v>1452</v>
      </c>
      <c r="B121" s="3276"/>
      <c r="C121" s="3275"/>
      <c r="D121" s="3274" t="str">
        <f>IF(D120=0,"零元整",NUMBERSTRING(INT(D120*10000),2)&amp;"元整")</f>
        <v>零元整</v>
      </c>
      <c r="E121" s="3276"/>
      <c r="F121" s="3276"/>
      <c r="G121" s="3276"/>
      <c r="H121" s="3276"/>
      <c r="I121" s="3275"/>
      <c r="AA121" s="684"/>
    </row>
    <row r="122" spans="1:27" ht="18.75" customHeight="1">
      <c r="A122" s="3280" t="str">
        <f>IF(项目基本情况!B9="房地产市场价值","",MID(E107,3,LEN(E107)-2))</f>
        <v>房地产抵押价值</v>
      </c>
      <c r="B122" s="3280"/>
      <c r="C122" s="3280"/>
      <c r="D122" s="3269">
        <f ca="1">H107</f>
        <v>0</v>
      </c>
      <c r="E122" s="3270"/>
      <c r="F122" s="3270"/>
      <c r="G122" s="3270"/>
      <c r="H122" s="3270"/>
      <c r="I122" s="3271"/>
      <c r="AA122" s="684"/>
    </row>
    <row r="123" spans="1:27" ht="18.75" customHeight="1">
      <c r="A123" s="3268" t="s">
        <v>1452</v>
      </c>
      <c r="B123" s="3268"/>
      <c r="C123" s="3268"/>
      <c r="D123" s="3274" t="str">
        <f ca="1">NUMBERSTRING(INT(D122*10000),2)&amp;"元整"</f>
        <v>零元整</v>
      </c>
      <c r="E123" s="3276"/>
      <c r="F123" s="3276"/>
      <c r="G123" s="3276"/>
      <c r="H123" s="3276"/>
      <c r="I123" s="3275"/>
      <c r="AA123" s="684"/>
    </row>
    <row r="124" spans="1:27" ht="18.75" customHeight="1">
      <c r="A124" s="3280" t="str">
        <f>IF(项目基本情况!B9="房地产市场价值","",MID(E109,3,LEN(E109)-2))</f>
        <v/>
      </c>
      <c r="B124" s="3280"/>
      <c r="C124" s="3280"/>
      <c r="D124" s="3269" t="str">
        <f>H109</f>
        <v>——</v>
      </c>
      <c r="E124" s="3270"/>
      <c r="F124" s="3270"/>
      <c r="G124" s="3270"/>
      <c r="H124" s="3270"/>
      <c r="I124" s="3271"/>
      <c r="AA124" s="684"/>
    </row>
    <row r="125" spans="1:27" ht="18.75" customHeight="1">
      <c r="A125" s="3268" t="s">
        <v>1452</v>
      </c>
      <c r="B125" s="3268"/>
      <c r="C125" s="3268"/>
      <c r="D125" s="3274" t="e">
        <f>NUMBERSTRING(INT(D124*10000),2)&amp;"元整"</f>
        <v>#VALUE!</v>
      </c>
      <c r="E125" s="3276"/>
      <c r="F125" s="3276"/>
      <c r="G125" s="3276"/>
      <c r="H125" s="3276"/>
      <c r="I125" s="3275"/>
      <c r="AA125" s="684"/>
    </row>
    <row r="126" spans="1:27" ht="18.75" customHeight="1">
      <c r="A126" s="3280" t="str">
        <f>IF(项目基本情况!B9="房地产市场价值","",MID(E111,3,LEN(E111)-2))</f>
        <v/>
      </c>
      <c r="B126" s="3280"/>
      <c r="C126" s="3280"/>
      <c r="D126" s="3269" t="str">
        <f>H111</f>
        <v>——</v>
      </c>
      <c r="E126" s="3270"/>
      <c r="F126" s="3270"/>
      <c r="G126" s="3270"/>
      <c r="H126" s="3270"/>
      <c r="I126" s="3271"/>
      <c r="AA126" s="684"/>
    </row>
    <row r="127" spans="1:27" ht="18.75" customHeight="1">
      <c r="A127" s="3268" t="s">
        <v>1452</v>
      </c>
      <c r="B127" s="3268"/>
      <c r="C127" s="3268"/>
      <c r="D127" s="3274" t="e">
        <f>NUMBERSTRING(INT(D126*10000),2)&amp;"元整"</f>
        <v>#VALUE!</v>
      </c>
      <c r="E127" s="3276"/>
      <c r="F127" s="3276"/>
      <c r="G127" s="3276"/>
      <c r="H127" s="3276"/>
      <c r="I127" s="3275"/>
      <c r="AA127" s="684"/>
    </row>
    <row r="128" spans="1:27" ht="21.75" customHeight="1">
      <c r="A128" s="3277" t="s">
        <v>1453</v>
      </c>
      <c r="B128" s="3277"/>
      <c r="C128" s="3277"/>
      <c r="D128" s="3277"/>
      <c r="E128" s="3277"/>
      <c r="F128" s="3277"/>
      <c r="G128" s="3277"/>
      <c r="H128" s="3277"/>
      <c r="I128" s="327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2.9999999999999997E-4</v>
      </c>
      <c r="D44" s="230"/>
      <c r="E44" s="230"/>
      <c r="F44" s="231"/>
      <c r="G44" s="3349"/>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v>
      </c>
      <c r="D51" s="224"/>
      <c r="E51" s="224"/>
      <c r="F51" s="256"/>
      <c r="G51" s="226" t="s">
        <v>1560</v>
      </c>
    </row>
    <row r="52" spans="1:7" s="200" customFormat="1" ht="16.8" thickBot="1">
      <c r="A52" s="257" t="s">
        <v>1561</v>
      </c>
      <c r="B52" s="258"/>
      <c r="C52" s="259">
        <f ca="1">C31+C51</f>
        <v>29</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北京市崇文区西兴隆街88.90.92号预评估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32.301499999999997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3068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21060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21060</v>
      </c>
      <c r="D10" s="795">
        <f ca="1">IF(B1="",'数据-汇总表'!E6,IF(INDIRECT("'数据-取费表'!c"&amp;$G$1)="住宅",INDIRECT("'数据-取费表'!s"&amp;$G$1),INDIRECT("'数据-取费表'!k"&amp;$G$1)+INDIRECT("'数据-取费表'!s"&amp;$G$1)))</f>
        <v>105.3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21060</v>
      </c>
      <c r="D19" s="204">
        <f ca="1">D9+D10</f>
        <v>105.3</v>
      </c>
      <c r="E19" s="203">
        <f>'数据-取费表'!B31</f>
        <v>200</v>
      </c>
      <c r="F19" s="223"/>
      <c r="G19" s="1714"/>
    </row>
    <row r="20" spans="1:7" s="206" customFormat="1" ht="13.5" customHeight="1">
      <c r="A20" s="247" t="s">
        <v>1574</v>
      </c>
      <c r="B20" s="202" t="s">
        <v>1575</v>
      </c>
      <c r="C20" s="224">
        <f ca="1">ROUND((C5+C19)*F20,0)</f>
        <v>842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653</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6444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54933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297473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263250</v>
      </c>
      <c r="D34" s="209"/>
      <c r="E34" s="212"/>
      <c r="F34" s="249"/>
      <c r="G34" s="211"/>
    </row>
    <row r="35" spans="1:7" ht="13.5" customHeight="1">
      <c r="A35" s="734" t="s">
        <v>351</v>
      </c>
      <c r="B35" s="207" t="s">
        <v>1527</v>
      </c>
      <c r="C35" s="212">
        <f ca="1">ROUND(C34*F35,0)</f>
        <v>7898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21060</v>
      </c>
      <c r="D37" s="209">
        <f ca="1">D19</f>
        <v>105.3</v>
      </c>
      <c r="E37" s="241">
        <f>'数据-取费表'!B35</f>
        <v>200</v>
      </c>
      <c r="F37" s="251"/>
      <c r="G37" s="253"/>
    </row>
    <row r="38" spans="1:7" ht="13.5" customHeight="1">
      <c r="A38" s="734" t="s">
        <v>354</v>
      </c>
      <c r="B38" s="207" t="s">
        <v>1533</v>
      </c>
      <c r="C38" s="212">
        <f ca="1">ROUND(C34*F38,0)</f>
        <v>5265</v>
      </c>
      <c r="D38" s="212"/>
      <c r="E38" s="212"/>
      <c r="F38" s="251">
        <f>'数据-取费表'!B36</f>
        <v>0.02</v>
      </c>
      <c r="G38" s="211" t="s">
        <v>1528</v>
      </c>
    </row>
    <row r="39" spans="1:7" s="206" customFormat="1" ht="13.5" customHeight="1">
      <c r="A39" s="247" t="s">
        <v>1534</v>
      </c>
      <c r="B39" s="202" t="s">
        <v>1535</v>
      </c>
      <c r="C39" s="224">
        <f ca="1">ROUND(C33*F20,0)</f>
        <v>5949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4703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4611</v>
      </c>
      <c r="D42" s="230"/>
      <c r="E42" s="230"/>
      <c r="F42" s="231"/>
      <c r="G42" s="3347" t="s">
        <v>1591</v>
      </c>
    </row>
    <row r="43" spans="1:7" ht="13.5" customHeight="1">
      <c r="A43" s="734" t="s">
        <v>347</v>
      </c>
      <c r="B43" s="207" t="s">
        <v>1545</v>
      </c>
      <c r="C43" s="230">
        <f ca="1">ROUND(IF('数据-取费表'!B22&lt;=1,C39*F22*'数据-取费表'!B20/2,C39*(POWER((1+F22),'数据-取费表'!B20/2)-1)),0)</f>
        <v>92</v>
      </c>
      <c r="D43" s="230"/>
      <c r="E43" s="230"/>
      <c r="F43" s="231"/>
      <c r="G43" s="3348"/>
    </row>
    <row r="44" spans="1:7" ht="13.5" customHeight="1">
      <c r="A44" s="734" t="s">
        <v>348</v>
      </c>
      <c r="B44" s="207" t="s">
        <v>1546</v>
      </c>
      <c r="C44" s="230">
        <f ca="1">ROUND(IF('数据-取费表'!B22&lt;=1,C40*F22*'数据-取费表'!B20/2,C40*(POWER((1+F22),'数据-取费表'!B20/2)-1)),4)</f>
        <v>2.9999999999999997E-4</v>
      </c>
      <c r="D44" s="230"/>
      <c r="E44" s="230"/>
      <c r="F44" s="231"/>
      <c r="G44" s="3349"/>
    </row>
    <row r="45" spans="1:7" s="206" customFormat="1" ht="13.5" customHeight="1">
      <c r="A45" s="247" t="s">
        <v>1547</v>
      </c>
      <c r="B45" s="236" t="s">
        <v>1513</v>
      </c>
      <c r="C45" s="237">
        <f ca="1">C46</f>
        <v>45513</v>
      </c>
      <c r="D45" s="227">
        <f ca="1">C47</f>
        <v>3.0000000000000001E-3</v>
      </c>
      <c r="E45" s="228" t="s">
        <v>1539</v>
      </c>
      <c r="F45" s="238">
        <f ca="1">F27</f>
        <v>0.15</v>
      </c>
      <c r="G45" s="239" t="s">
        <v>1548</v>
      </c>
    </row>
    <row r="46" spans="1:7" s="206" customFormat="1" ht="13.5" customHeight="1">
      <c r="A46" s="734" t="s">
        <v>346</v>
      </c>
      <c r="B46" s="240" t="s">
        <v>1549</v>
      </c>
      <c r="C46" s="241">
        <f ca="1">ROUND((C33+C39)*F27,0)</f>
        <v>45513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382974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268082</v>
      </c>
      <c r="D51" s="224"/>
      <c r="E51" s="224"/>
      <c r="F51" s="256"/>
      <c r="G51" s="226" t="s">
        <v>1560</v>
      </c>
    </row>
    <row r="52" spans="1:7" s="200" customFormat="1" ht="16.8" thickBot="1">
      <c r="A52" s="257" t="s">
        <v>1561</v>
      </c>
      <c r="B52" s="258"/>
      <c r="C52" s="259">
        <f ca="1">C31+C51</f>
        <v>323015</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R40" sqref="R40"/>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-190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3361</v>
      </c>
      <c r="E2" s="3139"/>
      <c r="F2" s="2597"/>
      <c r="G2" s="2598"/>
      <c r="H2" s="2599"/>
      <c r="I2" s="2600"/>
      <c r="J2" s="3355" t="s">
        <v>2319</v>
      </c>
      <c r="K2" s="3356"/>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57" t="s">
        <v>2329</v>
      </c>
      <c r="K3" s="3358"/>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57" t="s">
        <v>2331</v>
      </c>
      <c r="K4" s="3358"/>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59" t="s">
        <v>2335</v>
      </c>
      <c r="B6" s="3360"/>
      <c r="C6" s="3361"/>
      <c r="D6" s="2621"/>
      <c r="E6" s="2622"/>
      <c r="F6" s="2623"/>
      <c r="G6" s="2624"/>
      <c r="H6" s="2599"/>
      <c r="I6" s="2600"/>
      <c r="J6" s="3362">
        <v>1</v>
      </c>
      <c r="K6" s="3363"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62"/>
      <c r="K7" s="3364"/>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66" t="s">
        <v>2349</v>
      </c>
      <c r="C8" s="3367"/>
      <c r="D8" s="2640" t="s">
        <v>2350</v>
      </c>
      <c r="E8" s="2641" t="s">
        <v>2351</v>
      </c>
      <c r="F8" s="2642" t="s">
        <v>2352</v>
      </c>
      <c r="G8" s="2643"/>
      <c r="H8" s="2599"/>
      <c r="I8" s="2600"/>
      <c r="J8" s="3362"/>
      <c r="K8" s="3364"/>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66" t="s">
        <v>2355</v>
      </c>
      <c r="C9" s="3367"/>
      <c r="D9" s="2640">
        <f>ROUND(D6*E9,0)</f>
        <v>0</v>
      </c>
      <c r="E9" s="2644"/>
      <c r="F9" s="2645" t="s">
        <v>2356</v>
      </c>
      <c r="G9" s="2624"/>
      <c r="H9" s="2599"/>
      <c r="I9" s="2600"/>
      <c r="J9" s="3362"/>
      <c r="K9" s="3364"/>
      <c r="L9" s="2634" t="s">
        <v>2357</v>
      </c>
      <c r="M9" s="2635"/>
      <c r="N9" s="2611"/>
      <c r="O9" s="2636"/>
      <c r="P9" s="2636"/>
      <c r="Q9" s="2637">
        <v>365</v>
      </c>
      <c r="R9" s="2638">
        <f t="shared" si="0"/>
        <v>0</v>
      </c>
      <c r="S9" s="2592"/>
      <c r="T9" s="2592"/>
      <c r="U9" s="2592"/>
      <c r="V9" s="2600"/>
    </row>
    <row r="10" spans="1:22" s="2604" customFormat="1" ht="13.2" customHeight="1">
      <c r="A10" s="2639">
        <v>2</v>
      </c>
      <c r="B10" s="3366" t="s">
        <v>2358</v>
      </c>
      <c r="C10" s="3367"/>
      <c r="D10" s="2640">
        <f>ROUND(D6*E10,0)</f>
        <v>0</v>
      </c>
      <c r="E10" s="2644"/>
      <c r="F10" s="2645" t="s">
        <v>2359</v>
      </c>
      <c r="G10" s="2624"/>
      <c r="H10" s="2599"/>
      <c r="I10" s="2600"/>
      <c r="J10" s="3362"/>
      <c r="K10" s="3364"/>
      <c r="L10" s="2634" t="s">
        <v>2360</v>
      </c>
      <c r="M10" s="2635"/>
      <c r="N10" s="2611"/>
      <c r="O10" s="2636"/>
      <c r="P10" s="2636"/>
      <c r="Q10" s="2637">
        <v>365</v>
      </c>
      <c r="R10" s="2638">
        <f t="shared" si="0"/>
        <v>0</v>
      </c>
      <c r="S10" s="2592"/>
      <c r="T10" s="2592"/>
      <c r="U10" s="2592"/>
      <c r="V10" s="2600"/>
    </row>
    <row r="11" spans="1:22" s="2604" customFormat="1" ht="13.2" customHeight="1">
      <c r="A11" s="2639">
        <v>3</v>
      </c>
      <c r="B11" s="3366" t="s">
        <v>2361</v>
      </c>
      <c r="C11" s="3367"/>
      <c r="D11" s="2640">
        <f>D12+D14+D15+D16</f>
        <v>0</v>
      </c>
      <c r="E11" s="2646" t="e">
        <f>D11/D6</f>
        <v>#DIV/0!</v>
      </c>
      <c r="F11" s="2642"/>
      <c r="G11" s="2643"/>
      <c r="H11" s="2599"/>
      <c r="I11" s="2600"/>
      <c r="J11" s="3362"/>
      <c r="K11" s="3364"/>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68" t="s">
        <v>2364</v>
      </c>
      <c r="C12" s="3369"/>
      <c r="D12" s="2648">
        <f>ROUND(D13*1.2%*(1-30%),0)</f>
        <v>0</v>
      </c>
      <c r="E12" s="2649">
        <v>1.2E-2</v>
      </c>
      <c r="F12" s="2642" t="s">
        <v>2365</v>
      </c>
      <c r="G12" s="2643"/>
      <c r="H12" s="2599"/>
      <c r="I12" s="2600"/>
      <c r="J12" s="3362"/>
      <c r="K12" s="3364"/>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62"/>
      <c r="K13" s="3364"/>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68" t="s">
        <v>2370</v>
      </c>
      <c r="C14" s="3369"/>
      <c r="D14" s="2648">
        <f>ROUND(E14*B5/10000,0)</f>
        <v>0</v>
      </c>
      <c r="E14" s="2637"/>
      <c r="F14" s="2642" t="s">
        <v>2371</v>
      </c>
      <c r="G14" s="2643"/>
      <c r="H14" s="2599"/>
      <c r="I14" s="2600"/>
      <c r="J14" s="3362"/>
      <c r="K14" s="3365"/>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68" t="s">
        <v>2374</v>
      </c>
      <c r="C15" s="3369"/>
      <c r="D15" s="2648">
        <f>ROUND(D6*E15,0)</f>
        <v>0</v>
      </c>
      <c r="E15" s="2649">
        <v>5.5E-2</v>
      </c>
      <c r="F15" s="2642" t="s">
        <v>2375</v>
      </c>
      <c r="G15" s="2624"/>
      <c r="H15" s="2599"/>
      <c r="I15" s="2600"/>
      <c r="J15" s="3362">
        <v>2</v>
      </c>
      <c r="K15" s="3363"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68" t="s">
        <v>2383</v>
      </c>
      <c r="C16" s="3369"/>
      <c r="D16" s="2659">
        <f>D6*E16</f>
        <v>0</v>
      </c>
      <c r="E16" s="2660"/>
      <c r="F16" s="2645" t="s">
        <v>2384</v>
      </c>
      <c r="G16" s="2624"/>
      <c r="H16" s="2599"/>
      <c r="I16" s="2600"/>
      <c r="J16" s="3362"/>
      <c r="K16" s="3364"/>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70" t="s">
        <v>2386</v>
      </c>
      <c r="C17" s="3371"/>
      <c r="D17" s="2662">
        <f>ROUND(D6*E17,0)</f>
        <v>0</v>
      </c>
      <c r="E17" s="2663"/>
      <c r="F17" s="2664" t="s">
        <v>2387</v>
      </c>
      <c r="G17" s="2624"/>
      <c r="H17" s="2599"/>
      <c r="I17" s="2600"/>
      <c r="J17" s="3362"/>
      <c r="K17" s="3364"/>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62"/>
      <c r="K18" s="3364"/>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62"/>
      <c r="K19" s="3365"/>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2">
        <v>3</v>
      </c>
      <c r="K20" s="3363"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62"/>
      <c r="K21" s="3364"/>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62"/>
      <c r="K22" s="3364"/>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62"/>
      <c r="K23" s="3364"/>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62"/>
      <c r="K24" s="3365"/>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72">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7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55" t="s">
        <v>2319</v>
      </c>
      <c r="K32" s="3356"/>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57" t="s">
        <v>2329</v>
      </c>
      <c r="K33" s="3358"/>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57" t="s">
        <v>2331</v>
      </c>
      <c r="K34" s="335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62">
        <v>1</v>
      </c>
      <c r="K36" s="3363"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62"/>
      <c r="K37" s="3364"/>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2"/>
      <c r="K38" s="3364"/>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62"/>
      <c r="K39" s="3364"/>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62"/>
      <c r="K40" s="3365"/>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72">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7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105.3</v>
      </c>
      <c r="F2" s="2479"/>
      <c r="G2" s="459"/>
      <c r="H2" s="459"/>
      <c r="I2" s="459"/>
      <c r="J2" s="459"/>
      <c r="K2" s="459"/>
      <c r="L2" s="459"/>
      <c r="M2" s="459"/>
      <c r="N2" s="459"/>
      <c r="O2" s="459"/>
      <c r="P2" s="459"/>
      <c r="Q2" s="459"/>
      <c r="R2" s="459"/>
      <c r="S2" s="459"/>
    </row>
    <row r="3" spans="1:22" ht="15.6">
      <c r="A3" s="1728" t="s">
        <v>686</v>
      </c>
      <c r="B3" s="2387">
        <f ca="1">ROUND(B2*10000/E2,0)</f>
        <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4" t="s">
        <v>1654</v>
      </c>
      <c r="C5" s="337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0</v>
      </c>
      <c r="C6" s="1729" t="s">
        <v>1651</v>
      </c>
      <c r="D6" s="2479"/>
      <c r="E6" s="2392">
        <f>IF(OR(A6=0,F6="否"),0,'数据-取费表'!K6+'数据-取费表'!S6)</f>
        <v>105.3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381" t="s">
        <v>1668</v>
      </c>
      <c r="S4" s="3382"/>
      <c r="T4" s="3381" t="s">
        <v>1669</v>
      </c>
      <c r="U4" s="3382"/>
      <c r="V4" s="3406" t="s">
        <v>1670</v>
      </c>
      <c r="W4" s="3406"/>
      <c r="X4" s="1265"/>
      <c r="Y4" s="3381" t="s">
        <v>1672</v>
      </c>
      <c r="Z4" s="3382"/>
      <c r="AA4" s="3376" t="s">
        <v>1668</v>
      </c>
      <c r="AB4" s="3376" t="s">
        <v>1669</v>
      </c>
      <c r="AC4" s="3376" t="s">
        <v>1670</v>
      </c>
    </row>
    <row r="5" spans="1:29">
      <c r="A5" s="348"/>
      <c r="B5" s="349"/>
      <c r="C5" s="3387" t="s">
        <v>1673</v>
      </c>
      <c r="D5" s="3388"/>
      <c r="E5" s="3385" t="s">
        <v>1674</v>
      </c>
      <c r="F5" s="3386"/>
      <c r="G5" s="3387" t="s">
        <v>1675</v>
      </c>
      <c r="H5" s="3388"/>
      <c r="I5" s="3387" t="s">
        <v>1676</v>
      </c>
      <c r="J5" s="3388"/>
      <c r="K5" s="1745"/>
      <c r="L5" s="2486"/>
      <c r="M5" s="2487"/>
      <c r="N5" s="2487"/>
      <c r="O5" s="2487"/>
      <c r="P5" s="3400"/>
      <c r="Q5" s="3401"/>
      <c r="R5" s="3383"/>
      <c r="S5" s="3384"/>
      <c r="T5" s="3383"/>
      <c r="U5" s="3384"/>
      <c r="V5" s="3406"/>
      <c r="W5" s="3406"/>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1745" t="s">
        <v>1678</v>
      </c>
      <c r="L6" s="2486"/>
      <c r="M6" s="2487"/>
      <c r="N6" s="2487"/>
      <c r="O6" s="2487"/>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9" t="s">
        <v>1680</v>
      </c>
      <c r="Q7" s="3407"/>
      <c r="R7" s="664" t="s">
        <v>20</v>
      </c>
      <c r="S7" s="665">
        <f t="shared" ref="S7:S15" si="0">F7</f>
        <v>0</v>
      </c>
      <c r="T7" s="664" t="s">
        <v>20</v>
      </c>
      <c r="U7" s="665">
        <f t="shared" ref="U7:U15" si="1">H7</f>
        <v>0</v>
      </c>
      <c r="V7" s="664" t="s">
        <v>20</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9" t="s">
        <v>1683</v>
      </c>
      <c r="Q8" s="3380"/>
      <c r="R8" s="664" t="s">
        <v>20</v>
      </c>
      <c r="S8" s="665">
        <f t="shared" si="0"/>
        <v>100</v>
      </c>
      <c r="T8" s="664" t="s">
        <v>20</v>
      </c>
      <c r="U8" s="665">
        <f t="shared" si="1"/>
        <v>100</v>
      </c>
      <c r="V8" s="664" t="s">
        <v>20</v>
      </c>
      <c r="W8" s="665">
        <f t="shared" si="2"/>
        <v>100</v>
      </c>
      <c r="X8" s="666"/>
      <c r="Y8" s="3379" t="s">
        <v>1683</v>
      </c>
      <c r="Z8" s="338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4" t="s">
        <v>18</v>
      </c>
      <c r="S11" s="665" t="e">
        <f t="shared" si="0"/>
        <v>#N/A</v>
      </c>
      <c r="T11" s="664" t="s">
        <v>18</v>
      </c>
      <c r="U11" s="665" t="e">
        <f t="shared" si="1"/>
        <v>#N/A</v>
      </c>
      <c r="V11" s="664" t="s">
        <v>18</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3"/>
      <c r="Q12" s="530">
        <f t="shared" si="6"/>
        <v>111</v>
      </c>
      <c r="R12" s="664" t="s">
        <v>18</v>
      </c>
      <c r="S12" s="665">
        <f t="shared" si="0"/>
        <v>100</v>
      </c>
      <c r="T12" s="664" t="s">
        <v>18</v>
      </c>
      <c r="U12" s="665">
        <f t="shared" si="1"/>
        <v>100</v>
      </c>
      <c r="V12" s="664" t="s">
        <v>18</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32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1" t="str">
        <f>A47</f>
        <v>成交单价（元/平方米）</v>
      </c>
      <c r="Q47" s="3411"/>
      <c r="R47" s="3406">
        <f>E47</f>
        <v>0</v>
      </c>
      <c r="S47" s="3406"/>
      <c r="T47" s="3406">
        <f>G47</f>
        <v>0</v>
      </c>
      <c r="U47" s="3406"/>
      <c r="V47" s="3406">
        <f>I47</f>
        <v>0</v>
      </c>
      <c r="W47" s="340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1" t="str">
        <f>A48</f>
        <v>比较价值（元/平方米）</v>
      </c>
      <c r="Q48" s="3411"/>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Normal="70" zoomScaleSheetLayoutView="100" workbookViewId="0">
      <selection activeCell="B52" sqref="B5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3508</v>
      </c>
      <c r="F1" s="1735" t="s">
        <v>3507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9.3700000000000006E-2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v>
      </c>
      <c r="C3" s="344" t="s">
        <v>1768</v>
      </c>
      <c r="D3" s="343">
        <f>IF(D1="",'数据-汇总表'!E3,SUMIF('数据-汇总表'!$C19:$C33,D1,'数据-汇总表'!$E19:$E33))</f>
        <v>105.3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406" t="s">
        <v>1772</v>
      </c>
      <c r="AC4" s="3376" t="s">
        <v>1773</v>
      </c>
    </row>
    <row r="5" spans="1:29">
      <c r="A5" s="348"/>
      <c r="B5" s="349"/>
      <c r="C5" s="3422" t="str">
        <f>项目基本情况!F10</f>
        <v>崇文区西兴隆街88.90.92号</v>
      </c>
      <c r="D5" s="3388"/>
      <c r="E5" s="3421" t="s">
        <v>3425</v>
      </c>
      <c r="F5" s="3386"/>
      <c r="G5" s="3387" t="str">
        <f>E5</f>
        <v>前门大街</v>
      </c>
      <c r="H5" s="3388"/>
      <c r="I5" s="3423" t="s">
        <v>3506</v>
      </c>
      <c r="J5" s="3388"/>
      <c r="K5" s="537"/>
      <c r="L5" s="2486"/>
      <c r="M5" s="2487"/>
      <c r="N5" s="2487"/>
      <c r="O5" s="2487"/>
      <c r="P5" s="3400"/>
      <c r="Q5" s="3401"/>
      <c r="R5" s="3383"/>
      <c r="S5" s="3384"/>
      <c r="T5" s="3383"/>
      <c r="U5" s="3384"/>
      <c r="V5" s="3406"/>
      <c r="W5" s="3406"/>
      <c r="X5" s="1265"/>
      <c r="Y5" s="3383"/>
      <c r="Z5" s="3384"/>
      <c r="AA5" s="3377"/>
      <c r="AB5" s="3406"/>
      <c r="AC5" s="3377"/>
    </row>
    <row r="6" spans="1:29" ht="1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406"/>
      <c r="AC6" s="3378"/>
    </row>
    <row r="7" spans="1:29" s="102" customFormat="1" ht="15" thickBot="1">
      <c r="A7" s="352" t="s">
        <v>1679</v>
      </c>
      <c r="B7" s="353"/>
      <c r="C7" s="354">
        <f>'数据-取费表'!B2</f>
        <v>45629</v>
      </c>
      <c r="D7" s="355">
        <v>100</v>
      </c>
      <c r="E7" s="356">
        <f>C7</f>
        <v>45629</v>
      </c>
      <c r="F7" s="357">
        <f>SUMIF(58:58,YEAR(E7)&amp;"-"&amp;MONTH(E7),59:59)</f>
        <v>100</v>
      </c>
      <c r="G7" s="356">
        <f>C7</f>
        <v>45629</v>
      </c>
      <c r="H7" s="355">
        <f>SUMIF(58:58,YEAR(G7)&amp;"-"&amp;MONTH(G7),59:59)</f>
        <v>100</v>
      </c>
      <c r="I7" s="356">
        <f>C7</f>
        <v>45629</v>
      </c>
      <c r="J7" s="355">
        <f>SUMIF(58:58,YEAR(I7)&amp;"-"&amp;MONTH(I7),59:59)</f>
        <v>100</v>
      </c>
      <c r="K7" s="38"/>
      <c r="L7" s="2488"/>
      <c r="M7" s="2440"/>
      <c r="N7" s="2440"/>
      <c r="O7" s="2440"/>
      <c r="P7" s="3379" t="s">
        <v>1680</v>
      </c>
      <c r="Q7" s="3407"/>
      <c r="R7" s="664" t="s">
        <v>14</v>
      </c>
      <c r="S7" s="665">
        <f t="shared" ref="S7:S15" si="0">F7</f>
        <v>100</v>
      </c>
      <c r="T7" s="664" t="s">
        <v>14</v>
      </c>
      <c r="U7" s="665">
        <f t="shared" ref="U7:U15" si="1">H7</f>
        <v>100</v>
      </c>
      <c r="V7" s="664" t="s">
        <v>14</v>
      </c>
      <c r="W7" s="665">
        <f t="shared" ref="W7:W15" si="2">J7</f>
        <v>100</v>
      </c>
      <c r="X7" s="666"/>
      <c r="Y7" s="3379" t="s">
        <v>1680</v>
      </c>
      <c r="Z7" s="3380"/>
      <c r="AA7" s="50">
        <f>D7/F7</f>
        <v>1</v>
      </c>
      <c r="AB7" s="50">
        <f>D7/H7</f>
        <v>1</v>
      </c>
      <c r="AC7" s="50">
        <f>D7/J7</f>
        <v>1</v>
      </c>
    </row>
    <row r="8" spans="1:29" s="102" customFormat="1" ht="15" thickBot="1">
      <c r="A8" s="352" t="s">
        <v>1681</v>
      </c>
      <c r="B8" s="353"/>
      <c r="C8" s="358" t="s">
        <v>3426</v>
      </c>
      <c r="D8" s="355">
        <v>100</v>
      </c>
      <c r="E8" s="358" t="s">
        <v>3429</v>
      </c>
      <c r="F8" s="357">
        <f>SUMIF(61:61,E8,62:62)-SUMIF(61:61,C8,62:62)+100</f>
        <v>102</v>
      </c>
      <c r="G8" s="358" t="s">
        <v>3429</v>
      </c>
      <c r="H8" s="355">
        <f>SUMIF(61:61,G8,62:62)-SUMIF(61:61,C8,62:62)+100</f>
        <v>102</v>
      </c>
      <c r="I8" s="358" t="s">
        <v>3429</v>
      </c>
      <c r="J8" s="355">
        <f>SUMIF(61:61,I8,62:62)-SUMIF(61:61,C8,62:62)+100</f>
        <v>102</v>
      </c>
      <c r="K8" s="38"/>
      <c r="L8" s="2488"/>
      <c r="M8" s="2440"/>
      <c r="N8" s="2440"/>
      <c r="O8" s="2440"/>
      <c r="P8" s="3379" t="s">
        <v>1683</v>
      </c>
      <c r="Q8" s="3380"/>
      <c r="R8" s="664" t="s">
        <v>14</v>
      </c>
      <c r="S8" s="665">
        <f t="shared" si="0"/>
        <v>102</v>
      </c>
      <c r="T8" s="664" t="s">
        <v>14</v>
      </c>
      <c r="U8" s="665">
        <f t="shared" si="1"/>
        <v>102</v>
      </c>
      <c r="V8" s="664" t="s">
        <v>14</v>
      </c>
      <c r="W8" s="665">
        <f t="shared" si="2"/>
        <v>102</v>
      </c>
      <c r="X8" s="666"/>
      <c r="Y8" s="3379" t="s">
        <v>1683</v>
      </c>
      <c r="Z8" s="3380"/>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6"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104</v>
      </c>
      <c r="G15" s="383"/>
      <c r="H15" s="380">
        <f>SUMIF(76:76,G16,77:77)-SUMIF(76:76,C16,77:77)+100</f>
        <v>102</v>
      </c>
      <c r="I15" s="381"/>
      <c r="J15" s="380">
        <f>SUMIF(76:76,I16,77:77)-SUMIF(76:76,C16,77:77)+100</f>
        <v>104</v>
      </c>
      <c r="K15" s="540">
        <v>2</v>
      </c>
      <c r="L15" s="2492"/>
      <c r="M15" s="2487"/>
      <c r="N15" s="2487"/>
      <c r="O15" s="2487"/>
      <c r="P15" s="3419" t="s">
        <v>1691</v>
      </c>
      <c r="Q15" s="1263" t="str">
        <f t="shared" si="6"/>
        <v>商业繁华度</v>
      </c>
      <c r="R15" s="667" t="s">
        <v>14</v>
      </c>
      <c r="S15" s="668">
        <f t="shared" si="0"/>
        <v>104</v>
      </c>
      <c r="T15" s="667" t="s">
        <v>14</v>
      </c>
      <c r="U15" s="668">
        <f t="shared" si="1"/>
        <v>102</v>
      </c>
      <c r="V15" s="667" t="s">
        <v>14</v>
      </c>
      <c r="W15" s="668">
        <f t="shared" si="2"/>
        <v>104</v>
      </c>
      <c r="X15" s="1265"/>
      <c r="Y15" s="3412" t="s">
        <v>1691</v>
      </c>
      <c r="Z15" s="1264" t="str">
        <f t="shared" si="7"/>
        <v>商业繁华度</v>
      </c>
      <c r="AA15" s="1264">
        <f t="shared" si="3"/>
        <v>0.96153846153846156</v>
      </c>
      <c r="AB15" s="1264">
        <f t="shared" si="4"/>
        <v>0.98039215686274506</v>
      </c>
      <c r="AC15" s="1264">
        <f t="shared" si="5"/>
        <v>0.96153846153846156</v>
      </c>
    </row>
    <row r="16" spans="1:29" ht="15">
      <c r="A16" s="367"/>
      <c r="B16" s="385"/>
      <c r="C16" s="386" t="s">
        <v>3430</v>
      </c>
      <c r="D16" s="387"/>
      <c r="E16" s="386" t="s">
        <v>3432</v>
      </c>
      <c r="F16" s="388"/>
      <c r="G16" s="386" t="s">
        <v>3431</v>
      </c>
      <c r="H16" s="389"/>
      <c r="I16" s="386" t="s">
        <v>3432</v>
      </c>
      <c r="J16" s="387"/>
      <c r="K16" s="541"/>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6" t="s">
        <v>3431</v>
      </c>
      <c r="H18" s="387"/>
      <c r="I18" s="1757" t="s">
        <v>3431</v>
      </c>
      <c r="J18" s="387"/>
      <c r="K18" s="541"/>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t="s">
        <v>3431</v>
      </c>
      <c r="D20" s="387"/>
      <c r="E20" s="1752" t="s">
        <v>3431</v>
      </c>
      <c r="F20" s="388"/>
      <c r="G20" s="1751" t="s">
        <v>3431</v>
      </c>
      <c r="H20" s="387"/>
      <c r="I20" s="1752" t="s">
        <v>3431</v>
      </c>
      <c r="J20" s="387"/>
      <c r="K20" s="541"/>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t="s">
        <v>3433</v>
      </c>
      <c r="D22" s="387"/>
      <c r="E22" s="386" t="s">
        <v>3433</v>
      </c>
      <c r="F22" s="388"/>
      <c r="G22" s="386" t="s">
        <v>3433</v>
      </c>
      <c r="H22" s="387"/>
      <c r="I22" s="386" t="s">
        <v>3433</v>
      </c>
      <c r="J22" s="387"/>
      <c r="K22" s="1064"/>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1780</v>
      </c>
      <c r="C25" s="542" t="s">
        <v>3463</v>
      </c>
      <c r="D25" s="374">
        <v>100</v>
      </c>
      <c r="E25" s="542" t="s">
        <v>3464</v>
      </c>
      <c r="F25" s="400">
        <f>SUMIF(86:86,E25,87:87)-SUMIF(86:86,C25,87:87)+100</f>
        <v>95</v>
      </c>
      <c r="G25" s="542" t="s">
        <v>3464</v>
      </c>
      <c r="H25" s="374">
        <f>SUMIF(86:86,G25,87:87)-SUMIF(86:86,C25,87:87)+100</f>
        <v>95</v>
      </c>
      <c r="I25" s="542" t="s">
        <v>3464</v>
      </c>
      <c r="J25" s="374">
        <f>SUMIF(86:86,I25,87:87)-SUMIF(86:86,C25,87:87)+100</f>
        <v>95</v>
      </c>
      <c r="K25" s="538">
        <v>5</v>
      </c>
      <c r="L25" s="2492"/>
      <c r="M25" s="2487"/>
      <c r="N25" s="2487"/>
      <c r="O25" s="2487"/>
      <c r="P25" s="3420"/>
      <c r="Q25" s="1263" t="str">
        <f t="shared" ref="Q25:Q46" si="11">B25</f>
        <v>临街状况</v>
      </c>
      <c r="R25" s="667" t="s">
        <v>14</v>
      </c>
      <c r="S25" s="668">
        <f>F25</f>
        <v>95</v>
      </c>
      <c r="T25" s="667" t="s">
        <v>14</v>
      </c>
      <c r="U25" s="668">
        <f>H25</f>
        <v>95</v>
      </c>
      <c r="V25" s="667" t="s">
        <v>14</v>
      </c>
      <c r="W25" s="668">
        <f>J25</f>
        <v>95</v>
      </c>
      <c r="X25" s="1265"/>
      <c r="Y25" s="3413"/>
      <c r="Z25" s="1264" t="str">
        <f>Q25</f>
        <v>临街状况</v>
      </c>
      <c r="AA25" s="1264">
        <f t="shared" si="3"/>
        <v>1.0526315789473684</v>
      </c>
      <c r="AB25" s="1264">
        <f t="shared" si="4"/>
        <v>1.0526315789473684</v>
      </c>
      <c r="AC25" s="1264">
        <f t="shared" si="5"/>
        <v>1.0526315789473684</v>
      </c>
    </row>
    <row r="26" spans="1:29" ht="15">
      <c r="A26" s="367"/>
      <c r="B26" s="1066" t="s">
        <v>1781</v>
      </c>
      <c r="C26" s="3151" t="s">
        <v>3465</v>
      </c>
      <c r="D26" s="374">
        <v>100</v>
      </c>
      <c r="E26" s="3151" t="s">
        <v>3465</v>
      </c>
      <c r="F26" s="400">
        <f>SUMIF(88:88,E26,89:89)-SUMIF(88:88,C26,89:89)+100</f>
        <v>100</v>
      </c>
      <c r="G26" s="3151" t="s">
        <v>3465</v>
      </c>
      <c r="H26" s="374">
        <f>SUMIF(88:88,G26,89:89)-SUMIF(88:88,C26,89:89)+100</f>
        <v>100</v>
      </c>
      <c r="I26" s="3151" t="s">
        <v>3504</v>
      </c>
      <c r="J26" s="374">
        <f>SUMIF(88:88,I26,89:89)-SUMIF(88:88,C26,89:89)+100</f>
        <v>95</v>
      </c>
      <c r="K26" s="539"/>
      <c r="L26" s="2492"/>
      <c r="M26" s="2487"/>
      <c r="N26" s="2487"/>
      <c r="O26" s="2487"/>
      <c r="P26" s="3420"/>
      <c r="Q26" s="1263" t="str">
        <f t="shared" si="11"/>
        <v>平面位置/可视性</v>
      </c>
      <c r="R26" s="667" t="s">
        <v>14</v>
      </c>
      <c r="S26" s="668">
        <f>F26</f>
        <v>100</v>
      </c>
      <c r="T26" s="667" t="s">
        <v>14</v>
      </c>
      <c r="U26" s="668">
        <f>H26</f>
        <v>100</v>
      </c>
      <c r="V26" s="667" t="s">
        <v>14</v>
      </c>
      <c r="W26" s="668">
        <f>J26</f>
        <v>95</v>
      </c>
      <c r="X26" s="1265"/>
      <c r="Y26" s="3413"/>
      <c r="Z26" s="1264" t="str">
        <f>Q26</f>
        <v>平面位置/可视性</v>
      </c>
      <c r="AA26" s="1264">
        <f t="shared" si="3"/>
        <v>1</v>
      </c>
      <c r="AB26" s="1264">
        <f t="shared" si="4"/>
        <v>1</v>
      </c>
      <c r="AC26" s="1264">
        <f t="shared" si="5"/>
        <v>1.0526315789473684</v>
      </c>
    </row>
    <row r="27" spans="1:29" s="102" customFormat="1" ht="15">
      <c r="A27" s="370"/>
      <c r="B27" s="390" t="s">
        <v>1782</v>
      </c>
      <c r="C27" s="1807" t="s">
        <v>3430</v>
      </c>
      <c r="D27" s="401">
        <v>100</v>
      </c>
      <c r="E27" s="1807" t="s">
        <v>3467</v>
      </c>
      <c r="F27" s="395">
        <f>SUMIF(90:90,E27,91:91)-SUMIF(90:90,C27,91:91)+100</f>
        <v>110</v>
      </c>
      <c r="G27" s="1807" t="s">
        <v>3466</v>
      </c>
      <c r="H27" s="401">
        <f>SUMIF(90:90,G27,91:91)-SUMIF(90:90,C27,91:91)+100</f>
        <v>105</v>
      </c>
      <c r="I27" s="1807" t="s">
        <v>3466</v>
      </c>
      <c r="J27" s="401">
        <f>SUMIF(90:90,I27,91:91)-SUMIF(90:90,C27,91:91)+100</f>
        <v>105</v>
      </c>
      <c r="K27" s="538">
        <v>5</v>
      </c>
      <c r="L27" s="2488"/>
      <c r="M27" s="2440"/>
      <c r="N27" s="2440"/>
      <c r="O27" s="2440"/>
      <c r="P27" s="3420"/>
      <c r="Q27" s="530" t="str">
        <f t="shared" si="11"/>
        <v>人流量</v>
      </c>
      <c r="R27" s="664" t="s">
        <v>14</v>
      </c>
      <c r="S27" s="665">
        <f>F27</f>
        <v>110</v>
      </c>
      <c r="T27" s="664" t="s">
        <v>14</v>
      </c>
      <c r="U27" s="665">
        <f>H27</f>
        <v>105</v>
      </c>
      <c r="V27" s="664" t="s">
        <v>14</v>
      </c>
      <c r="W27" s="665">
        <f>J27</f>
        <v>105</v>
      </c>
      <c r="X27" s="666"/>
      <c r="Y27" s="3413"/>
      <c r="Z27" s="50" t="str">
        <f>Q27</f>
        <v>人流量</v>
      </c>
      <c r="AA27" s="1264">
        <f>D27/F27</f>
        <v>0.90909090909090906</v>
      </c>
      <c r="AB27" s="1264">
        <f>D27/H27</f>
        <v>0.95238095238095233</v>
      </c>
      <c r="AC27" s="1264">
        <f>D27/J27</f>
        <v>0.95238095238095233</v>
      </c>
    </row>
    <row r="28" spans="1:29" ht="27.6">
      <c r="A28" s="367"/>
      <c r="B28" s="364" t="s">
        <v>1783</v>
      </c>
      <c r="C28" s="542" t="s">
        <v>3468</v>
      </c>
      <c r="D28" s="374">
        <v>100</v>
      </c>
      <c r="E28" s="542" t="s">
        <v>3470</v>
      </c>
      <c r="F28" s="400">
        <f>SUMIF(92:92,E28,93:93)-SUMIF(92:92,C28,93:93)+100</f>
        <v>93</v>
      </c>
      <c r="G28" s="542" t="s">
        <v>3470</v>
      </c>
      <c r="H28" s="374">
        <f>SUMIF(92:92,G28,93:93)-SUMIF(92:92,C28,93:93)+100</f>
        <v>93</v>
      </c>
      <c r="I28" s="542" t="s">
        <v>3469</v>
      </c>
      <c r="J28" s="374">
        <f>SUMIF(92:92,I28,93:93)-SUMIF(92:92,C28,93:93)+100</f>
        <v>110</v>
      </c>
      <c r="K28" s="539"/>
      <c r="L28" s="2492"/>
      <c r="M28" s="2487"/>
      <c r="N28" s="2487"/>
      <c r="O28" s="2487"/>
      <c r="P28" s="3420"/>
      <c r="Q28" s="1263" t="str">
        <f t="shared" si="11"/>
        <v>楼层</v>
      </c>
      <c r="R28" s="667" t="s">
        <v>14</v>
      </c>
      <c r="S28" s="668">
        <f t="shared" ref="S28:S46" si="12">F28</f>
        <v>93</v>
      </c>
      <c r="T28" s="667" t="s">
        <v>14</v>
      </c>
      <c r="U28" s="668">
        <f t="shared" ref="U28:U46" si="13">H28</f>
        <v>93</v>
      </c>
      <c r="V28" s="667" t="s">
        <v>14</v>
      </c>
      <c r="W28" s="668">
        <f t="shared" ref="W28:W46" si="14">J28</f>
        <v>110</v>
      </c>
      <c r="X28" s="1265"/>
      <c r="Y28" s="3413"/>
      <c r="Z28" s="1264" t="str">
        <f t="shared" ref="Z28:Z46" si="15">Q28</f>
        <v>楼层</v>
      </c>
      <c r="AA28" s="1264">
        <f t="shared" si="3"/>
        <v>1.075268817204301</v>
      </c>
      <c r="AB28" s="1264">
        <f t="shared" si="4"/>
        <v>1.075268817204301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t="s">
        <v>3471</v>
      </c>
      <c r="D32" s="405">
        <v>100</v>
      </c>
      <c r="E32" s="1764" t="s">
        <v>3472</v>
      </c>
      <c r="F32" s="400">
        <f>SUMIF(100:100,E32,101:101)-SUMIF(100:100,C32,101:101)+100</f>
        <v>105</v>
      </c>
      <c r="G32" s="1764" t="s">
        <v>3471</v>
      </c>
      <c r="H32" s="374">
        <f>SUMIF(100:100,G32,101:101)-SUMIF(100:100,C32,101:101)+100</f>
        <v>100</v>
      </c>
      <c r="I32" s="1764" t="s">
        <v>3471</v>
      </c>
      <c r="J32" s="405">
        <f>SUMIF(100:100,I32,101:101)-SUMIF(100:100,C32,101:101)+100</f>
        <v>100</v>
      </c>
      <c r="K32" s="538">
        <v>5</v>
      </c>
      <c r="L32" s="2492"/>
      <c r="M32" s="2487"/>
      <c r="N32" s="2487"/>
      <c r="O32" s="2487"/>
      <c r="P32" s="3414" t="s">
        <v>1696</v>
      </c>
      <c r="Q32" s="1263" t="str">
        <f t="shared" si="11"/>
        <v>商业类型</v>
      </c>
      <c r="R32" s="667" t="s">
        <v>14</v>
      </c>
      <c r="S32" s="668">
        <f t="shared" si="12"/>
        <v>105</v>
      </c>
      <c r="T32" s="667" t="s">
        <v>14</v>
      </c>
      <c r="U32" s="668">
        <f t="shared" si="13"/>
        <v>100</v>
      </c>
      <c r="V32" s="667" t="s">
        <v>14</v>
      </c>
      <c r="W32" s="668">
        <f t="shared" si="14"/>
        <v>100</v>
      </c>
      <c r="X32" s="1265"/>
      <c r="Y32" s="3417" t="s">
        <v>1696</v>
      </c>
      <c r="Z32" s="1264" t="str">
        <f t="shared" si="15"/>
        <v>商业类型</v>
      </c>
      <c r="AA32" s="1264">
        <f t="shared" si="3"/>
        <v>0.95238095238095233</v>
      </c>
      <c r="AB32" s="1264">
        <f t="shared" si="4"/>
        <v>1</v>
      </c>
      <c r="AC32" s="1264">
        <f t="shared" si="5"/>
        <v>1</v>
      </c>
    </row>
    <row r="33" spans="1:29" s="408" customFormat="1" ht="15">
      <c r="A33" s="406"/>
      <c r="B33" s="364" t="s">
        <v>1697</v>
      </c>
      <c r="C33" s="407">
        <f>'数据-汇总表'!E19</f>
        <v>105.3</v>
      </c>
      <c r="D33" s="119">
        <v>100</v>
      </c>
      <c r="E33" s="369">
        <f>案例!M9</f>
        <v>211.52</v>
      </c>
      <c r="F33" s="364">
        <f>LOOKUP(E33,103:103,104:104)-LOOKUP(C33,103:103,104:104)+100</f>
        <v>96</v>
      </c>
      <c r="G33" s="368">
        <f>案例!M33</f>
        <v>400</v>
      </c>
      <c r="H33" s="119">
        <f>LOOKUP(G33,103:103,104:104)-LOOKUP(C33,103:103,104:104)+100</f>
        <v>92</v>
      </c>
      <c r="I33" s="368">
        <f>案例!M49</f>
        <v>129</v>
      </c>
      <c r="J33" s="119">
        <f>LOOKUP(I33,103:103,104:104)-LOOKUP(C33,103:103,104:104)+100</f>
        <v>100</v>
      </c>
      <c r="K33" s="539"/>
      <c r="L33" s="2491"/>
      <c r="M33" s="2493"/>
      <c r="N33" s="2493"/>
      <c r="O33" s="2493"/>
      <c r="P33" s="3415"/>
      <c r="Q33" s="531" t="str">
        <f t="shared" si="11"/>
        <v>项目建筑规模</v>
      </c>
      <c r="R33" s="669" t="s">
        <v>14</v>
      </c>
      <c r="S33" s="670">
        <f t="shared" si="12"/>
        <v>96</v>
      </c>
      <c r="T33" s="669" t="s">
        <v>14</v>
      </c>
      <c r="U33" s="670">
        <f t="shared" si="13"/>
        <v>92</v>
      </c>
      <c r="V33" s="669" t="s">
        <v>14</v>
      </c>
      <c r="W33" s="670">
        <f t="shared" si="14"/>
        <v>100</v>
      </c>
      <c r="X33" s="671"/>
      <c r="Y33" s="3417"/>
      <c r="Z33" s="672" t="str">
        <f t="shared" si="15"/>
        <v>项目建筑规模</v>
      </c>
      <c r="AA33" s="1264">
        <f t="shared" si="3"/>
        <v>1.0416666666666667</v>
      </c>
      <c r="AB33" s="1264">
        <f t="shared" si="4"/>
        <v>1.0869565217391304</v>
      </c>
      <c r="AC33" s="1264">
        <f t="shared" si="5"/>
        <v>1</v>
      </c>
    </row>
    <row r="34" spans="1:29" ht="15">
      <c r="A34" s="409"/>
      <c r="B34" s="364" t="s">
        <v>1698</v>
      </c>
      <c r="C34" s="399" t="s">
        <v>3473</v>
      </c>
      <c r="D34" s="374">
        <v>100</v>
      </c>
      <c r="E34" s="399" t="s">
        <v>3473</v>
      </c>
      <c r="F34" s="400">
        <f>SUMIF(105:105,E34,106:106)-SUMIF(105:105,C34,106:106)+100</f>
        <v>100</v>
      </c>
      <c r="G34" s="399" t="s">
        <v>3473</v>
      </c>
      <c r="H34" s="374">
        <f>SUMIF(105:105,G34,106:106)-SUMIF(105:105,C34,106:106)+100</f>
        <v>100</v>
      </c>
      <c r="I34" s="399" t="s">
        <v>3473</v>
      </c>
      <c r="J34" s="374">
        <f>SUMIF(105:105,I34,106:106)-SUMIF(105:105,C34,106:106)+100</f>
        <v>100</v>
      </c>
      <c r="K34" s="538">
        <v>2</v>
      </c>
      <c r="L34" s="2492"/>
      <c r="M34" s="2487"/>
      <c r="N34" s="2487"/>
      <c r="O34" s="2487"/>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2"/>
      <c r="M36" s="2487"/>
      <c r="N36" s="2487"/>
      <c r="O36" s="2487"/>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t="s">
        <v>3433</v>
      </c>
      <c r="D37" s="119">
        <v>100</v>
      </c>
      <c r="E37" s="1760" t="s">
        <v>3433</v>
      </c>
      <c r="F37" s="400">
        <f>SUMIF(112:112,E37,113:113)-SUMIF(112:112,C37,113:113)+100</f>
        <v>100</v>
      </c>
      <c r="G37" s="1760" t="s">
        <v>3434</v>
      </c>
      <c r="H37" s="374">
        <f>SUMIF(112:112,G37,113:113)-SUMIF(112:112,C37,113:113)+100</f>
        <v>99</v>
      </c>
      <c r="I37" s="1760" t="s">
        <v>3433</v>
      </c>
      <c r="J37" s="374">
        <f>SUMIF(112:112,I37,113:113)-SUMIF(112:112,C37,113:113)+100</f>
        <v>100</v>
      </c>
      <c r="K37" s="538">
        <v>1</v>
      </c>
      <c r="L37" s="2488"/>
      <c r="M37" s="2440"/>
      <c r="N37" s="2440"/>
      <c r="O37" s="2440"/>
      <c r="P37" s="3415"/>
      <c r="Q37" s="530" t="str">
        <f t="shared" si="11"/>
        <v>市政基础设施</v>
      </c>
      <c r="R37" s="664" t="s">
        <v>14</v>
      </c>
      <c r="S37" s="665">
        <f t="shared" si="12"/>
        <v>100</v>
      </c>
      <c r="T37" s="664" t="s">
        <v>14</v>
      </c>
      <c r="U37" s="665">
        <f t="shared" si="13"/>
        <v>99</v>
      </c>
      <c r="V37" s="664" t="s">
        <v>14</v>
      </c>
      <c r="W37" s="665">
        <f t="shared" si="14"/>
        <v>100</v>
      </c>
      <c r="X37" s="666"/>
      <c r="Y37" s="3417"/>
      <c r="Z37" s="50" t="str">
        <f t="shared" si="15"/>
        <v>市政基础设施</v>
      </c>
      <c r="AA37" s="50">
        <f t="shared" si="3"/>
        <v>1</v>
      </c>
      <c r="AB37" s="50">
        <f t="shared" si="4"/>
        <v>1.0101010101010102</v>
      </c>
      <c r="AC37" s="50">
        <f t="shared" si="5"/>
        <v>1</v>
      </c>
    </row>
    <row r="38" spans="1:29" ht="15">
      <c r="A38" s="409"/>
      <c r="B38" s="364" t="s">
        <v>1788</v>
      </c>
      <c r="C38" s="1760" t="s">
        <v>3396</v>
      </c>
      <c r="D38" s="374">
        <v>100</v>
      </c>
      <c r="E38" s="1760" t="s">
        <v>3396</v>
      </c>
      <c r="F38" s="400">
        <f>SUMIF(114:114,E38,115:115)-SUMIF(114:114,C38,115:115)+100</f>
        <v>100</v>
      </c>
      <c r="G38" s="1760" t="s">
        <v>3396</v>
      </c>
      <c r="H38" s="374">
        <f>SUMIF(114:114,G38,115:115)-SUMIF(114:114,C38,115:115)+100</f>
        <v>100</v>
      </c>
      <c r="I38" s="1760" t="s">
        <v>3396</v>
      </c>
      <c r="J38" s="374">
        <f>SUMIF(114:114,I38,115:115)-SUMIF(114:114,C38,115:115)+100</f>
        <v>100</v>
      </c>
      <c r="K38" s="538">
        <v>5</v>
      </c>
      <c r="L38" s="2492"/>
      <c r="M38" s="2487"/>
      <c r="N38" s="2487"/>
      <c r="O38" s="2487"/>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2"/>
      <c r="M39" s="2487"/>
      <c r="N39" s="2487"/>
      <c r="O39" s="2487"/>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t="s">
        <v>3475</v>
      </c>
      <c r="D42" s="374">
        <v>100</v>
      </c>
      <c r="E42" s="1760" t="s">
        <v>3474</v>
      </c>
      <c r="F42" s="400">
        <f>SUMIF(122:122,E42,123:123)-SUMIF(122:122,C42,123:123)+100</f>
        <v>98</v>
      </c>
      <c r="G42" s="1760" t="s">
        <v>3475</v>
      </c>
      <c r="H42" s="374">
        <f>SUMIF(122:122,G42,123:123)-SUMIF(122:122,C42,123:123)+100</f>
        <v>100</v>
      </c>
      <c r="I42" s="1760" t="s">
        <v>3475</v>
      </c>
      <c r="J42" s="374">
        <f>SUMIF(122:122,I42,123:123)-SUMIF(122:122,C42,123:123)+100</f>
        <v>100</v>
      </c>
      <c r="K42" s="538">
        <v>2</v>
      </c>
      <c r="L42" s="2492"/>
      <c r="M42" s="2487"/>
      <c r="N42" s="2487"/>
      <c r="O42" s="2487"/>
      <c r="P42" s="3415"/>
      <c r="Q42" s="1263" t="str">
        <f t="shared" si="11"/>
        <v>内部装修</v>
      </c>
      <c r="R42" s="667" t="s">
        <v>14</v>
      </c>
      <c r="S42" s="668">
        <f t="shared" si="12"/>
        <v>98</v>
      </c>
      <c r="T42" s="667" t="s">
        <v>14</v>
      </c>
      <c r="U42" s="668">
        <f t="shared" si="13"/>
        <v>100</v>
      </c>
      <c r="V42" s="667" t="s">
        <v>14</v>
      </c>
      <c r="W42" s="668">
        <f t="shared" si="14"/>
        <v>100</v>
      </c>
      <c r="X42" s="1265"/>
      <c r="Y42" s="3417"/>
      <c r="Z42" s="1264" t="str">
        <f t="shared" si="15"/>
        <v>内部装修</v>
      </c>
      <c r="AA42" s="1264">
        <f t="shared" si="3"/>
        <v>1.0204081632653061</v>
      </c>
      <c r="AB42" s="1264">
        <f t="shared" si="4"/>
        <v>1</v>
      </c>
      <c r="AC42" s="1264">
        <f t="shared" si="5"/>
        <v>1</v>
      </c>
    </row>
    <row r="43" spans="1:29" ht="28.8">
      <c r="A43" s="409"/>
      <c r="B43" s="364" t="s">
        <v>1707</v>
      </c>
      <c r="C43" s="1760" t="s">
        <v>3430</v>
      </c>
      <c r="D43" s="374">
        <v>100</v>
      </c>
      <c r="E43" s="1760" t="s">
        <v>3430</v>
      </c>
      <c r="F43" s="400">
        <f>SUMIF(124:124,E43,125:125)-SUMIF(124:124,C43,125:125)+100</f>
        <v>100</v>
      </c>
      <c r="G43" s="1760" t="s">
        <v>3431</v>
      </c>
      <c r="H43" s="374">
        <f>SUMIF(124:124,G43,125:125)-SUMIF(124:124,C43,125:125)+100</f>
        <v>102</v>
      </c>
      <c r="I43" s="1760" t="s">
        <v>3431</v>
      </c>
      <c r="J43" s="374">
        <f>SUMIF(124:124,I43,125:125)-SUMIF(124:124,C43,125:125)+100</f>
        <v>102</v>
      </c>
      <c r="K43" s="538">
        <v>2</v>
      </c>
      <c r="L43" s="2492"/>
      <c r="M43" s="2487"/>
      <c r="N43" s="2487"/>
      <c r="O43" s="2487"/>
      <c r="P43" s="3415"/>
      <c r="Q43" s="1263" t="str">
        <f t="shared" si="11"/>
        <v>内部装修维护情况</v>
      </c>
      <c r="R43" s="667" t="s">
        <v>14</v>
      </c>
      <c r="S43" s="668">
        <f t="shared" si="12"/>
        <v>100</v>
      </c>
      <c r="T43" s="667" t="s">
        <v>14</v>
      </c>
      <c r="U43" s="668">
        <f t="shared" si="13"/>
        <v>102</v>
      </c>
      <c r="V43" s="667" t="s">
        <v>14</v>
      </c>
      <c r="W43" s="668">
        <f t="shared" si="14"/>
        <v>102</v>
      </c>
      <c r="X43" s="1265"/>
      <c r="Y43" s="3417"/>
      <c r="Z43" s="1264" t="str">
        <f t="shared" si="15"/>
        <v>内部装修维护情况</v>
      </c>
      <c r="AA43" s="1264">
        <f t="shared" si="3"/>
        <v>1</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f>案例!M10</f>
        <v>9.6999999999999993</v>
      </c>
      <c r="F47" s="420"/>
      <c r="G47" s="421">
        <f>案例!M34</f>
        <v>8.33</v>
      </c>
      <c r="H47" s="422"/>
      <c r="I47" s="419">
        <f>案例!M50</f>
        <v>9.0399999999999991</v>
      </c>
      <c r="J47" s="422"/>
      <c r="K47" s="674"/>
      <c r="L47" s="2494"/>
      <c r="M47" s="2487"/>
      <c r="N47" s="2487"/>
      <c r="O47" s="2487"/>
      <c r="P47" s="3411" t="str">
        <f>A47</f>
        <v>成交单价（元/平方米）</v>
      </c>
      <c r="Q47" s="3411"/>
      <c r="R47" s="3406">
        <f>E47</f>
        <v>9.6999999999999993</v>
      </c>
      <c r="S47" s="3406"/>
      <c r="T47" s="3406">
        <f>G47</f>
        <v>8.33</v>
      </c>
      <c r="U47" s="3406"/>
      <c r="V47" s="3406">
        <f>I47</f>
        <v>9.0399999999999991</v>
      </c>
      <c r="W47" s="3406"/>
      <c r="X47" s="385"/>
      <c r="Y47" s="673"/>
      <c r="Z47" s="385"/>
      <c r="AA47" s="385"/>
      <c r="AB47" s="385"/>
      <c r="AC47" s="385"/>
    </row>
    <row r="48" spans="1:29" ht="15" thickBot="1">
      <c r="A48" s="423" t="s">
        <v>1793</v>
      </c>
      <c r="B48" s="424"/>
      <c r="C48" s="1082">
        <f>R49</f>
        <v>8.9</v>
      </c>
      <c r="D48" s="2141" t="s">
        <v>2138</v>
      </c>
      <c r="E48" s="1083">
        <f>R48</f>
        <v>9.5</v>
      </c>
      <c r="F48" s="2142"/>
      <c r="G48" s="1082">
        <f>T48</f>
        <v>9.3000000000000007</v>
      </c>
      <c r="H48" s="2142"/>
      <c r="I48" s="1083">
        <f>V48</f>
        <v>8</v>
      </c>
      <c r="J48" s="2142"/>
      <c r="K48" s="2144">
        <f>F48+H48+J48</f>
        <v>0</v>
      </c>
      <c r="L48" s="2494"/>
      <c r="M48" s="2487"/>
      <c r="N48" s="2487"/>
      <c r="O48" s="2487"/>
      <c r="P48" s="3411" t="str">
        <f>A48</f>
        <v>比较价值（元/平方米）</v>
      </c>
      <c r="Q48" s="3411"/>
      <c r="R48" s="3406">
        <f>IF(F1="售价",ROUND(PRODUCT(R47,AA7:AA46),0),ROUND(PRODUCT(R47,AA7:AA46),1))</f>
        <v>9.5</v>
      </c>
      <c r="S48" s="3406"/>
      <c r="T48" s="3406">
        <f>IF(F1="售价",ROUND(PRODUCT(T47,AB7:AB46),0),ROUND(PRODUCT(T47,AB7:AB46),1))</f>
        <v>9.3000000000000007</v>
      </c>
      <c r="U48" s="3406"/>
      <c r="V48" s="3406">
        <f>IF(F1="售价",ROUND(PRODUCT(V47,AC7:AC46),0),ROUND(PRODUCT(V47,AC7:AC46),1))</f>
        <v>8</v>
      </c>
      <c r="W48" s="3406"/>
      <c r="X48" s="385"/>
      <c r="Y48" s="385"/>
      <c r="Z48" s="385"/>
      <c r="AA48" s="385"/>
      <c r="AB48" s="385"/>
      <c r="AC48" s="385"/>
    </row>
    <row r="49" spans="1:29" ht="15" thickBot="1">
      <c r="A49" s="427" t="s">
        <v>1794</v>
      </c>
      <c r="B49" s="428"/>
      <c r="C49" s="351">
        <f>R49</f>
        <v>8.9</v>
      </c>
      <c r="D49" s="351"/>
      <c r="E49" s="351"/>
      <c r="F49" s="351"/>
      <c r="G49" s="351"/>
      <c r="H49" s="351"/>
      <c r="I49" s="351"/>
      <c r="J49" s="351"/>
      <c r="K49" s="675"/>
      <c r="L49" s="2494"/>
      <c r="M49" s="2487"/>
      <c r="N49" s="2487"/>
      <c r="O49" s="2487"/>
      <c r="P49" s="3408" t="str">
        <f>A49</f>
        <v>估价对象XX用房的比较价值（楼面单价，元/平方米）</v>
      </c>
      <c r="Q49" s="3409"/>
      <c r="R49" s="3410">
        <f>IF(F1="售价",ROUND(IF(D48="简单平均",AVERAGE(R48:V48),R48*F48+T48*H48+V48*J48),0),ROUND(IF(D48="简单平均",AVERAGE(R48:V48),R48*F48+T48*H48+V48*J48),1))</f>
        <v>8.9</v>
      </c>
      <c r="S49" s="3410"/>
      <c r="T49" s="3410"/>
      <c r="U49" s="3410"/>
      <c r="V49" s="3410"/>
      <c r="W49" s="3410"/>
      <c r="X49" s="385"/>
      <c r="Y49" s="385"/>
      <c r="Z49" s="385"/>
      <c r="AA49" s="385"/>
      <c r="AB49" s="385"/>
      <c r="AC49" s="385"/>
    </row>
    <row r="50" spans="1:29" ht="14.4">
      <c r="A50" s="2487"/>
      <c r="B50" s="3162" t="s">
        <v>3523</v>
      </c>
      <c r="C50" s="3163">
        <f>C48*D50</f>
        <v>8.01</v>
      </c>
      <c r="D50" s="2487">
        <v>0.9</v>
      </c>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ht="14.4">
      <c r="A51" s="2487"/>
      <c r="B51" s="3162" t="s">
        <v>3524</v>
      </c>
      <c r="C51" s="3163">
        <f>C48*D51</f>
        <v>9.7900000000000009</v>
      </c>
      <c r="D51" s="2487">
        <v>1.1000000000000001</v>
      </c>
      <c r="E51" s="2487"/>
      <c r="F51" s="2487"/>
      <c r="G51" s="3164" t="s">
        <v>3521</v>
      </c>
      <c r="H51" s="3163">
        <f>ROUND(C48*'数据-汇总表'!E19*365,0)</f>
        <v>342067</v>
      </c>
      <c r="I51" s="3164" t="s">
        <v>3522</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2.1052631578947212E-2</v>
      </c>
      <c r="F52" s="435" t="str">
        <f>IF(OR(E52&gt;=0.3,E52&lt;=-0.3),"超过30%","")</f>
        <v/>
      </c>
      <c r="G52" s="434">
        <f>IF(G47&lt;G48,G48/G47-1,G47/G48-1)</f>
        <v>0.11644657863145258</v>
      </c>
      <c r="H52" s="435" t="str">
        <f>IF(OR(G52&gt;=0.3,G52&lt;=-0.3),"超过30%","")</f>
        <v/>
      </c>
      <c r="I52" s="434">
        <f>IF(I47&lt;I48,I48/I47-1,I47/I48-1)</f>
        <v>0.12999999999999989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2.1505376344086002E-2</v>
      </c>
      <c r="F53" s="435" t="str">
        <f>IF(OR(E53&gt;=0.2,E53&lt;=-0.2),"超过20%","")</f>
        <v/>
      </c>
      <c r="G53" s="434">
        <f>IF(G48&lt;I48,I48/G48-1,G48/I48-1)</f>
        <v>0.16250000000000009</v>
      </c>
      <c r="H53" s="435" t="str">
        <f>IF(OR(G53&gt;=0.2,G53&lt;=-0.2),"超过20%","")</f>
        <v/>
      </c>
      <c r="I53" s="434">
        <f>IF(I48&lt;E48,E48/I48-1,I48/E48-1)</f>
        <v>0.1875</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0.1644657863145258</v>
      </c>
      <c r="F54" s="435" t="str">
        <f>IF(OR(E54&gt;=0.3,E54&lt;=-0.3),"超过30%","")</f>
        <v/>
      </c>
      <c r="G54" s="434">
        <f>IF(G47&lt;I47,I47/G47-1,G47/I47-1)</f>
        <v>8.5234093637454933E-2</v>
      </c>
      <c r="H54" s="435" t="str">
        <f>IF(OR(G54&gt;=0.3,G54&lt;=-0.3),"超过30%","")</f>
        <v/>
      </c>
      <c r="I54" s="434">
        <f>IF(I47&lt;E47,E47/I47-1,I47/E47-1)</f>
        <v>7.3008849557522071E-2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45" t="s">
        <v>3427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47" t="s">
        <v>3435</v>
      </c>
      <c r="D86" s="3147" t="s">
        <v>3436</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47" t="s">
        <v>3437</v>
      </c>
      <c r="D88" s="3147" t="s">
        <v>3438</v>
      </c>
      <c r="E88" s="3147" t="s">
        <v>3439</v>
      </c>
      <c r="F88" s="3148" t="s">
        <v>3440</v>
      </c>
      <c r="G88" s="3147"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47" t="s">
        <v>3442</v>
      </c>
      <c r="D90" s="3147" t="s">
        <v>3443</v>
      </c>
      <c r="E90" s="3147" t="s">
        <v>3439</v>
      </c>
      <c r="F90" s="3147" t="s">
        <v>3444</v>
      </c>
      <c r="G90" s="3147"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29.4" thickTop="1">
      <c r="A92" s="367"/>
      <c r="B92" s="469" t="str">
        <f>B28</f>
        <v>楼层</v>
      </c>
      <c r="C92" s="485" t="s">
        <v>3446</v>
      </c>
      <c r="D92" s="485" t="s">
        <v>3447</v>
      </c>
      <c r="E92" s="485" t="s">
        <v>3448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f>案例!T16</f>
        <v>110</v>
      </c>
      <c r="D93" s="467">
        <f>案例!T19</f>
        <v>93</v>
      </c>
      <c r="E93" s="467">
        <f>案例!T21</f>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49" t="s">
        <v>3449</v>
      </c>
      <c r="D100" s="3149" t="s">
        <v>3450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250(含)-300</v>
      </c>
      <c r="I102" s="509" t="str">
        <f t="shared" si="24"/>
        <v>300(含)-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v>300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47" t="s">
        <v>3451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47" t="s">
        <v>3452</v>
      </c>
      <c r="D112" s="3147" t="s">
        <v>3453</v>
      </c>
      <c r="E112" s="3147" t="s">
        <v>3454</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3455</v>
      </c>
      <c r="D114" s="3147" t="s">
        <v>3456</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3458</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3459</v>
      </c>
      <c r="D122" s="3147" t="s">
        <v>3460</v>
      </c>
      <c r="E122" s="3147" t="s">
        <v>3461</v>
      </c>
      <c r="F122" s="3150" t="s">
        <v>3462</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430" t="s">
        <v>1775</v>
      </c>
      <c r="Q4" s="3431"/>
      <c r="R4" s="3425" t="s">
        <v>1771</v>
      </c>
      <c r="S4" s="3426"/>
      <c r="T4" s="3425" t="s">
        <v>1772</v>
      </c>
      <c r="U4" s="3426"/>
      <c r="V4" s="3434" t="s">
        <v>1773</v>
      </c>
      <c r="W4" s="3434"/>
      <c r="X4" s="1809"/>
      <c r="Y4" s="3425" t="s">
        <v>1775</v>
      </c>
      <c r="Z4" s="3426"/>
      <c r="AA4" s="3424" t="s">
        <v>1771</v>
      </c>
      <c r="AB4" s="3424" t="s">
        <v>1772</v>
      </c>
      <c r="AC4" s="3427" t="s">
        <v>1773</v>
      </c>
    </row>
    <row r="5" spans="1:29">
      <c r="A5" s="348"/>
      <c r="B5" s="349"/>
      <c r="C5" s="3387" t="s">
        <v>1673</v>
      </c>
      <c r="D5" s="3388"/>
      <c r="E5" s="3385" t="s">
        <v>1674</v>
      </c>
      <c r="F5" s="3386"/>
      <c r="G5" s="3387" t="s">
        <v>1675</v>
      </c>
      <c r="H5" s="3388"/>
      <c r="I5" s="3387" t="s">
        <v>1676</v>
      </c>
      <c r="J5" s="3388"/>
      <c r="K5" s="537"/>
      <c r="L5" s="2486"/>
      <c r="M5" s="2487"/>
      <c r="N5" s="2487"/>
      <c r="O5" s="2487"/>
      <c r="P5" s="3432"/>
      <c r="Q5" s="3401"/>
      <c r="R5" s="3383"/>
      <c r="S5" s="3384"/>
      <c r="T5" s="3383"/>
      <c r="U5" s="3384"/>
      <c r="V5" s="3406"/>
      <c r="W5" s="3406"/>
      <c r="X5" s="1265"/>
      <c r="Y5" s="3383"/>
      <c r="Z5" s="3384"/>
      <c r="AA5" s="3377"/>
      <c r="AB5" s="3377"/>
      <c r="AC5" s="3428"/>
    </row>
    <row r="6" spans="1:29" ht="15" thickBot="1">
      <c r="A6" s="350"/>
      <c r="B6" s="351"/>
      <c r="C6" s="3389" t="s">
        <v>1677</v>
      </c>
      <c r="D6" s="3390"/>
      <c r="E6" s="3391" t="s">
        <v>1677</v>
      </c>
      <c r="F6" s="3392"/>
      <c r="G6" s="3389" t="s">
        <v>1677</v>
      </c>
      <c r="H6" s="3390"/>
      <c r="I6" s="3389" t="s">
        <v>1677</v>
      </c>
      <c r="J6" s="3390"/>
      <c r="K6" s="537" t="s">
        <v>1678</v>
      </c>
      <c r="L6" s="2486"/>
      <c r="M6" s="2487"/>
      <c r="N6" s="2487"/>
      <c r="O6" s="2487"/>
      <c r="P6" s="3433"/>
      <c r="Q6" s="3403"/>
      <c r="R6" s="3383"/>
      <c r="S6" s="3384"/>
      <c r="T6" s="3404"/>
      <c r="U6" s="3405"/>
      <c r="V6" s="3406"/>
      <c r="W6" s="3406"/>
      <c r="X6" s="1265"/>
      <c r="Y6" s="3404"/>
      <c r="Z6" s="3405"/>
      <c r="AA6" s="3378"/>
      <c r="AB6" s="3378"/>
      <c r="AC6" s="3429"/>
    </row>
    <row r="7" spans="1:29" s="102" customFormat="1" ht="1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5"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5" t="s">
        <v>1683</v>
      </c>
      <c r="Q8" s="3380"/>
      <c r="R8" s="664" t="s">
        <v>14</v>
      </c>
      <c r="S8" s="665">
        <f t="shared" si="0"/>
        <v>100</v>
      </c>
      <c r="T8" s="664" t="s">
        <v>14</v>
      </c>
      <c r="U8" s="665">
        <f t="shared" si="1"/>
        <v>100</v>
      </c>
      <c r="V8" s="664" t="s">
        <v>14</v>
      </c>
      <c r="W8" s="665">
        <f t="shared" si="2"/>
        <v>100</v>
      </c>
      <c r="X8" s="666"/>
      <c r="Y8" s="3379" t="s">
        <v>1683</v>
      </c>
      <c r="Z8" s="338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0"/>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3" t="str">
        <f>A48</f>
        <v>成交单价（元/平方米）</v>
      </c>
      <c r="Q48" s="3411"/>
      <c r="R48" s="3406">
        <f>E48</f>
        <v>0</v>
      </c>
      <c r="S48" s="3406"/>
      <c r="T48" s="3406">
        <f>G48</f>
        <v>0</v>
      </c>
      <c r="U48" s="3406"/>
      <c r="V48" s="3406">
        <f>I48</f>
        <v>0</v>
      </c>
      <c r="W48" s="340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3" t="str">
        <f>A49</f>
        <v>比较价值（元/平方米）</v>
      </c>
      <c r="Q49" s="341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c r="A5" s="348"/>
      <c r="B5" s="349"/>
      <c r="C5" s="3387" t="s">
        <v>1673</v>
      </c>
      <c r="D5" s="3388"/>
      <c r="E5" s="3385" t="s">
        <v>1674</v>
      </c>
      <c r="F5" s="3386"/>
      <c r="G5" s="3387" t="s">
        <v>1675</v>
      </c>
      <c r="H5" s="3388"/>
      <c r="I5" s="3387" t="s">
        <v>1676</v>
      </c>
      <c r="J5" s="3388"/>
      <c r="K5" s="537"/>
      <c r="L5" s="860"/>
      <c r="M5" s="861"/>
      <c r="N5" s="861"/>
      <c r="O5" s="861"/>
      <c r="P5" s="3400"/>
      <c r="Q5" s="3401"/>
      <c r="R5" s="3383"/>
      <c r="S5" s="3384"/>
      <c r="T5" s="3383"/>
      <c r="U5" s="3384"/>
      <c r="V5" s="3406"/>
      <c r="W5" s="3406"/>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860"/>
      <c r="M6" s="861"/>
      <c r="N6" s="861"/>
      <c r="O6" s="861"/>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80"/>
      <c r="R8" s="664" t="s">
        <v>14</v>
      </c>
      <c r="S8" s="665">
        <f t="shared" si="0"/>
        <v>100</v>
      </c>
      <c r="T8" s="664" t="s">
        <v>14</v>
      </c>
      <c r="U8" s="665">
        <f t="shared" si="1"/>
        <v>100</v>
      </c>
      <c r="V8" s="664" t="s">
        <v>14</v>
      </c>
      <c r="W8" s="665">
        <f t="shared" si="2"/>
        <v>100</v>
      </c>
      <c r="X8" s="666"/>
      <c r="Y8" s="3379" t="s">
        <v>1683</v>
      </c>
      <c r="Z8" s="338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9" t="s">
        <v>1680</v>
      </c>
      <c r="Q7" s="3407"/>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9" t="s">
        <v>1683</v>
      </c>
      <c r="Q8" s="3380"/>
      <c r="R8" s="664" t="s">
        <v>14</v>
      </c>
      <c r="S8" s="665">
        <f t="shared" si="0"/>
        <v>100</v>
      </c>
      <c r="T8" s="664" t="s">
        <v>14</v>
      </c>
      <c r="U8" s="665">
        <f t="shared" si="1"/>
        <v>100</v>
      </c>
      <c r="V8" s="664" t="s">
        <v>14</v>
      </c>
      <c r="W8" s="665">
        <f t="shared" si="2"/>
        <v>100</v>
      </c>
      <c r="X8" s="666"/>
      <c r="Y8" s="3379" t="s">
        <v>1683</v>
      </c>
      <c r="Z8" s="338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1"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1"/>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4"/>
      <c r="M37" s="2487"/>
      <c r="N37" s="2487"/>
      <c r="O37" s="2487"/>
      <c r="P37" s="3411" t="str">
        <f>A37</f>
        <v>成交单价</v>
      </c>
      <c r="Q37" s="3411"/>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1" t="str">
        <f>A38</f>
        <v>比较价值（元/平方米）</v>
      </c>
      <c r="Q38" s="341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受贵公司委托，我公司对北京市崇文区西兴隆街88.90.92号进行了预评估。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估价对象为北京市崇文区西兴隆街88.90.92号房地产，为所有。根据《国有土地使用证》[]，估价对象（分摊）出让国有建设用地使用权面积为0平方米，建筑面积为105.3平方米。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西兴隆街88.90.92号房地产,属开发建设的商业项目，该项目尚在开发建设中。根据《国有土地使用证》[]，估价对象（分摊）出让国有建设用地使用权面积为0平方米，规划建筑面积为105.3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2024年12月3日（评估专业人员实地查勘之日）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9" t="s">
        <v>1680</v>
      </c>
      <c r="Q7" s="3407"/>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9" t="s">
        <v>1683</v>
      </c>
      <c r="Q8" s="3380"/>
      <c r="R8" s="664" t="s">
        <v>14</v>
      </c>
      <c r="S8" s="665">
        <f t="shared" si="0"/>
        <v>100</v>
      </c>
      <c r="T8" s="664" t="s">
        <v>14</v>
      </c>
      <c r="U8" s="665">
        <f t="shared" si="1"/>
        <v>100</v>
      </c>
      <c r="V8" s="664" t="s">
        <v>14</v>
      </c>
      <c r="W8" s="665">
        <f t="shared" si="2"/>
        <v>100</v>
      </c>
      <c r="X8" s="666"/>
      <c r="Y8" s="3379" t="s">
        <v>1683</v>
      </c>
      <c r="Z8" s="338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1"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1"/>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1" t="str">
        <f>A35</f>
        <v>成交单价（元/平方米）</v>
      </c>
      <c r="Q35" s="3411"/>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1" t="str">
        <f>A36</f>
        <v>比较价值（元/平方米）</v>
      </c>
      <c r="Q36" s="341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9" t="s">
        <v>1683</v>
      </c>
      <c r="Q8" s="3380"/>
      <c r="R8" s="664" t="s">
        <v>14</v>
      </c>
      <c r="S8" s="665">
        <f t="shared" si="0"/>
        <v>0</v>
      </c>
      <c r="T8" s="664" t="s">
        <v>14</v>
      </c>
      <c r="U8" s="665">
        <f t="shared" si="1"/>
        <v>0</v>
      </c>
      <c r="V8" s="664" t="s">
        <v>14</v>
      </c>
      <c r="W8" s="665">
        <f t="shared" si="2"/>
        <v>0</v>
      </c>
      <c r="X8" s="666"/>
      <c r="Y8" s="3379" t="s">
        <v>1683</v>
      </c>
      <c r="Z8" s="338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1"/>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1"/>
      <c r="Q12" s="530" t="str">
        <f t="shared" si="6"/>
        <v>配建</v>
      </c>
      <c r="R12" s="664" t="s">
        <v>14</v>
      </c>
      <c r="S12" s="665">
        <f t="shared" si="0"/>
        <v>100</v>
      </c>
      <c r="T12" s="664" t="s">
        <v>14</v>
      </c>
      <c r="U12" s="665">
        <f t="shared" si="1"/>
        <v>100</v>
      </c>
      <c r="V12" s="664" t="s">
        <v>14</v>
      </c>
      <c r="W12" s="665">
        <f t="shared" si="2"/>
        <v>100</v>
      </c>
      <c r="X12" s="666"/>
      <c r="Y12" s="33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9"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1" t="str">
        <f>A46</f>
        <v>成交单价</v>
      </c>
      <c r="Q46" s="3411"/>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1" t="str">
        <f>A47</f>
        <v>比较价值（元/平方米）</v>
      </c>
      <c r="Q47" s="3411"/>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8" t="str">
        <f>A48</f>
        <v>估价对象XX用房的比较价值（楼面单价，元/平方米）</v>
      </c>
      <c r="Q48" s="3409"/>
      <c r="R48" s="3442" t="e">
        <f>ROUND(IF(D47="简单平均",AVERAGE(R47:W47),R47*F47+T47*H47+V47*J47),0)</f>
        <v>#DIV/0!</v>
      </c>
      <c r="S48" s="3442"/>
      <c r="T48" s="3442"/>
      <c r="U48" s="3442"/>
      <c r="V48" s="3442"/>
      <c r="W48" s="344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4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105.3</v>
      </c>
      <c r="F56" s="833" t="e">
        <f t="shared" ref="F56:F64" si="15">ROUND(B56*E56/10000,0)</f>
        <v>#DIV/0!</v>
      </c>
      <c r="G56" s="3393"/>
      <c r="H56" s="34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 thickBot="1">
      <c r="A6" s="350"/>
      <c r="B6" s="351"/>
      <c r="C6" s="3444" t="s">
        <v>1919</v>
      </c>
      <c r="D6" s="3445"/>
      <c r="E6" s="3446" t="s">
        <v>1919</v>
      </c>
      <c r="F6" s="3447"/>
      <c r="G6" s="3444" t="s">
        <v>1919</v>
      </c>
      <c r="H6" s="3445"/>
      <c r="I6" s="3444" t="s">
        <v>1919</v>
      </c>
      <c r="J6" s="3445"/>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9" t="s">
        <v>1683</v>
      </c>
      <c r="Q8" s="3380"/>
      <c r="R8" s="664" t="s">
        <v>14</v>
      </c>
      <c r="S8" s="665">
        <f t="shared" si="0"/>
        <v>0</v>
      </c>
      <c r="T8" s="664" t="s">
        <v>14</v>
      </c>
      <c r="U8" s="665">
        <f t="shared" si="1"/>
        <v>0</v>
      </c>
      <c r="V8" s="664" t="s">
        <v>14</v>
      </c>
      <c r="W8" s="665">
        <f t="shared" si="2"/>
        <v>0</v>
      </c>
      <c r="X8" s="666"/>
      <c r="Y8" s="3379" t="s">
        <v>1683</v>
      </c>
      <c r="Z8" s="338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1"/>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9"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1" t="str">
        <f>A41</f>
        <v>成交单价</v>
      </c>
      <c r="Q41" s="3411"/>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1" t="str">
        <f>A42</f>
        <v>比较价值（元/平方米）</v>
      </c>
      <c r="Q42" s="3411"/>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8" t="str">
        <f>A43</f>
        <v>估价对象XX用房的比较价值（楼面单价，元/平方米）</v>
      </c>
      <c r="Q43" s="3409"/>
      <c r="R43" s="3442" t="e">
        <f>ROUND(IF(D42="简单平均",AVERAGE(R42:W42),R42*F42+T42*H42+V42*J42),0)</f>
        <v>#DIV/0!</v>
      </c>
      <c r="S43" s="3442"/>
      <c r="T43" s="3442"/>
      <c r="U43" s="3442"/>
      <c r="V43" s="3442"/>
      <c r="W43" s="344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4" t="s">
        <v>1887</v>
      </c>
      <c r="H50" s="344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105.3</v>
      </c>
      <c r="F51" s="611" t="e">
        <f t="shared" ref="F51:F60" si="15">ROUND(B51*E51/10000,0)</f>
        <v>#DIV/0!</v>
      </c>
      <c r="G51" s="3393"/>
      <c r="H51" s="34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0"/>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3250</v>
      </c>
      <c r="E18" s="2357"/>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5" t="s">
        <v>3256</v>
      </c>
      <c r="B20" s="159" t="s">
        <v>1994</v>
      </c>
      <c r="C20" s="3031" t="e">
        <f>ROUND(IF(F21="与级别开发程度一致",0,(G21-E21)/C21),0)</f>
        <v>#DIV/0!</v>
      </c>
      <c r="D20" s="3046" t="s">
        <v>1998</v>
      </c>
      <c r="E20" s="3047"/>
      <c r="F20" s="3471" t="s">
        <v>1995</v>
      </c>
      <c r="G20" s="34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45629</v>
      </c>
      <c r="H23" s="3048" t="s">
        <v>3258</v>
      </c>
      <c r="I23" s="3049" t="str">
        <f>IF(H23="季度增幅（自定义）",SUMIF(N25:N28,E2,O25:O28),"")</f>
        <v/>
      </c>
      <c r="J23" s="3141" t="s">
        <v>3257</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10"/>
      <c r="C92" s="2310" t="s">
        <v>3282</v>
      </c>
      <c r="D92" s="2310" t="s">
        <v>3283</v>
      </c>
      <c r="E92" s="3052" t="s">
        <v>3284</v>
      </c>
      <c r="F92" s="3082" t="s">
        <v>3285</v>
      </c>
      <c r="G92" s="2310" t="s">
        <v>3286</v>
      </c>
      <c r="H92" s="3089" t="s">
        <v>3289</v>
      </c>
      <c r="I92" s="2310" t="s">
        <v>3290</v>
      </c>
      <c r="J92" s="2150" t="s">
        <v>3291</v>
      </c>
      <c r="K92" s="2150" t="s">
        <v>3292</v>
      </c>
      <c r="L92" s="2150" t="s">
        <v>3293</v>
      </c>
      <c r="M92" s="2150" t="s">
        <v>3294</v>
      </c>
      <c r="N92" s="2150" t="s">
        <v>3295</v>
      </c>
    </row>
    <row r="93" spans="1:37" ht="24">
      <c r="A93" s="3070" t="s">
        <v>3274</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3275</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3271</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3276</v>
      </c>
      <c r="B96" s="3086" t="s">
        <v>3287</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3278</v>
      </c>
      <c r="B98" s="3087" t="s">
        <v>3288</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3279</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3280</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3281</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7" t="s">
        <v>3296</v>
      </c>
      <c r="B103" s="3467"/>
      <c r="C103" s="3467"/>
      <c r="D103" s="3467"/>
      <c r="E103" s="3467"/>
      <c r="F103" s="3467"/>
      <c r="G103" s="3467"/>
      <c r="H103" s="3467"/>
      <c r="I103" s="3467"/>
      <c r="J103" s="3467"/>
      <c r="K103" s="1667"/>
      <c r="L103" s="1667"/>
      <c r="M103" s="1667"/>
      <c r="N103" s="1667"/>
    </row>
    <row r="104" spans="1:14">
      <c r="A104" s="3468" t="s">
        <v>3297</v>
      </c>
      <c r="B104" s="3468" t="s">
        <v>3298</v>
      </c>
      <c r="C104" s="3090" t="s">
        <v>3299</v>
      </c>
      <c r="D104" s="3091"/>
      <c r="E104" s="3091"/>
      <c r="F104" s="3091"/>
      <c r="G104" s="3091"/>
      <c r="H104" s="3091"/>
      <c r="I104" s="3091"/>
      <c r="J104" s="3092"/>
      <c r="K104" s="3093"/>
      <c r="L104" s="3093"/>
      <c r="M104" s="3093"/>
      <c r="N104" s="3093"/>
    </row>
    <row r="105" spans="1:14">
      <c r="A105" s="3468"/>
      <c r="B105" s="3468"/>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4"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5"/>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7" t="s">
        <v>3313</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0" t="s">
        <v>2609</v>
      </c>
      <c r="B20" s="3473" t="s">
        <v>2630</v>
      </c>
      <c r="C20" s="2842" t="s">
        <v>2441</v>
      </c>
      <c r="D20" s="2843"/>
      <c r="E20" s="2844">
        <v>1</v>
      </c>
      <c r="F20" s="2845" t="s">
        <v>2442</v>
      </c>
      <c r="G20" s="2845"/>
    </row>
    <row r="21" spans="1:13" ht="19.5" customHeight="1">
      <c r="A21" s="3481"/>
      <c r="B21" s="3474"/>
      <c r="C21" s="2846" t="s">
        <v>2443</v>
      </c>
      <c r="D21" s="2847"/>
      <c r="E21" s="2848">
        <v>1</v>
      </c>
      <c r="F21" s="2845" t="s">
        <v>2444</v>
      </c>
      <c r="G21" s="2845"/>
    </row>
    <row r="22" spans="1:13" ht="19.5" customHeight="1">
      <c r="A22" s="3481"/>
      <c r="B22" s="3474"/>
      <c r="C22" s="2846" t="s">
        <v>2445</v>
      </c>
      <c r="D22" s="2847"/>
      <c r="E22" s="2848">
        <v>0.9</v>
      </c>
      <c r="F22" s="2845" t="s">
        <v>2446</v>
      </c>
      <c r="G22" s="2845"/>
    </row>
    <row r="23" spans="1:13" ht="19.5" customHeight="1">
      <c r="A23" s="3481"/>
      <c r="B23" s="3474"/>
      <c r="C23" s="2846" t="s">
        <v>2447</v>
      </c>
      <c r="D23" s="2847"/>
      <c r="E23" s="2848">
        <v>0.9</v>
      </c>
      <c r="F23" s="2845" t="s">
        <v>2448</v>
      </c>
      <c r="G23" s="2845"/>
    </row>
    <row r="24" spans="1:13" ht="19.5" customHeight="1">
      <c r="A24" s="3481"/>
      <c r="B24" s="3474"/>
      <c r="C24" s="2846" t="s">
        <v>2449</v>
      </c>
      <c r="D24" s="2847"/>
      <c r="E24" s="2848">
        <v>0.8</v>
      </c>
      <c r="F24" s="2845" t="s">
        <v>2450</v>
      </c>
      <c r="G24" s="2845"/>
    </row>
    <row r="25" spans="1:13" ht="19.5" customHeight="1" thickBot="1">
      <c r="A25" s="3482"/>
      <c r="B25" s="3475"/>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6" t="s">
        <v>2633</v>
      </c>
      <c r="B27" s="3473" t="s">
        <v>2614</v>
      </c>
      <c r="C27" s="2842" t="s">
        <v>2454</v>
      </c>
      <c r="D27" s="2843"/>
      <c r="E27" s="2844">
        <v>1</v>
      </c>
      <c r="F27" s="2845" t="s">
        <v>2455</v>
      </c>
      <c r="G27" s="2845"/>
    </row>
    <row r="28" spans="1:13" ht="19.5" customHeight="1">
      <c r="A28" s="3477"/>
      <c r="B28" s="3474"/>
      <c r="C28" s="2846" t="s">
        <v>2456</v>
      </c>
      <c r="D28" s="2847"/>
      <c r="E28" s="2848">
        <v>1</v>
      </c>
      <c r="F28" s="2845" t="s">
        <v>2457</v>
      </c>
      <c r="G28" s="2845"/>
    </row>
    <row r="29" spans="1:13" ht="19.5" customHeight="1">
      <c r="A29" s="3477"/>
      <c r="B29" s="3474"/>
      <c r="C29" s="2846" t="s">
        <v>2458</v>
      </c>
      <c r="D29" s="2847"/>
      <c r="E29" s="2848">
        <v>0.8</v>
      </c>
      <c r="F29" s="2845" t="s">
        <v>2459</v>
      </c>
      <c r="G29" s="2845"/>
    </row>
    <row r="30" spans="1:13" ht="19.5" customHeight="1">
      <c r="A30" s="3477"/>
      <c r="B30" s="3474"/>
      <c r="C30" s="2846" t="s">
        <v>2460</v>
      </c>
      <c r="D30" s="2847"/>
      <c r="E30" s="2848">
        <v>0.8</v>
      </c>
      <c r="F30" s="2845" t="s">
        <v>2461</v>
      </c>
      <c r="G30" s="2845"/>
    </row>
    <row r="31" spans="1:13" ht="19.5" customHeight="1">
      <c r="A31" s="3477"/>
      <c r="B31" s="3474"/>
      <c r="C31" s="2846" t="s">
        <v>2462</v>
      </c>
      <c r="D31" s="2847"/>
      <c r="E31" s="2848">
        <v>0.8</v>
      </c>
      <c r="F31" s="2845" t="s">
        <v>2463</v>
      </c>
      <c r="G31" s="2845"/>
    </row>
    <row r="32" spans="1:13" ht="19.5" customHeight="1">
      <c r="A32" s="3477"/>
      <c r="B32" s="3474"/>
      <c r="C32" s="2846" t="s">
        <v>2464</v>
      </c>
      <c r="D32" s="2847"/>
      <c r="E32" s="2848">
        <v>0.7</v>
      </c>
      <c r="F32" s="2845" t="s">
        <v>2465</v>
      </c>
      <c r="G32" s="2845"/>
    </row>
    <row r="33" spans="1:7" ht="19.5" customHeight="1">
      <c r="A33" s="3477"/>
      <c r="B33" s="3474"/>
      <c r="C33" s="2846" t="s">
        <v>2466</v>
      </c>
      <c r="D33" s="2847"/>
      <c r="E33" s="2848">
        <v>0.8</v>
      </c>
      <c r="F33" s="2845" t="s">
        <v>2467</v>
      </c>
      <c r="G33" s="2845"/>
    </row>
    <row r="34" spans="1:7" ht="19.5" customHeight="1">
      <c r="A34" s="3477"/>
      <c r="B34" s="3474"/>
      <c r="C34" s="2846" t="s">
        <v>2468</v>
      </c>
      <c r="D34" s="2847"/>
      <c r="E34" s="2848">
        <v>0.6</v>
      </c>
      <c r="F34" s="2845" t="s">
        <v>2469</v>
      </c>
      <c r="G34" s="2845"/>
    </row>
    <row r="35" spans="1:7" ht="19.5" customHeight="1">
      <c r="A35" s="3477"/>
      <c r="B35" s="3474"/>
      <c r="C35" s="2846" t="s">
        <v>2470</v>
      </c>
      <c r="D35" s="2847"/>
      <c r="E35" s="2848">
        <v>0.2</v>
      </c>
      <c r="F35" s="2845" t="s">
        <v>2471</v>
      </c>
      <c r="G35" s="2845"/>
    </row>
    <row r="36" spans="1:7" ht="19.5" customHeight="1">
      <c r="A36" s="3477"/>
      <c r="B36" s="3474"/>
      <c r="C36" s="2846" t="s">
        <v>2472</v>
      </c>
      <c r="D36" s="2847"/>
      <c r="E36" s="2848">
        <v>0.2</v>
      </c>
      <c r="F36" s="2845" t="s">
        <v>2473</v>
      </c>
      <c r="G36" s="2845"/>
    </row>
    <row r="37" spans="1:7" ht="19.5" customHeight="1">
      <c r="A37" s="3477"/>
      <c r="B37" s="3479" t="s">
        <v>2634</v>
      </c>
      <c r="C37" s="2846" t="s">
        <v>2474</v>
      </c>
      <c r="D37" s="2847"/>
      <c r="E37" s="2848">
        <v>0.6</v>
      </c>
      <c r="F37" s="2845" t="s">
        <v>2475</v>
      </c>
      <c r="G37" s="2845"/>
    </row>
    <row r="38" spans="1:7" ht="19.5" customHeight="1">
      <c r="A38" s="3477"/>
      <c r="B38" s="3474"/>
      <c r="C38" s="2846" t="s">
        <v>2476</v>
      </c>
      <c r="D38" s="2847"/>
      <c r="E38" s="2848">
        <v>0.6</v>
      </c>
      <c r="F38" s="2845" t="s">
        <v>2477</v>
      </c>
      <c r="G38" s="2845"/>
    </row>
    <row r="39" spans="1:7" ht="19.5" customHeight="1" thickBot="1">
      <c r="A39" s="3478"/>
      <c r="B39" s="3475"/>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0" t="s">
        <v>2612</v>
      </c>
      <c r="B41" s="3473" t="s">
        <v>2636</v>
      </c>
      <c r="C41" s="2842" t="s">
        <v>2481</v>
      </c>
      <c r="D41" s="2843"/>
      <c r="E41" s="2844">
        <v>1</v>
      </c>
      <c r="F41" s="2845" t="s">
        <v>2482</v>
      </c>
      <c r="G41" s="2845"/>
    </row>
    <row r="42" spans="1:7" ht="19.5" customHeight="1">
      <c r="A42" s="3481"/>
      <c r="B42" s="3474"/>
      <c r="C42" s="2846" t="s">
        <v>2483</v>
      </c>
      <c r="D42" s="2847"/>
      <c r="E42" s="2848">
        <v>1</v>
      </c>
      <c r="F42" s="2845" t="s">
        <v>2484</v>
      </c>
      <c r="G42" s="2845"/>
    </row>
    <row r="43" spans="1:7" ht="19.5" customHeight="1">
      <c r="A43" s="3481"/>
      <c r="B43" s="3483"/>
      <c r="C43" s="2846" t="s">
        <v>2485</v>
      </c>
      <c r="D43" s="2847"/>
      <c r="E43" s="2848">
        <v>1.5</v>
      </c>
      <c r="F43" s="2845" t="s">
        <v>2486</v>
      </c>
      <c r="G43" s="2845"/>
    </row>
    <row r="44" spans="1:7" ht="19.5" customHeight="1">
      <c r="A44" s="3481"/>
      <c r="B44" s="2857" t="s">
        <v>2637</v>
      </c>
      <c r="C44" s="2846" t="s">
        <v>2638</v>
      </c>
      <c r="D44" s="2847"/>
      <c r="E44" s="2848">
        <v>2</v>
      </c>
      <c r="F44" s="2845" t="s">
        <v>2487</v>
      </c>
      <c r="G44" s="2845"/>
    </row>
    <row r="45" spans="1:7" ht="19.5" customHeight="1">
      <c r="A45" s="3481"/>
      <c r="B45" s="3479" t="s">
        <v>2639</v>
      </c>
      <c r="C45" s="2846" t="s">
        <v>2488</v>
      </c>
      <c r="D45" s="2847"/>
      <c r="E45" s="2848">
        <v>1</v>
      </c>
      <c r="F45" s="2845" t="s">
        <v>2489</v>
      </c>
      <c r="G45" s="2845"/>
    </row>
    <row r="46" spans="1:7" ht="19.5" customHeight="1">
      <c r="A46" s="3481"/>
      <c r="B46" s="3474"/>
      <c r="C46" s="2846" t="s">
        <v>2490</v>
      </c>
      <c r="D46" s="2847"/>
      <c r="E46" s="2848">
        <v>1</v>
      </c>
      <c r="F46" s="2845" t="s">
        <v>2491</v>
      </c>
      <c r="G46" s="2845"/>
    </row>
    <row r="47" spans="1:7" ht="19.5" customHeight="1">
      <c r="A47" s="3481"/>
      <c r="B47" s="3474"/>
      <c r="C47" s="2846" t="s">
        <v>2492</v>
      </c>
      <c r="D47" s="2847"/>
      <c r="E47" s="2848">
        <v>1</v>
      </c>
      <c r="F47" s="2845" t="s">
        <v>2493</v>
      </c>
      <c r="G47" s="2845"/>
    </row>
    <row r="48" spans="1:7" ht="19.5" customHeight="1">
      <c r="A48" s="3481"/>
      <c r="B48" s="3474"/>
      <c r="C48" s="2846" t="s">
        <v>2494</v>
      </c>
      <c r="D48" s="2847"/>
      <c r="E48" s="2848">
        <v>1</v>
      </c>
      <c r="F48" s="2845" t="s">
        <v>2495</v>
      </c>
      <c r="G48" s="2845"/>
    </row>
    <row r="49" spans="1:7" ht="19.5" customHeight="1">
      <c r="A49" s="3481"/>
      <c r="B49" s="3474"/>
      <c r="C49" s="2846" t="s">
        <v>2496</v>
      </c>
      <c r="D49" s="2847"/>
      <c r="E49" s="2848">
        <v>1</v>
      </c>
      <c r="F49" s="2845" t="s">
        <v>2497</v>
      </c>
      <c r="G49" s="2845"/>
    </row>
    <row r="50" spans="1:7" ht="19.5" customHeight="1">
      <c r="A50" s="3481"/>
      <c r="B50" s="3474"/>
      <c r="C50" s="2846" t="s">
        <v>2498</v>
      </c>
      <c r="D50" s="2847"/>
      <c r="E50" s="2848">
        <v>1</v>
      </c>
      <c r="F50" s="2845" t="s">
        <v>2499</v>
      </c>
      <c r="G50" s="2845"/>
    </row>
    <row r="51" spans="1:7" ht="19.5" customHeight="1" thickBot="1">
      <c r="A51" s="3482"/>
      <c r="B51" s="3475"/>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79" t="s">
        <v>2653</v>
      </c>
      <c r="C73" s="2831" t="s">
        <v>2654</v>
      </c>
      <c r="D73" s="2831" t="s">
        <v>2655</v>
      </c>
      <c r="E73" s="2857">
        <v>0.2</v>
      </c>
      <c r="F73" s="2857">
        <v>25</v>
      </c>
    </row>
    <row r="74" spans="1:7" ht="24">
      <c r="A74" s="2857">
        <v>2</v>
      </c>
      <c r="B74" s="3474"/>
      <c r="C74" s="2831" t="s">
        <v>2656</v>
      </c>
      <c r="D74" s="2831" t="s">
        <v>2657</v>
      </c>
      <c r="E74" s="2857">
        <v>0.2</v>
      </c>
      <c r="F74" s="2857">
        <v>25</v>
      </c>
    </row>
    <row r="75" spans="1:7" ht="24">
      <c r="A75" s="2857">
        <v>3</v>
      </c>
      <c r="B75" s="3474"/>
      <c r="C75" s="2831" t="s">
        <v>2658</v>
      </c>
      <c r="D75" s="2831" t="s">
        <v>2659</v>
      </c>
      <c r="E75" s="2857">
        <v>0.2</v>
      </c>
      <c r="F75" s="2857">
        <v>25</v>
      </c>
    </row>
    <row r="76" spans="1:7" ht="14.4">
      <c r="A76" s="2857">
        <v>4</v>
      </c>
      <c r="B76" s="3474"/>
      <c r="C76" s="2831" t="s">
        <v>2660</v>
      </c>
      <c r="D76" s="2831" t="s">
        <v>2661</v>
      </c>
      <c r="E76" s="2857">
        <v>0.15</v>
      </c>
      <c r="F76" s="2857">
        <v>20</v>
      </c>
    </row>
    <row r="77" spans="1:7" ht="24">
      <c r="A77" s="2857">
        <v>5</v>
      </c>
      <c r="B77" s="3474"/>
      <c r="C77" s="2831" t="s">
        <v>2662</v>
      </c>
      <c r="D77" s="2831" t="s">
        <v>2663</v>
      </c>
      <c r="E77" s="2857">
        <v>0.15</v>
      </c>
      <c r="F77" s="2857">
        <v>20</v>
      </c>
    </row>
    <row r="78" spans="1:7" ht="24">
      <c r="A78" s="2857">
        <v>6</v>
      </c>
      <c r="B78" s="3474"/>
      <c r="C78" s="2831" t="s">
        <v>2664</v>
      </c>
      <c r="D78" s="2831" t="s">
        <v>2665</v>
      </c>
      <c r="E78" s="2857">
        <v>0.15</v>
      </c>
      <c r="F78" s="2857">
        <v>20</v>
      </c>
    </row>
    <row r="79" spans="1:7" ht="24">
      <c r="A79" s="2857">
        <v>7</v>
      </c>
      <c r="B79" s="3474"/>
      <c r="C79" s="2831" t="s">
        <v>2666</v>
      </c>
      <c r="D79" s="2831" t="s">
        <v>2667</v>
      </c>
      <c r="E79" s="2857">
        <v>0.15</v>
      </c>
      <c r="F79" s="2857">
        <v>20</v>
      </c>
    </row>
    <row r="80" spans="1:7" ht="24">
      <c r="A80" s="2857">
        <v>8</v>
      </c>
      <c r="B80" s="3474"/>
      <c r="C80" s="2831" t="s">
        <v>2668</v>
      </c>
      <c r="D80" s="2831" t="s">
        <v>2669</v>
      </c>
      <c r="E80" s="2857">
        <v>0.1</v>
      </c>
      <c r="F80" s="2857">
        <v>15</v>
      </c>
    </row>
    <row r="81" spans="1:6" ht="24">
      <c r="A81" s="2857">
        <v>9</v>
      </c>
      <c r="B81" s="3474"/>
      <c r="C81" s="2831" t="s">
        <v>2670</v>
      </c>
      <c r="D81" s="2831" t="s">
        <v>2671</v>
      </c>
      <c r="E81" s="2857">
        <v>0.1</v>
      </c>
      <c r="F81" s="2857">
        <v>15</v>
      </c>
    </row>
    <row r="82" spans="1:6" ht="24">
      <c r="A82" s="2857">
        <v>10</v>
      </c>
      <c r="B82" s="3474"/>
      <c r="C82" s="2831" t="s">
        <v>2672</v>
      </c>
      <c r="D82" s="2831" t="s">
        <v>2673</v>
      </c>
      <c r="E82" s="2857">
        <v>0.1</v>
      </c>
      <c r="F82" s="2857">
        <v>15</v>
      </c>
    </row>
    <row r="83" spans="1:6" ht="24">
      <c r="A83" s="2857">
        <v>11</v>
      </c>
      <c r="B83" s="3474"/>
      <c r="C83" s="2831" t="s">
        <v>2674</v>
      </c>
      <c r="D83" s="2831" t="s">
        <v>2675</v>
      </c>
      <c r="E83" s="2857">
        <v>0.1</v>
      </c>
      <c r="F83" s="2857">
        <v>15</v>
      </c>
    </row>
    <row r="84" spans="1:6" ht="24">
      <c r="A84" s="2857">
        <v>12</v>
      </c>
      <c r="B84" s="3474"/>
      <c r="C84" s="2831" t="s">
        <v>2676</v>
      </c>
      <c r="D84" s="2831" t="s">
        <v>2677</v>
      </c>
      <c r="E84" s="2857">
        <v>0.1</v>
      </c>
      <c r="F84" s="2857">
        <v>15</v>
      </c>
    </row>
    <row r="85" spans="1:6" ht="24">
      <c r="A85" s="2857">
        <v>13</v>
      </c>
      <c r="B85" s="3474"/>
      <c r="C85" s="2831" t="s">
        <v>2678</v>
      </c>
      <c r="D85" s="2831" t="s">
        <v>2679</v>
      </c>
      <c r="E85" s="2857">
        <v>0.1</v>
      </c>
      <c r="F85" s="2857">
        <v>15</v>
      </c>
    </row>
    <row r="86" spans="1:6" ht="24">
      <c r="A86" s="2857">
        <v>14</v>
      </c>
      <c r="B86" s="3474"/>
      <c r="C86" s="2831" t="s">
        <v>2680</v>
      </c>
      <c r="D86" s="2831" t="s">
        <v>2681</v>
      </c>
      <c r="E86" s="2857">
        <v>0.1</v>
      </c>
      <c r="F86" s="2857">
        <v>15</v>
      </c>
    </row>
    <row r="87" spans="1:6" ht="24">
      <c r="A87" s="2857">
        <v>15</v>
      </c>
      <c r="B87" s="3474"/>
      <c r="C87" s="2831" t="s">
        <v>2682</v>
      </c>
      <c r="D87" s="2831" t="s">
        <v>2683</v>
      </c>
      <c r="E87" s="2857">
        <v>0.1</v>
      </c>
      <c r="F87" s="2857">
        <v>15</v>
      </c>
    </row>
    <row r="88" spans="1:6" ht="24">
      <c r="A88" s="2857">
        <v>16</v>
      </c>
      <c r="B88" s="3474"/>
      <c r="C88" s="2831" t="s">
        <v>2684</v>
      </c>
      <c r="D88" s="2831" t="s">
        <v>2685</v>
      </c>
      <c r="E88" s="2857">
        <v>0.1</v>
      </c>
      <c r="F88" s="2857">
        <v>15</v>
      </c>
    </row>
    <row r="89" spans="1:6" ht="24">
      <c r="A89" s="2857">
        <v>17</v>
      </c>
      <c r="B89" s="3483"/>
      <c r="C89" s="2831" t="s">
        <v>2686</v>
      </c>
      <c r="D89" s="2831" t="s">
        <v>2687</v>
      </c>
      <c r="E89" s="2857">
        <v>0.1</v>
      </c>
      <c r="F89" s="2857">
        <v>15</v>
      </c>
    </row>
    <row r="90" spans="1:6" ht="14.4">
      <c r="A90" s="2857">
        <v>18</v>
      </c>
      <c r="B90" s="3479" t="s">
        <v>2688</v>
      </c>
      <c r="C90" s="2831" t="s">
        <v>2689</v>
      </c>
      <c r="D90" s="2831" t="s">
        <v>2690</v>
      </c>
      <c r="E90" s="2857">
        <v>0.2</v>
      </c>
      <c r="F90" s="2857">
        <v>25</v>
      </c>
    </row>
    <row r="91" spans="1:6" ht="24">
      <c r="A91" s="2857">
        <v>19</v>
      </c>
      <c r="B91" s="3474"/>
      <c r="C91" s="2831" t="s">
        <v>2691</v>
      </c>
      <c r="D91" s="2831" t="s">
        <v>2692</v>
      </c>
      <c r="E91" s="2857">
        <v>0.2</v>
      </c>
      <c r="F91" s="2857">
        <v>25</v>
      </c>
    </row>
    <row r="92" spans="1:6" ht="14.4">
      <c r="A92" s="2857">
        <v>20</v>
      </c>
      <c r="B92" s="3474"/>
      <c r="C92" s="2831" t="s">
        <v>2693</v>
      </c>
      <c r="D92" s="2831" t="s">
        <v>2694</v>
      </c>
      <c r="E92" s="2857">
        <v>0.15</v>
      </c>
      <c r="F92" s="2857">
        <v>20</v>
      </c>
    </row>
    <row r="93" spans="1:6" ht="24">
      <c r="A93" s="2857">
        <v>21</v>
      </c>
      <c r="B93" s="3474"/>
      <c r="C93" s="2831" t="s">
        <v>2695</v>
      </c>
      <c r="D93" s="2831" t="s">
        <v>2696</v>
      </c>
      <c r="E93" s="2857">
        <v>0.15</v>
      </c>
      <c r="F93" s="2857">
        <v>20</v>
      </c>
    </row>
    <row r="94" spans="1:6" ht="24">
      <c r="A94" s="2857">
        <v>22</v>
      </c>
      <c r="B94" s="3474"/>
      <c r="C94" s="2831" t="s">
        <v>2697</v>
      </c>
      <c r="D94" s="2831" t="s">
        <v>2698</v>
      </c>
      <c r="E94" s="2857">
        <v>0.15</v>
      </c>
      <c r="F94" s="2857">
        <v>20</v>
      </c>
    </row>
    <row r="95" spans="1:6" ht="36">
      <c r="A95" s="2857">
        <v>23</v>
      </c>
      <c r="B95" s="3474"/>
      <c r="C95" s="2831" t="s">
        <v>2699</v>
      </c>
      <c r="D95" s="2831" t="s">
        <v>2700</v>
      </c>
      <c r="E95" s="2857">
        <v>0.15</v>
      </c>
      <c r="F95" s="2857">
        <v>20</v>
      </c>
    </row>
    <row r="96" spans="1:6" ht="24">
      <c r="A96" s="2857">
        <v>24</v>
      </c>
      <c r="B96" s="3474"/>
      <c r="C96" s="2831" t="s">
        <v>2701</v>
      </c>
      <c r="D96" s="2831" t="s">
        <v>2702</v>
      </c>
      <c r="E96" s="2857">
        <v>0.1</v>
      </c>
      <c r="F96" s="2857">
        <v>15</v>
      </c>
    </row>
    <row r="97" spans="1:6" ht="24">
      <c r="A97" s="2857">
        <v>25</v>
      </c>
      <c r="B97" s="3474"/>
      <c r="C97" s="2831" t="s">
        <v>2703</v>
      </c>
      <c r="D97" s="2831" t="s">
        <v>2704</v>
      </c>
      <c r="E97" s="2857">
        <v>0.1</v>
      </c>
      <c r="F97" s="2857">
        <v>15</v>
      </c>
    </row>
    <row r="98" spans="1:6" ht="24">
      <c r="A98" s="2857">
        <v>26</v>
      </c>
      <c r="B98" s="3474"/>
      <c r="C98" s="2831" t="s">
        <v>2705</v>
      </c>
      <c r="D98" s="2831" t="s">
        <v>2706</v>
      </c>
      <c r="E98" s="2857">
        <v>0.1</v>
      </c>
      <c r="F98" s="2857">
        <v>15</v>
      </c>
    </row>
    <row r="99" spans="1:6" ht="24">
      <c r="A99" s="2857">
        <v>27</v>
      </c>
      <c r="B99" s="3474"/>
      <c r="C99" s="2831" t="s">
        <v>2707</v>
      </c>
      <c r="D99" s="2831" t="s">
        <v>2708</v>
      </c>
      <c r="E99" s="2857">
        <v>0.1</v>
      </c>
      <c r="F99" s="2857">
        <v>15</v>
      </c>
    </row>
    <row r="100" spans="1:6" ht="24">
      <c r="A100" s="2857">
        <v>28</v>
      </c>
      <c r="B100" s="3474"/>
      <c r="C100" s="2831" t="s">
        <v>2709</v>
      </c>
      <c r="D100" s="2831" t="s">
        <v>2710</v>
      </c>
      <c r="E100" s="2857">
        <v>0.1</v>
      </c>
      <c r="F100" s="2857">
        <v>15</v>
      </c>
    </row>
    <row r="101" spans="1:6" ht="24">
      <c r="A101" s="2857">
        <v>29</v>
      </c>
      <c r="B101" s="3474"/>
      <c r="C101" s="2831" t="s">
        <v>2711</v>
      </c>
      <c r="D101" s="2831" t="s">
        <v>2712</v>
      </c>
      <c r="E101" s="2857">
        <v>0.1</v>
      </c>
      <c r="F101" s="2857">
        <v>15</v>
      </c>
    </row>
    <row r="102" spans="1:6" ht="24">
      <c r="A102" s="2857">
        <v>30</v>
      </c>
      <c r="B102" s="3474"/>
      <c r="C102" s="2831" t="s">
        <v>2713</v>
      </c>
      <c r="D102" s="2831" t="s">
        <v>2714</v>
      </c>
      <c r="E102" s="2857">
        <v>0.1</v>
      </c>
      <c r="F102" s="2857">
        <v>15</v>
      </c>
    </row>
    <row r="103" spans="1:6" ht="24">
      <c r="A103" s="2857">
        <v>31</v>
      </c>
      <c r="B103" s="3474"/>
      <c r="C103" s="2831" t="s">
        <v>2715</v>
      </c>
      <c r="D103" s="2831" t="s">
        <v>2716</v>
      </c>
      <c r="E103" s="2857">
        <v>0.1</v>
      </c>
      <c r="F103" s="2857">
        <v>15</v>
      </c>
    </row>
    <row r="104" spans="1:6" ht="24">
      <c r="A104" s="2857">
        <v>32</v>
      </c>
      <c r="B104" s="3474"/>
      <c r="C104" s="2831" t="s">
        <v>2717</v>
      </c>
      <c r="D104" s="2831" t="s">
        <v>2718</v>
      </c>
      <c r="E104" s="2857">
        <v>0.1</v>
      </c>
      <c r="F104" s="2857">
        <v>15</v>
      </c>
    </row>
    <row r="105" spans="1:6" ht="24">
      <c r="A105" s="2857">
        <v>33</v>
      </c>
      <c r="B105" s="3474"/>
      <c r="C105" s="2831" t="s">
        <v>2719</v>
      </c>
      <c r="D105" s="2831" t="s">
        <v>2720</v>
      </c>
      <c r="E105" s="2857">
        <v>0.1</v>
      </c>
      <c r="F105" s="2857">
        <v>15</v>
      </c>
    </row>
    <row r="106" spans="1:6" ht="24">
      <c r="A106" s="2857">
        <v>34</v>
      </c>
      <c r="B106" s="3483"/>
      <c r="C106" s="2831" t="s">
        <v>2721</v>
      </c>
      <c r="D106" s="2831" t="s">
        <v>2722</v>
      </c>
      <c r="E106" s="2857">
        <v>0.1</v>
      </c>
      <c r="F106" s="2857">
        <v>15</v>
      </c>
    </row>
    <row r="107" spans="1:6" ht="36">
      <c r="A107" s="2857">
        <v>35</v>
      </c>
      <c r="B107" s="3479" t="s">
        <v>2723</v>
      </c>
      <c r="C107" s="2857" t="s">
        <v>2724</v>
      </c>
      <c r="D107" s="2831" t="s">
        <v>2725</v>
      </c>
      <c r="E107" s="2857">
        <v>0.15</v>
      </c>
      <c r="F107" s="2857">
        <v>20</v>
      </c>
    </row>
    <row r="108" spans="1:6" ht="24">
      <c r="A108" s="2857">
        <v>36</v>
      </c>
      <c r="B108" s="3474"/>
      <c r="C108" s="2857" t="s">
        <v>2726</v>
      </c>
      <c r="D108" s="2831" t="s">
        <v>2727</v>
      </c>
      <c r="E108" s="2857">
        <v>0.15</v>
      </c>
      <c r="F108" s="2857">
        <v>20</v>
      </c>
    </row>
    <row r="109" spans="1:6" ht="24">
      <c r="A109" s="2857">
        <v>37</v>
      </c>
      <c r="B109" s="3474"/>
      <c r="C109" s="2857" t="s">
        <v>2728</v>
      </c>
      <c r="D109" s="2831" t="s">
        <v>2729</v>
      </c>
      <c r="E109" s="2857">
        <v>0.15</v>
      </c>
      <c r="F109" s="2857">
        <v>20</v>
      </c>
    </row>
    <row r="110" spans="1:6" ht="24">
      <c r="A110" s="2857">
        <v>38</v>
      </c>
      <c r="B110" s="3474"/>
      <c r="C110" s="2857" t="s">
        <v>2730</v>
      </c>
      <c r="D110" s="2831" t="s">
        <v>2731</v>
      </c>
      <c r="E110" s="2857">
        <v>0.1</v>
      </c>
      <c r="F110" s="2857">
        <v>15</v>
      </c>
    </row>
    <row r="111" spans="1:6" ht="24">
      <c r="A111" s="2857">
        <v>39</v>
      </c>
      <c r="B111" s="3474"/>
      <c r="C111" s="2857" t="s">
        <v>2732</v>
      </c>
      <c r="D111" s="2831" t="s">
        <v>2733</v>
      </c>
      <c r="E111" s="2857">
        <v>0.1</v>
      </c>
      <c r="F111" s="2857">
        <v>15</v>
      </c>
    </row>
    <row r="112" spans="1:6" ht="24">
      <c r="A112" s="2857">
        <v>40</v>
      </c>
      <c r="B112" s="3483"/>
      <c r="C112" s="2857" t="s">
        <v>2734</v>
      </c>
      <c r="D112" s="2831" t="s">
        <v>2735</v>
      </c>
      <c r="E112" s="2857">
        <v>0.1</v>
      </c>
      <c r="F112" s="2857">
        <v>15</v>
      </c>
    </row>
    <row r="113" spans="1:6" ht="24">
      <c r="A113" s="2857">
        <v>41</v>
      </c>
      <c r="B113" s="3484" t="s">
        <v>2736</v>
      </c>
      <c r="C113" s="2857" t="s">
        <v>2737</v>
      </c>
      <c r="D113" s="2831" t="s">
        <v>2738</v>
      </c>
      <c r="E113" s="2857">
        <v>0.1</v>
      </c>
      <c r="F113" s="2857">
        <v>15</v>
      </c>
    </row>
    <row r="114" spans="1:6" ht="24">
      <c r="A114" s="2857">
        <v>42</v>
      </c>
      <c r="B114" s="3484"/>
      <c r="C114" s="2857" t="s">
        <v>2739</v>
      </c>
      <c r="D114" s="2831" t="s">
        <v>2740</v>
      </c>
      <c r="E114" s="2857">
        <v>0.1</v>
      </c>
      <c r="F114" s="2857">
        <v>15</v>
      </c>
    </row>
    <row r="115" spans="1:6" ht="24">
      <c r="A115" s="2857">
        <v>43</v>
      </c>
      <c r="B115" s="3484"/>
      <c r="C115" s="2857" t="s">
        <v>2741</v>
      </c>
      <c r="D115" s="2831" t="s">
        <v>2742</v>
      </c>
      <c r="E115" s="2857">
        <v>0.1</v>
      </c>
      <c r="F115" s="2857">
        <v>15</v>
      </c>
    </row>
    <row r="116" spans="1:6" ht="24">
      <c r="A116" s="2857">
        <v>44</v>
      </c>
      <c r="B116" s="3479" t="s">
        <v>2743</v>
      </c>
      <c r="C116" s="2857" t="s">
        <v>2744</v>
      </c>
      <c r="D116" s="2831" t="s">
        <v>2745</v>
      </c>
      <c r="E116" s="2857">
        <v>0.1</v>
      </c>
      <c r="F116" s="2857">
        <v>15</v>
      </c>
    </row>
    <row r="117" spans="1:6" ht="24">
      <c r="A117" s="2857">
        <v>45</v>
      </c>
      <c r="B117" s="3483"/>
      <c r="C117" s="2831" t="s">
        <v>2746</v>
      </c>
      <c r="D117" s="2831" t="s">
        <v>2747</v>
      </c>
      <c r="E117" s="2857">
        <v>0.1</v>
      </c>
      <c r="F117" s="2857">
        <v>15</v>
      </c>
    </row>
    <row r="118" spans="1:6" ht="24">
      <c r="A118" s="2857">
        <v>46</v>
      </c>
      <c r="B118" s="3479" t="s">
        <v>2748</v>
      </c>
      <c r="C118" s="2857" t="s">
        <v>2749</v>
      </c>
      <c r="D118" s="2831" t="s">
        <v>2750</v>
      </c>
      <c r="E118" s="2857">
        <v>0.1</v>
      </c>
      <c r="F118" s="2857">
        <v>15</v>
      </c>
    </row>
    <row r="119" spans="1:6" ht="24">
      <c r="A119" s="2857">
        <v>47</v>
      </c>
      <c r="B119" s="3483"/>
      <c r="C119" s="2857" t="s">
        <v>2751</v>
      </c>
      <c r="D119" s="2831" t="s">
        <v>2752</v>
      </c>
      <c r="E119" s="2857">
        <v>0.1</v>
      </c>
      <c r="F119" s="2857">
        <v>15</v>
      </c>
    </row>
    <row r="120" spans="1:6" ht="24">
      <c r="A120" s="2857">
        <v>48</v>
      </c>
      <c r="B120" s="3479" t="s">
        <v>2753</v>
      </c>
      <c r="C120" s="2857" t="s">
        <v>2754</v>
      </c>
      <c r="D120" s="2831" t="s">
        <v>2755</v>
      </c>
      <c r="E120" s="2857">
        <v>0.1</v>
      </c>
      <c r="F120" s="2857">
        <v>15</v>
      </c>
    </row>
    <row r="121" spans="1:6" ht="24">
      <c r="A121" s="2857">
        <v>49</v>
      </c>
      <c r="B121" s="3483"/>
      <c r="C121" s="2857" t="s">
        <v>2756</v>
      </c>
      <c r="D121" s="2831" t="s">
        <v>2757</v>
      </c>
      <c r="E121" s="2857">
        <v>0.1</v>
      </c>
      <c r="F121" s="2857">
        <v>15</v>
      </c>
    </row>
    <row r="122" spans="1:6" ht="24">
      <c r="A122" s="2857">
        <v>50</v>
      </c>
      <c r="B122" s="3484" t="s">
        <v>2758</v>
      </c>
      <c r="C122" s="2857" t="s">
        <v>2759</v>
      </c>
      <c r="D122" s="2831" t="s">
        <v>2760</v>
      </c>
      <c r="E122" s="2857">
        <v>0.1</v>
      </c>
      <c r="F122" s="2857">
        <v>15</v>
      </c>
    </row>
    <row r="123" spans="1:6" ht="24">
      <c r="A123" s="2857">
        <v>51</v>
      </c>
      <c r="B123" s="3484"/>
      <c r="C123" s="2857" t="s">
        <v>2761</v>
      </c>
      <c r="D123" s="2831" t="s">
        <v>2762</v>
      </c>
      <c r="E123" s="2857">
        <v>0.1</v>
      </c>
      <c r="F123" s="2857">
        <v>15</v>
      </c>
    </row>
    <row r="124" spans="1:6" ht="24">
      <c r="A124" s="2857">
        <v>52</v>
      </c>
      <c r="B124" s="3484" t="s">
        <v>2763</v>
      </c>
      <c r="C124" s="2857" t="s">
        <v>2764</v>
      </c>
      <c r="D124" s="2831" t="s">
        <v>2765</v>
      </c>
      <c r="E124" s="2857">
        <v>0.1</v>
      </c>
      <c r="F124" s="2857">
        <v>15</v>
      </c>
    </row>
    <row r="125" spans="1:6" ht="24">
      <c r="A125" s="2857">
        <v>53</v>
      </c>
      <c r="B125" s="3484"/>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84" t="s">
        <v>2771</v>
      </c>
      <c r="C127" s="2857" t="s">
        <v>2772</v>
      </c>
      <c r="D127" s="2831" t="s">
        <v>2773</v>
      </c>
      <c r="E127" s="2857">
        <v>0.1</v>
      </c>
      <c r="F127" s="2857">
        <v>15</v>
      </c>
    </row>
    <row r="128" spans="1:6" ht="24">
      <c r="A128" s="2857">
        <v>56</v>
      </c>
      <c r="B128" s="3484"/>
      <c r="C128" s="2857" t="s">
        <v>2774</v>
      </c>
      <c r="D128" s="2831" t="s">
        <v>2775</v>
      </c>
      <c r="E128" s="2857">
        <v>0.1</v>
      </c>
      <c r="F128" s="2857">
        <v>15</v>
      </c>
    </row>
    <row r="129" spans="1:6" ht="24">
      <c r="A129" s="2857">
        <v>57</v>
      </c>
      <c r="B129" s="3484"/>
      <c r="C129" s="2857" t="s">
        <v>2776</v>
      </c>
      <c r="D129" s="2831" t="s">
        <v>2777</v>
      </c>
      <c r="E129" s="2857">
        <v>0.1</v>
      </c>
      <c r="F129" s="2857">
        <v>15</v>
      </c>
    </row>
    <row r="130" spans="1:6" ht="24">
      <c r="A130" s="2857">
        <v>58</v>
      </c>
      <c r="B130" s="3484" t="s">
        <v>2778</v>
      </c>
      <c r="C130" s="2857" t="s">
        <v>2779</v>
      </c>
      <c r="D130" s="2831" t="s">
        <v>2780</v>
      </c>
      <c r="E130" s="2857">
        <v>0.1</v>
      </c>
      <c r="F130" s="2857">
        <v>15</v>
      </c>
    </row>
    <row r="131" spans="1:6" ht="24">
      <c r="A131" s="2857">
        <v>59</v>
      </c>
      <c r="B131" s="3484"/>
      <c r="C131" s="2857" t="s">
        <v>2781</v>
      </c>
      <c r="D131" s="2831" t="s">
        <v>2782</v>
      </c>
      <c r="E131" s="2857">
        <v>0.1</v>
      </c>
      <c r="F131" s="2857">
        <v>15</v>
      </c>
    </row>
    <row r="132" spans="1:6" ht="24">
      <c r="A132" s="2857">
        <v>60</v>
      </c>
      <c r="B132" s="3479" t="s">
        <v>2783</v>
      </c>
      <c r="C132" s="2857" t="s">
        <v>2784</v>
      </c>
      <c r="D132" s="2831" t="s">
        <v>2785</v>
      </c>
      <c r="E132" s="2857">
        <v>0.1</v>
      </c>
      <c r="F132" s="2857">
        <v>15</v>
      </c>
    </row>
    <row r="133" spans="1:6" ht="24">
      <c r="A133" s="2857">
        <v>61</v>
      </c>
      <c r="B133" s="3483"/>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84" t="s">
        <v>2791</v>
      </c>
      <c r="C135" s="2857" t="s">
        <v>2792</v>
      </c>
      <c r="D135" s="2831" t="s">
        <v>2793</v>
      </c>
      <c r="E135" s="2857">
        <v>0.1</v>
      </c>
      <c r="F135" s="2857">
        <v>15</v>
      </c>
    </row>
    <row r="136" spans="1:6" ht="24">
      <c r="A136" s="2857">
        <v>64</v>
      </c>
      <c r="B136" s="3484"/>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26910</v>
      </c>
      <c r="C2" s="2" t="s">
        <v>106</v>
      </c>
      <c r="D2" s="191"/>
      <c r="E2" s="191"/>
      <c r="F2" s="191"/>
      <c r="G2" s="191"/>
    </row>
    <row r="3" spans="1:7" s="192" customFormat="1" ht="18" customHeight="1" thickBot="1">
      <c r="A3" s="195" t="s">
        <v>58</v>
      </c>
      <c r="B3" s="196">
        <f ca="1">ROUND(B2*10000/'数据-汇总表'!E3,0)</f>
        <v>2555556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2.9999999999999997E-4</v>
      </c>
      <c r="D44" s="230"/>
      <c r="E44" s="230"/>
      <c r="F44" s="231"/>
      <c r="G44" s="3349"/>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v>
      </c>
      <c r="D51" s="224"/>
      <c r="E51" s="224"/>
      <c r="F51" s="256"/>
      <c r="G51" s="226" t="s">
        <v>37</v>
      </c>
    </row>
    <row r="52" spans="1:7" s="200" customFormat="1" ht="16.8" thickBot="1">
      <c r="A52" s="257" t="s">
        <v>38</v>
      </c>
      <c r="B52" s="258"/>
      <c r="C52" s="259">
        <f ca="1">C31+C51</f>
        <v>26910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8EE7-7C90-4254-8DA5-C6D0F26F986B}">
  <sheetPr>
    <tabColor rgb="FFFFFF00"/>
  </sheetPr>
  <dimension ref="A1:AH115"/>
  <sheetViews>
    <sheetView topLeftCell="A46" workbookViewId="0">
      <selection activeCell="P56" sqref="P56"/>
    </sheetView>
  </sheetViews>
  <sheetFormatPr defaultRowHeight="14.4"/>
  <cols>
    <col min="12" max="12" width="14.77734375" style="3156" customWidth="1"/>
    <col min="13" max="13" width="12.21875" customWidth="1"/>
    <col min="18" max="18" width="18.21875" customWidth="1"/>
    <col min="31" max="31" width="14.77734375" customWidth="1"/>
  </cols>
  <sheetData>
    <row r="1" spans="12:22">
      <c r="O1" s="1405" t="s">
        <v>3484</v>
      </c>
    </row>
    <row r="2" spans="12:22">
      <c r="O2" s="1405" t="s">
        <v>3485</v>
      </c>
    </row>
    <row r="3" spans="12:22">
      <c r="O3" s="1405" t="s">
        <v>3486</v>
      </c>
    </row>
    <row r="4" spans="12:22">
      <c r="O4" s="1405" t="s">
        <v>3487</v>
      </c>
    </row>
    <row r="5" spans="12:22">
      <c r="L5" s="3157" t="s">
        <v>3488</v>
      </c>
    </row>
    <row r="7" spans="12:22">
      <c r="L7" s="3158" t="s">
        <v>3390</v>
      </c>
      <c r="M7" s="1405" t="s">
        <v>3400</v>
      </c>
    </row>
    <row r="8" spans="12:22">
      <c r="L8" s="3158" t="s">
        <v>3391</v>
      </c>
      <c r="M8" s="1405" t="s">
        <v>3392</v>
      </c>
    </row>
    <row r="9" spans="12:22">
      <c r="L9" s="3158" t="s">
        <v>3393</v>
      </c>
      <c r="M9">
        <v>211.52</v>
      </c>
    </row>
    <row r="10" spans="12:22">
      <c r="L10" s="3158" t="s">
        <v>3394</v>
      </c>
      <c r="M10">
        <v>9.6999999999999993</v>
      </c>
      <c r="N10" s="1405" t="s">
        <v>3505</v>
      </c>
      <c r="O10" s="1405" t="s">
        <v>3395</v>
      </c>
      <c r="R10" s="3159" t="s">
        <v>3477</v>
      </c>
      <c r="S10" s="3159" t="s">
        <v>3405</v>
      </c>
      <c r="T10" s="3159" t="s">
        <v>3406</v>
      </c>
      <c r="U10" s="3159" t="s">
        <v>3515</v>
      </c>
      <c r="V10" s="3159" t="s">
        <v>3514</v>
      </c>
    </row>
    <row r="11" spans="12:22">
      <c r="L11" s="3158" t="s">
        <v>3397</v>
      </c>
      <c r="R11" s="3160" t="s">
        <v>3407</v>
      </c>
      <c r="S11" s="3161">
        <f>S13-S12</f>
        <v>73.489999999999995</v>
      </c>
      <c r="T11" s="3161">
        <f>ROUND(S11/S13,2)</f>
        <v>0.7</v>
      </c>
      <c r="U11" s="3161">
        <v>100</v>
      </c>
      <c r="V11" s="3161">
        <f>ROUND(U11*V13/U13,0)</f>
        <v>110</v>
      </c>
    </row>
    <row r="12" spans="12:22">
      <c r="L12" s="3158" t="s">
        <v>3398</v>
      </c>
      <c r="M12" s="1405" t="s">
        <v>3399</v>
      </c>
      <c r="R12" s="3160" t="s">
        <v>3408</v>
      </c>
      <c r="S12" s="3161">
        <v>31.81</v>
      </c>
      <c r="T12" s="3161">
        <f>ROUND(S12/S13,2)</f>
        <v>0.3</v>
      </c>
      <c r="U12" s="3161">
        <v>70</v>
      </c>
      <c r="V12" s="3161">
        <f>ROUND(U12*V13/U13,0)</f>
        <v>77</v>
      </c>
    </row>
    <row r="13" spans="12:22">
      <c r="L13" s="3158" t="s">
        <v>3404</v>
      </c>
      <c r="R13" s="3160" t="s">
        <v>3409</v>
      </c>
      <c r="S13" s="3161">
        <f>'数据-汇总表'!E19</f>
        <v>105.3</v>
      </c>
      <c r="T13" s="3161">
        <f>T11+T12</f>
        <v>1</v>
      </c>
      <c r="U13" s="3161">
        <f>(U11*T11+U12*T12)/T13</f>
        <v>91</v>
      </c>
      <c r="V13" s="3161">
        <v>100</v>
      </c>
    </row>
    <row r="14" spans="12:22">
      <c r="L14" s="3158" t="s">
        <v>3482</v>
      </c>
      <c r="R14" s="3160" t="s">
        <v>3410</v>
      </c>
      <c r="S14" s="3161"/>
      <c r="T14" s="3161"/>
      <c r="U14" s="3161">
        <v>50</v>
      </c>
      <c r="V14" s="3161"/>
    </row>
    <row r="15" spans="12:22">
      <c r="R15" s="3159" t="s">
        <v>3477</v>
      </c>
      <c r="S15" s="3159" t="s">
        <v>3515</v>
      </c>
      <c r="T15" s="3159" t="s">
        <v>3514</v>
      </c>
      <c r="U15" s="3161"/>
      <c r="V15" s="3161"/>
    </row>
    <row r="16" spans="12:22">
      <c r="L16" s="3158"/>
      <c r="R16" s="3155" t="s">
        <v>3407</v>
      </c>
      <c r="S16" s="3154">
        <f>U11</f>
        <v>100</v>
      </c>
      <c r="T16" s="3154">
        <f>ROUND(S16*$T$21/$S$21,0)</f>
        <v>110</v>
      </c>
      <c r="U16" s="3161"/>
      <c r="V16" s="3161"/>
    </row>
    <row r="17" spans="12:32">
      <c r="R17" s="3155" t="s">
        <v>3408</v>
      </c>
      <c r="S17" s="3154">
        <f>U12</f>
        <v>70</v>
      </c>
      <c r="T17" s="3154">
        <f>ROUND(S17*$T$21/$S$21,0)</f>
        <v>77</v>
      </c>
      <c r="U17" s="3161"/>
      <c r="V17" s="3161"/>
    </row>
    <row r="18" spans="12:32">
      <c r="R18" s="3155" t="s">
        <v>3410</v>
      </c>
      <c r="S18" s="3154">
        <f>U14</f>
        <v>50</v>
      </c>
      <c r="T18" s="3154">
        <f>ROUND(S18*$T$21/$S$21,0)</f>
        <v>55</v>
      </c>
      <c r="U18" s="3161"/>
      <c r="V18" s="3161"/>
    </row>
    <row r="19" spans="12:32">
      <c r="R19" s="3155" t="s">
        <v>3411</v>
      </c>
      <c r="S19" s="3154">
        <f>ROUND((S16+S17)/2,2)</f>
        <v>85</v>
      </c>
      <c r="T19" s="3154">
        <f>ROUND(S19*$T$21/$S$21,0)</f>
        <v>93</v>
      </c>
      <c r="U19" s="3161"/>
      <c r="V19" s="3161"/>
    </row>
    <row r="20" spans="12:32">
      <c r="R20" s="3155" t="s">
        <v>3412</v>
      </c>
      <c r="S20" s="3154">
        <f>ROUND((S16+S17+S18)/3,0)</f>
        <v>73</v>
      </c>
      <c r="T20" s="3154">
        <f>ROUND(S20*$T$21/$S$21,0)</f>
        <v>80</v>
      </c>
      <c r="U20" s="3161"/>
      <c r="V20" s="3161"/>
    </row>
    <row r="21" spans="12:32">
      <c r="R21" s="3155" t="s">
        <v>3409</v>
      </c>
      <c r="S21" s="3154">
        <f>U13</f>
        <v>91</v>
      </c>
      <c r="T21" s="3154">
        <v>100</v>
      </c>
      <c r="U21" s="3161"/>
      <c r="V21" s="3161"/>
    </row>
    <row r="30" spans="12:32">
      <c r="L30" s="3157" t="s">
        <v>3489</v>
      </c>
      <c r="AE30" s="3158" t="s">
        <v>3390</v>
      </c>
      <c r="AF30" s="1405" t="s">
        <v>3400</v>
      </c>
    </row>
    <row r="31" spans="12:32">
      <c r="L31" s="3158" t="s">
        <v>3390</v>
      </c>
      <c r="M31" s="1405" t="s">
        <v>3513</v>
      </c>
      <c r="AE31" s="3158" t="s">
        <v>3401</v>
      </c>
    </row>
    <row r="32" spans="12:32">
      <c r="L32" s="3158" t="s">
        <v>3411</v>
      </c>
      <c r="M32" s="1405" t="s">
        <v>3512</v>
      </c>
      <c r="AE32" s="3158" t="s">
        <v>3393</v>
      </c>
      <c r="AF32">
        <v>177.51</v>
      </c>
    </row>
    <row r="33" spans="12:34">
      <c r="L33" s="3158" t="s">
        <v>3393</v>
      </c>
      <c r="M33">
        <v>400</v>
      </c>
      <c r="AE33" s="3158" t="s">
        <v>3394</v>
      </c>
      <c r="AF33">
        <v>8.17</v>
      </c>
      <c r="AG33" s="1405" t="s">
        <v>3505</v>
      </c>
      <c r="AH33" s="1405" t="s">
        <v>3395</v>
      </c>
    </row>
    <row r="34" spans="12:34" ht="28.8">
      <c r="L34" s="3158" t="s">
        <v>3394</v>
      </c>
      <c r="M34">
        <v>8.33</v>
      </c>
      <c r="N34" s="1405" t="s">
        <v>3505</v>
      </c>
      <c r="O34" s="1405" t="s">
        <v>3395</v>
      </c>
      <c r="AE34" s="3158" t="s">
        <v>3402</v>
      </c>
    </row>
    <row r="35" spans="12:34">
      <c r="L35" s="3158" t="s">
        <v>3510</v>
      </c>
      <c r="AE35" s="3158" t="s">
        <v>3398</v>
      </c>
      <c r="AF35" s="1405" t="s">
        <v>3403</v>
      </c>
    </row>
    <row r="36" spans="12:34">
      <c r="L36" s="3158" t="s">
        <v>3404</v>
      </c>
      <c r="AE36" s="3158" t="s">
        <v>3404</v>
      </c>
    </row>
    <row r="37" spans="12:34">
      <c r="L37" s="3158" t="s">
        <v>3483</v>
      </c>
      <c r="AE37" s="3158" t="s">
        <v>3483</v>
      </c>
    </row>
    <row r="39" spans="12:34" ht="100.8">
      <c r="L39" s="3158" t="s">
        <v>3511</v>
      </c>
    </row>
    <row r="40" spans="12:34">
      <c r="AA40" s="3156"/>
    </row>
    <row r="41" spans="12:34" ht="43.2">
      <c r="AA41" s="3158" t="s">
        <v>3509</v>
      </c>
      <c r="AB41" t="e">
        <f>ROUND(AF33/AI17*100,2)</f>
        <v>#DIV/0!</v>
      </c>
    </row>
    <row r="45" spans="12:34">
      <c r="L45" s="3157" t="s">
        <v>3490</v>
      </c>
    </row>
    <row r="46" spans="12:34">
      <c r="L46" s="3158" t="s">
        <v>3390</v>
      </c>
    </row>
    <row r="47" spans="12:34" ht="28.8">
      <c r="L47" s="3158" t="s">
        <v>3476</v>
      </c>
      <c r="M47" s="1405"/>
      <c r="Q47" s="1405"/>
      <c r="R47" s="1405"/>
      <c r="T47" s="1405"/>
    </row>
    <row r="48" spans="12:34">
      <c r="L48" s="3158" t="s">
        <v>3401</v>
      </c>
      <c r="R48" s="1405"/>
      <c r="U48" s="1405"/>
    </row>
    <row r="49" spans="12:19">
      <c r="L49" s="3158" t="s">
        <v>3393</v>
      </c>
      <c r="M49">
        <v>129</v>
      </c>
      <c r="R49" s="1405"/>
      <c r="S49" s="1405"/>
    </row>
    <row r="50" spans="12:19">
      <c r="L50" s="3158" t="s">
        <v>3394</v>
      </c>
      <c r="M50">
        <v>9.0399999999999991</v>
      </c>
      <c r="N50" s="1405" t="s">
        <v>3505</v>
      </c>
      <c r="O50" s="1405" t="s">
        <v>3395</v>
      </c>
    </row>
    <row r="51" spans="12:19">
      <c r="L51" s="3158" t="s">
        <v>3397</v>
      </c>
    </row>
    <row r="52" spans="12:19" ht="28.8">
      <c r="L52" s="3158" t="s">
        <v>3481</v>
      </c>
    </row>
    <row r="53" spans="12:19">
      <c r="L53" s="3158" t="s">
        <v>3483</v>
      </c>
    </row>
    <row r="54" spans="12:19">
      <c r="L54" s="3158"/>
    </row>
    <row r="93" spans="1:7">
      <c r="A93" s="1405" t="s">
        <v>3400</v>
      </c>
      <c r="G93" s="1405" t="s">
        <v>3491</v>
      </c>
    </row>
    <row r="94" spans="1:7">
      <c r="A94" s="1405" t="s">
        <v>3405</v>
      </c>
      <c r="B94" s="1405" t="s">
        <v>3477</v>
      </c>
      <c r="D94" s="1405" t="s">
        <v>3394</v>
      </c>
    </row>
    <row r="95" spans="1:7">
      <c r="A95" s="3152">
        <v>370</v>
      </c>
      <c r="B95" s="3153" t="s">
        <v>3492</v>
      </c>
      <c r="C95" s="3153" t="s">
        <v>3493</v>
      </c>
      <c r="D95" s="3152">
        <v>7</v>
      </c>
      <c r="E95" s="3153" t="s">
        <v>3478</v>
      </c>
    </row>
    <row r="96" spans="1:7">
      <c r="B96" s="1405" t="s">
        <v>3494</v>
      </c>
    </row>
    <row r="97" spans="1:6">
      <c r="A97" s="1405" t="s">
        <v>3476</v>
      </c>
      <c r="B97" s="1405"/>
    </row>
    <row r="98" spans="1:6">
      <c r="A98" s="1405" t="s">
        <v>3405</v>
      </c>
      <c r="B98" s="1405" t="s">
        <v>3477</v>
      </c>
      <c r="D98" s="1405" t="s">
        <v>3394</v>
      </c>
    </row>
    <row r="99" spans="1:6">
      <c r="A99" s="3152">
        <v>129</v>
      </c>
      <c r="B99" s="3153" t="s">
        <v>3401</v>
      </c>
      <c r="C99" s="3152"/>
      <c r="D99" s="3152">
        <v>8</v>
      </c>
      <c r="E99" s="3153" t="s">
        <v>3478</v>
      </c>
    </row>
    <row r="100" spans="1:6">
      <c r="B100" s="1405" t="s">
        <v>3479</v>
      </c>
      <c r="C100" s="1405" t="s">
        <v>3480</v>
      </c>
    </row>
    <row r="101" spans="1:6">
      <c r="A101" s="1405" t="s">
        <v>3495</v>
      </c>
    </row>
    <row r="102" spans="1:6">
      <c r="A102">
        <v>190</v>
      </c>
      <c r="B102" s="1405" t="s">
        <v>3496</v>
      </c>
      <c r="D102">
        <v>9</v>
      </c>
    </row>
    <row r="106" spans="1:6">
      <c r="A106" s="1405" t="s">
        <v>3497</v>
      </c>
    </row>
    <row r="107" spans="1:6">
      <c r="A107" s="1405" t="s">
        <v>3405</v>
      </c>
      <c r="B107" s="1405" t="s">
        <v>3477</v>
      </c>
      <c r="D107" s="1405" t="s">
        <v>3394</v>
      </c>
    </row>
    <row r="108" spans="1:6">
      <c r="A108">
        <v>230</v>
      </c>
      <c r="B108" s="1405" t="s">
        <v>3498</v>
      </c>
      <c r="D108">
        <v>8.6999999999999993</v>
      </c>
      <c r="E108" s="1405" t="s">
        <v>3499</v>
      </c>
      <c r="F108" s="1405" t="s">
        <v>3500</v>
      </c>
    </row>
    <row r="109" spans="1:6">
      <c r="B109" s="1405" t="s">
        <v>3501</v>
      </c>
    </row>
    <row r="110" spans="1:6">
      <c r="B110" s="1405" t="s">
        <v>3502</v>
      </c>
    </row>
    <row r="111" spans="1:6">
      <c r="B111" s="1405" t="s">
        <v>3503</v>
      </c>
    </row>
    <row r="112" spans="1:6">
      <c r="B112" s="1405"/>
    </row>
    <row r="113" spans="1:4">
      <c r="A113" s="1405" t="s">
        <v>3400</v>
      </c>
      <c r="B113" s="1405"/>
    </row>
    <row r="114" spans="1:4">
      <c r="A114" s="1405" t="s">
        <v>3477</v>
      </c>
      <c r="B114" s="1405" t="s">
        <v>3405</v>
      </c>
      <c r="C114" s="1405" t="s">
        <v>3394</v>
      </c>
    </row>
    <row r="115" spans="1:4">
      <c r="A115" s="3153" t="s">
        <v>3407</v>
      </c>
      <c r="B115" s="3152">
        <v>60</v>
      </c>
      <c r="C115" s="3152">
        <v>8.33</v>
      </c>
      <c r="D115" s="1405" t="s">
        <v>3397</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0</v>
      </c>
    </row>
    <row r="6" spans="1:5" ht="15.6">
      <c r="B6" s="3167"/>
      <c r="C6" s="1392" t="s">
        <v>911</v>
      </c>
      <c r="D6" s="797" t="str">
        <f ca="1">NUMBERSTRING(INT(D5*10000),2)&amp;"元整"</f>
        <v>零元整</v>
      </c>
    </row>
    <row r="7" spans="1:5" ht="15.6">
      <c r="B7" s="3172"/>
      <c r="C7" s="1393" t="s">
        <v>912</v>
      </c>
      <c r="D7" s="798">
        <f ca="1">结果表!H102</f>
        <v>9</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0</v>
      </c>
    </row>
    <row r="14" spans="1:5" ht="15.6">
      <c r="B14" s="3167"/>
      <c r="C14" s="1392" t="s">
        <v>911</v>
      </c>
      <c r="D14" s="797" t="str">
        <f ca="1">NUMBERSTRING(INT(D13*10000),2)&amp;"元整"</f>
        <v>零元整</v>
      </c>
    </row>
    <row r="15" spans="1:5" ht="15.6">
      <c r="B15" s="3172"/>
      <c r="C15" s="1393" t="s">
        <v>921</v>
      </c>
      <c r="D15" s="806">
        <f ca="1">结果表!H108</f>
        <v>9</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0</v>
      </c>
      <c r="C2" s="1289" t="s">
        <v>879</v>
      </c>
      <c r="D2" s="1375">
        <f ca="1">C40+J29+L46</f>
        <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308245</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307860</v>
      </c>
      <c r="D6" s="147" t="s">
        <v>2106</v>
      </c>
      <c r="E6" s="294" t="s">
        <v>696</v>
      </c>
      <c r="F6" s="295">
        <f ca="1">INDIRECT("'数据-取费表'!u"&amp;$G$1)</f>
        <v>8.9</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105.3</v>
      </c>
      <c r="G7" s="1292"/>
      <c r="H7" s="296"/>
      <c r="I7" s="3353"/>
      <c r="J7" s="298"/>
      <c r="K7" s="299"/>
      <c r="L7" s="294" t="s">
        <v>697</v>
      </c>
      <c r="M7" s="295">
        <f ca="1">F7</f>
        <v>105.3</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385</v>
      </c>
      <c r="D10" s="150" t="s">
        <v>2116</v>
      </c>
      <c r="E10" s="305" t="s">
        <v>701</v>
      </c>
      <c r="F10" s="1053" t="s">
        <v>3516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268082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263250</v>
      </c>
      <c r="D14" s="1257" t="s">
        <v>708</v>
      </c>
      <c r="E14" s="1255"/>
      <c r="F14" s="311"/>
      <c r="G14" s="1292"/>
      <c r="H14" s="928" t="s">
        <v>398</v>
      </c>
      <c r="I14" s="294" t="s">
        <v>709</v>
      </c>
      <c r="J14" s="21">
        <f ca="1">C29</f>
        <v>382974</v>
      </c>
      <c r="K14" s="12"/>
      <c r="L14" s="759"/>
      <c r="M14" s="760"/>
    </row>
    <row r="15" spans="1:37" s="1304" customFormat="1" ht="18" customHeight="1" thickBot="1">
      <c r="A15" s="928" t="s">
        <v>399</v>
      </c>
      <c r="B15" s="294" t="s">
        <v>710</v>
      </c>
      <c r="C15" s="21">
        <f ca="1">ROUND(C14*F15,0)</f>
        <v>7898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766</v>
      </c>
      <c r="K16" s="1024" t="s">
        <v>715</v>
      </c>
      <c r="L16" s="1025"/>
      <c r="M16" s="1009"/>
    </row>
    <row r="17" spans="1:37" s="1304" customFormat="1" ht="18" customHeight="1">
      <c r="A17" s="928" t="s">
        <v>681</v>
      </c>
      <c r="B17" s="294" t="s">
        <v>716</v>
      </c>
      <c r="C17" s="21">
        <f ca="1">ROUND(F17*(F43+INDIRECT("'数据-取费表'!S"&amp;$G$1)),0)</f>
        <v>21060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297473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5949</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4703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-766</v>
      </c>
      <c r="K25" s="1032" t="s">
        <v>753</v>
      </c>
      <c r="L25" s="1033"/>
      <c r="M25" s="1034"/>
    </row>
    <row r="26" spans="1:37" ht="18" customHeight="1">
      <c r="A26" s="928" t="s">
        <v>397</v>
      </c>
      <c r="B26" s="294" t="s">
        <v>754</v>
      </c>
      <c r="C26" s="21">
        <f ca="1">ROUND((C19+C20)*F26,0)</f>
        <v>45513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382974</v>
      </c>
      <c r="D29" s="1029"/>
      <c r="E29" s="1027"/>
      <c r="F29" s="1030"/>
      <c r="G29" s="1303"/>
      <c r="H29" s="325" t="s">
        <v>396</v>
      </c>
      <c r="I29" s="326" t="s">
        <v>768</v>
      </c>
      <c r="J29" s="327">
        <f ca="1">ROUND(J26/(1+F40)^F41,0)</f>
        <v>0</v>
      </c>
      <c r="K29" s="328" t="s">
        <v>769</v>
      </c>
      <c r="L29" s="329"/>
      <c r="M29" s="330">
        <f ca="1">INDIRECT("'数据-取费表'!k"&amp;$G$1)</f>
        <v>105.3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54178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51603</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16419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35184</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766</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268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1541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254067</v>
      </c>
      <c r="D39" s="1032" t="s">
        <v>773</v>
      </c>
      <c r="E39" s="1033"/>
      <c r="F39" s="1034"/>
      <c r="G39" s="1292"/>
      <c r="H39" s="2473"/>
      <c r="I39" s="1305"/>
      <c r="J39" s="1306"/>
      <c r="K39" s="2471"/>
      <c r="L39" s="2473"/>
      <c r="M39" s="2473"/>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f ca="1">C39/C5</f>
        <v>0.82423721390452398</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0</v>
      </c>
      <c r="D43" s="328" t="s">
        <v>777</v>
      </c>
      <c r="E43" s="329" t="s">
        <v>778</v>
      </c>
      <c r="F43" s="330">
        <f ca="1">INDIRECT("'数据-取费表'!k"&amp;$G$1)</f>
        <v>105.3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0</v>
      </c>
      <c r="D45" s="3130" t="s">
        <v>3355</v>
      </c>
      <c r="E45" s="1307"/>
      <c r="F45" s="1307"/>
      <c r="O45" s="1310" t="s">
        <v>808</v>
      </c>
      <c r="P45" s="1366"/>
      <c r="Q45" s="1366"/>
      <c r="R45" s="1366"/>
    </row>
    <row r="46" spans="1:18" s="1292" customFormat="1" ht="13.8" thickBot="1">
      <c r="A46" s="1311" t="s">
        <v>809</v>
      </c>
      <c r="C46" s="1312">
        <f ca="1">ROUND(C45,0)</f>
        <v>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3519</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3520</v>
      </c>
      <c r="K48" s="1330" t="s">
        <v>820</v>
      </c>
      <c r="L48" s="1331">
        <f ca="1">INDIRECT("'数据-取费表'!f"&amp;$G$1)</f>
        <v>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382974</v>
      </c>
      <c r="R49" s="1327" t="s">
        <v>818</v>
      </c>
    </row>
    <row r="50" spans="1:18" s="1292" customFormat="1" ht="13.8" thickBot="1">
      <c r="A50" s="922"/>
      <c r="B50" s="925"/>
      <c r="C50" s="926"/>
      <c r="D50" s="899"/>
      <c r="E50" s="993" t="s">
        <v>697</v>
      </c>
      <c r="F50" s="994">
        <f ca="1">F7</f>
        <v>105.3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4295642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f ca="1">Q47+Q48</f>
        <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268082</v>
      </c>
      <c r="D56" s="1352"/>
      <c r="E56" s="1353"/>
      <c r="F56" s="1345"/>
      <c r="I56" s="1354" t="s">
        <v>842</v>
      </c>
      <c r="J56" s="1355" t="s">
        <v>3413</v>
      </c>
      <c r="K56" s="1328" t="s">
        <v>843</v>
      </c>
      <c r="L56" s="1331" t="str">
        <f ca="1">IF(L48&lt;J51,"——",L48-J51)</f>
        <v>——</v>
      </c>
      <c r="O56" s="1325" t="s">
        <v>403</v>
      </c>
      <c r="P56" s="1326" t="s">
        <v>817</v>
      </c>
      <c r="Q56" s="1327">
        <f ca="1">C40+J29</f>
        <v>0</v>
      </c>
      <c r="R56" s="1327" t="s">
        <v>818</v>
      </c>
    </row>
    <row r="57" spans="1:18" s="1292" customFormat="1" ht="24.6" thickBot="1">
      <c r="A57" s="1356"/>
      <c r="B57" s="896" t="s">
        <v>767</v>
      </c>
      <c r="C57" s="230">
        <f ca="1">C29</f>
        <v>382974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1034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268</v>
      </c>
      <c r="D65" s="910" t="s">
        <v>743</v>
      </c>
      <c r="E65" s="896" t="s">
        <v>744</v>
      </c>
      <c r="F65" s="321">
        <f t="shared" ca="1" si="0"/>
        <v>1E-3</v>
      </c>
      <c r="I65" s="1367" t="s">
        <v>867</v>
      </c>
      <c r="J65" s="610">
        <v>40</v>
      </c>
      <c r="K65" s="610">
        <v>30</v>
      </c>
      <c r="L65" s="610">
        <v>50</v>
      </c>
      <c r="M65" s="1369">
        <v>0.02</v>
      </c>
      <c r="O65" s="1325" t="s">
        <v>403</v>
      </c>
      <c r="P65" s="1326" t="s">
        <v>868</v>
      </c>
      <c r="Q65" s="1327">
        <f ca="1">C40+J29</f>
        <v>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-1034</v>
      </c>
      <c r="D67" s="909" t="s">
        <v>753</v>
      </c>
      <c r="E67" s="914"/>
      <c r="F67" s="915"/>
      <c r="O67" s="1334" t="s">
        <v>405</v>
      </c>
      <c r="P67" s="1326" t="s">
        <v>850</v>
      </c>
      <c r="Q67" s="1370">
        <f ca="1">L51</f>
        <v>4295642</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235301</v>
      </c>
      <c r="R68" s="1327" t="s">
        <v>414</v>
      </c>
    </row>
    <row r="69" spans="1:18" s="1292" customFormat="1" ht="13.8" thickBot="1">
      <c r="A69" s="897"/>
      <c r="B69" s="898"/>
      <c r="C69" s="298"/>
      <c r="D69" s="916" t="s">
        <v>762</v>
      </c>
      <c r="E69" s="896" t="s">
        <v>763</v>
      </c>
      <c r="F69" s="324">
        <f ca="1">F41</f>
        <v>0</v>
      </c>
      <c r="O69" s="1334" t="s">
        <v>411</v>
      </c>
      <c r="P69" s="1371" t="s">
        <v>872</v>
      </c>
      <c r="Q69" s="1327">
        <f ca="1">C39</f>
        <v>254067</v>
      </c>
      <c r="R69" s="1327" t="s">
        <v>818</v>
      </c>
    </row>
    <row r="70" spans="1:18" s="1292" customFormat="1" ht="13.8" thickBot="1">
      <c r="A70" s="900"/>
      <c r="B70" s="901"/>
      <c r="C70" s="302"/>
      <c r="D70" s="912"/>
      <c r="E70" s="896" t="s">
        <v>766</v>
      </c>
      <c r="F70" s="991"/>
      <c r="O70" s="1334" t="s">
        <v>412</v>
      </c>
      <c r="P70" s="1371" t="s">
        <v>873</v>
      </c>
      <c r="Q70" s="1327">
        <f ca="1">C13</f>
        <v>268082</v>
      </c>
      <c r="R70" s="1327" t="s">
        <v>818</v>
      </c>
    </row>
    <row r="71" spans="1:18" s="1292" customFormat="1" ht="13.8" thickBot="1">
      <c r="A71" s="917" t="s">
        <v>396</v>
      </c>
      <c r="B71" s="918" t="s">
        <v>776</v>
      </c>
      <c r="C71" s="327">
        <f ca="1">ROUND(C68/F71,0)</f>
        <v>0</v>
      </c>
      <c r="D71" s="919" t="s">
        <v>777</v>
      </c>
      <c r="E71" s="920" t="s">
        <v>778</v>
      </c>
      <c r="F71" s="330">
        <f ca="1">F43</f>
        <v>105.3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18766</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0.92600000000000005</v>
      </c>
    </row>
    <row r="80" spans="1:18">
      <c r="B80" s="331" t="s">
        <v>800</v>
      </c>
      <c r="C80" s="266">
        <f ca="1">ROUND(C75/C39,3)</f>
        <v>7.3999999999999996E-2</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7" t="s">
        <v>2841</v>
      </c>
      <c r="B1" s="3487"/>
      <c r="C1" s="3487"/>
      <c r="D1" s="3487"/>
      <c r="E1" s="3487"/>
      <c r="F1" s="3487"/>
      <c r="G1" s="3488"/>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5"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486"/>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9" t="s">
        <v>3183</v>
      </c>
      <c r="B1" s="3489"/>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90" t="s">
        <v>3234</v>
      </c>
      <c r="B1" s="3490"/>
      <c r="C1" s="3490"/>
      <c r="D1" s="3490"/>
      <c r="E1" s="3490"/>
      <c r="F1" s="3491"/>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7">
        <f>基准地价修正!G23</f>
        <v>45629</v>
      </c>
      <c r="B1" s="2929" t="s">
        <v>3384</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30" s="2010" customFormat="1" ht="1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3.2">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3380</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3381</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3377</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3373</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3372</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3370</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3369</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3368</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3366</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3357</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3387</v>
      </c>
    </row>
    <row r="24" spans="1:30">
      <c r="I24" s="1405" t="s">
        <v>2827</v>
      </c>
    </row>
    <row r="26" spans="1:30" s="2009" customFormat="1" ht="13.2">
      <c r="B26" s="2929" t="s">
        <v>3385</v>
      </c>
      <c r="C26" s="2930"/>
      <c r="D26" s="2930"/>
      <c r="E26" s="2930"/>
      <c r="F26" s="2930"/>
      <c r="G26" s="2930"/>
      <c r="H26" s="2930"/>
      <c r="I26" s="2930"/>
      <c r="J26" s="2896"/>
      <c r="K26" s="2930" t="s">
        <v>2828</v>
      </c>
      <c r="L26" s="2930"/>
      <c r="M26" s="2930"/>
      <c r="N26" s="2930"/>
      <c r="O26" s="2930"/>
      <c r="P26" s="2930"/>
      <c r="Q26" s="2896"/>
      <c r="R26" s="3492" t="s">
        <v>2829</v>
      </c>
      <c r="S26" s="3493"/>
      <c r="T26" s="3493"/>
      <c r="U26" s="3493"/>
      <c r="V26" s="3493"/>
      <c r="W26" s="3493"/>
      <c r="X26" s="2896"/>
      <c r="Y26" s="3492" t="s">
        <v>2830</v>
      </c>
      <c r="Z26" s="3493"/>
      <c r="AA26" s="3493"/>
      <c r="AB26" s="3493"/>
      <c r="AC26" s="3493"/>
      <c r="AD26" s="3493"/>
    </row>
    <row r="27" spans="1:30" s="2010" customFormat="1" ht="1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3.2">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3380</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3382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3383</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3376</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3374</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3372</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3371</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3369</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3368</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3367</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3357</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30">
      <c r="A4" s="1403" t="str">
        <f>项目基本情况!S2</f>
        <v>北京市崇文区西兴隆街88.90.92号房地产</v>
      </c>
      <c r="B4" s="801">
        <f>项目基本情况!C17</f>
        <v>105.3</v>
      </c>
      <c r="C4" s="801">
        <f>项目基本情况!C18</f>
        <v>0</v>
      </c>
      <c r="D4" s="801">
        <f>结果表!D118</f>
        <v>0</v>
      </c>
      <c r="E4" s="801">
        <f>结果表!E118</f>
        <v>0</v>
      </c>
      <c r="F4" s="801">
        <f>结果表!F118</f>
        <v>0</v>
      </c>
      <c r="G4" s="801">
        <f>结果表!G118</f>
        <v>0</v>
      </c>
      <c r="H4" s="801">
        <f ca="1">结果表!H118</f>
        <v>0</v>
      </c>
      <c r="I4" s="801">
        <f ca="1">结果表!I118</f>
        <v>9</v>
      </c>
    </row>
    <row r="5" spans="1:9" ht="30" customHeight="1">
      <c r="A5" s="3178" t="s">
        <v>927</v>
      </c>
      <c r="B5" s="3178"/>
      <c r="C5" s="3178"/>
      <c r="D5" s="3178" t="str">
        <f>结果表!D119</f>
        <v>零元整</v>
      </c>
      <c r="E5" s="3178"/>
      <c r="F5" s="3178" t="str">
        <f>结果表!F119</f>
        <v>零元整</v>
      </c>
      <c r="G5" s="3178"/>
      <c r="H5" s="3178" t="str">
        <f ca="1">结果表!H119</f>
        <v>零元整</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f ca="1">结果表!D122</f>
        <v>0</v>
      </c>
      <c r="E8" s="3179"/>
      <c r="F8" s="3179"/>
      <c r="G8" s="3179"/>
      <c r="H8" s="3179"/>
      <c r="I8" s="3179"/>
    </row>
    <row r="9" spans="1:9" ht="15">
      <c r="A9" s="3178" t="s">
        <v>927</v>
      </c>
      <c r="B9" s="3178"/>
      <c r="C9" s="3178"/>
      <c r="D9" s="3178" t="str">
        <f ca="1">结果表!D123</f>
        <v>零元整</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9"/>
      <c r="C12" s="3189"/>
      <c r="D12" s="3189"/>
    </row>
    <row r="13" spans="1:4" ht="30" customHeight="1">
      <c r="A13" s="3188" t="str">
        <f>IF(项目基本情况!B8="抵押","3.抵押双方在办理抵押登记手续时，应使用本公司出具的正式《房地产评估报告》，特提醒报告使用者注意。","——")</f>
        <v>——</v>
      </c>
      <c r="B13" s="3189"/>
      <c r="C13" s="3189"/>
      <c r="D13" s="3189"/>
    </row>
    <row r="14" spans="1:4" ht="15.75" customHeight="1">
      <c r="A14" s="3188" t="str">
        <f>IF(项目基本情况!B8="抵押","4.本次评估估价师所知悉的法定优先受偿款情况说明如下：","——")</f>
        <v>——</v>
      </c>
      <c r="B14" s="3189"/>
      <c r="C14" s="3189"/>
      <c r="D14" s="3189"/>
    </row>
    <row r="15" spans="1:4" ht="42" customHeight="1">
      <c r="A15" s="3188" t="str">
        <f>IF(项目基本情况!B8="抵押","（1）"&amp;CONCATENATE(项目基本情况!L20,项目基本情况!L21,项目基本情况!L22),"——")</f>
        <v>——</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2024-12-03T07:53:33Z</dcterms:modified>
</cp:coreProperties>
</file>