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比较案例" sheetId="80" r:id="rId45"/>
    <sheet name="收益法 (元)" sheetId="67" r:id="rId46"/>
    <sheet name="Sheet1"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J49" i="67" l="1"/>
  <c r="Y6" i="1"/>
  <c r="P47" i="81"/>
  <c r="P36" i="81"/>
  <c r="P27" i="81"/>
  <c r="P16" i="81"/>
  <c r="P5" i="81"/>
  <c r="C34" i="34"/>
  <c r="I7" i="34" l="1"/>
  <c r="G7" i="34"/>
  <c r="E7" i="34"/>
  <c r="N6" i="1" l="1"/>
  <c r="N19" i="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D38" i="71"/>
  <c r="C43" i="7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S36" i="34" s="1"/>
  <c r="J35" i="34"/>
  <c r="AC35" i="34" s="1"/>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F28" i="34"/>
  <c r="AA28" i="34" s="1"/>
  <c r="F25" i="34"/>
  <c r="S25" i="34" s="1"/>
  <c r="F19" i="34"/>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4" i="33"/>
  <c r="J36" i="37"/>
  <c r="AC36" i="37"/>
  <c r="J10" i="36"/>
  <c r="AC10" i="36" s="1"/>
  <c r="AB26" i="33"/>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W47" i="34"/>
  <c r="AB13" i="34"/>
  <c r="AA13" i="33"/>
  <c r="AC31" i="33"/>
  <c r="AC45" i="33"/>
  <c r="W44"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3" i="34"/>
  <c r="AC39" i="34"/>
  <c r="W41" i="34"/>
  <c r="AC42" i="34"/>
  <c r="U39" i="34"/>
  <c r="S43" i="34"/>
  <c r="AA45" i="34"/>
  <c r="AA25" i="34"/>
  <c r="U28" i="34"/>
  <c r="S17" i="34"/>
  <c r="AA29"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W33" i="34"/>
  <c r="AC14" i="34"/>
  <c r="AC32" i="34"/>
  <c r="AC29" i="34"/>
  <c r="W29" i="34"/>
  <c r="W46" i="34"/>
  <c r="AC46" i="34"/>
  <c r="S32" i="34"/>
  <c r="AA32" i="34"/>
  <c r="U30" i="34"/>
  <c r="AB30" i="34"/>
  <c r="S37" i="34"/>
  <c r="U38" i="34"/>
  <c r="AC40" i="34"/>
  <c r="W40" i="34"/>
  <c r="AA19" i="34"/>
  <c r="S19" i="34"/>
  <c r="S8" i="34"/>
  <c r="AB9" i="34"/>
  <c r="U9" i="34"/>
  <c r="S46" i="34"/>
  <c r="AA46" i="34"/>
  <c r="U32" i="34"/>
  <c r="AB32" i="34"/>
  <c r="U14" i="34"/>
  <c r="AB14" i="34"/>
  <c r="AC43" i="34"/>
  <c r="W4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6" i="15"/>
  <c r="C76" i="15"/>
  <c r="E11" i="76"/>
  <c r="M24" i="67"/>
  <c r="M24" i="15"/>
  <c r="M29" i="15"/>
  <c r="B11" i="76"/>
  <c r="M22" i="15"/>
  <c r="J15" i="15"/>
  <c r="E8" i="76"/>
  <c r="F13" i="67"/>
  <c r="M26" i="67"/>
  <c r="AO13" i="1"/>
  <c r="F40" i="15"/>
  <c r="E9" i="76"/>
  <c r="M23" i="67"/>
  <c r="J15" i="67"/>
  <c r="E2" i="68"/>
  <c r="M23" i="15"/>
  <c r="F9" i="15"/>
  <c r="F16" i="15"/>
  <c r="E12" i="76"/>
  <c r="F43" i="67"/>
  <c r="M28" i="67"/>
  <c r="D3" i="73"/>
  <c r="F26" i="67"/>
  <c r="F42" i="67"/>
  <c r="F42" i="15"/>
  <c r="F37" i="15"/>
  <c r="F5" i="73"/>
  <c r="F7" i="73"/>
  <c r="B12" i="76"/>
  <c r="D7" i="73"/>
  <c r="M9" i="15"/>
  <c r="D5" i="73"/>
  <c r="F7" i="15"/>
  <c r="F38" i="15"/>
  <c r="M9" i="67"/>
  <c r="F7" i="67"/>
  <c r="M8" i="15"/>
  <c r="F6" i="73"/>
  <c r="M8" i="67"/>
  <c r="F9" i="67"/>
  <c r="F6" i="67"/>
  <c r="F20" i="31"/>
  <c r="F43" i="15"/>
  <c r="M26" i="15"/>
  <c r="F36" i="15"/>
  <c r="D34" i="9"/>
  <c r="F4" i="73"/>
  <c r="C76" i="67"/>
  <c r="E7" i="76"/>
  <c r="F8" i="67"/>
  <c r="M6" i="67"/>
  <c r="L48" i="15"/>
  <c r="F16" i="67"/>
  <c r="F8" i="15"/>
  <c r="B7" i="76"/>
  <c r="L48" i="67"/>
  <c r="F40" i="67"/>
  <c r="M22" i="67"/>
  <c r="F6" i="15"/>
  <c r="M29" i="67"/>
  <c r="D4" i="73"/>
  <c r="B10" i="76"/>
  <c r="D35" i="9"/>
  <c r="L47" i="15"/>
  <c r="E13" i="76"/>
  <c r="M28" i="15"/>
  <c r="B13" i="76"/>
  <c r="D6" i="73"/>
  <c r="F26" i="15"/>
  <c r="E10" i="76"/>
  <c r="F3" i="73"/>
  <c r="F13" i="15"/>
  <c r="F37" i="67"/>
  <c r="E2" i="69"/>
  <c r="F38" i="67"/>
  <c r="L47" i="67"/>
  <c r="F36" i="67"/>
  <c r="B9" i="76"/>
  <c r="B8" i="76"/>
  <c r="C28" i="67" l="1"/>
  <c r="H27" i="34"/>
  <c r="AB27" i="34" s="1"/>
  <c r="F27" i="34"/>
  <c r="AA27" i="34" s="1"/>
  <c r="AB41" i="34"/>
  <c r="AC44" i="34"/>
  <c r="S44" i="34"/>
  <c r="U44" i="34"/>
  <c r="AA36" i="34"/>
  <c r="AB36" i="34"/>
  <c r="AB35" i="34"/>
  <c r="AC36" i="34"/>
  <c r="S35" i="34"/>
  <c r="AB33" i="34"/>
  <c r="U27" i="34"/>
  <c r="S27" i="34"/>
  <c r="AC27" i="34"/>
  <c r="F86" i="34"/>
  <c r="G86" i="34" s="1"/>
  <c r="J23" i="34"/>
  <c r="H23" i="34"/>
  <c r="U23" i="34" s="1"/>
  <c r="F23" i="34"/>
  <c r="AA23" i="34" s="1"/>
  <c r="AB23" i="34"/>
  <c r="S23" i="34"/>
  <c r="U21" i="34"/>
  <c r="S21" i="34"/>
  <c r="AC21" i="34"/>
  <c r="AB17" i="34"/>
  <c r="AC17" i="34"/>
  <c r="U15" i="34"/>
  <c r="W8" i="34"/>
  <c r="E19" i="71"/>
  <c r="E18" i="71" s="1"/>
  <c r="E17" i="71" s="1"/>
  <c r="E16" i="71" s="1"/>
  <c r="V20" i="71"/>
  <c r="AZ557" i="3"/>
  <c r="BL5" i="3"/>
  <c r="G5" i="3"/>
  <c r="B3" i="3" s="1"/>
  <c r="E253" i="3" s="1"/>
  <c r="U31" i="34"/>
  <c r="D17" i="71"/>
  <c r="C16" i="71"/>
  <c r="D19" i="53"/>
  <c r="B38" i="72" s="1"/>
  <c r="D16" i="53"/>
  <c r="B34" i="72" s="1"/>
  <c r="W17" i="21"/>
  <c r="U12" i="39"/>
  <c r="G28" i="6"/>
  <c r="F29" i="6"/>
  <c r="AA41" i="34"/>
  <c r="S13" i="35"/>
  <c r="AA13" i="35"/>
  <c r="AB46" i="33"/>
  <c r="U46" i="33"/>
  <c r="AC9" i="34"/>
  <c r="W9" i="34"/>
  <c r="B73" i="43"/>
  <c r="B79" i="43"/>
  <c r="B76" i="43"/>
  <c r="B75" i="43"/>
  <c r="F9" i="34"/>
  <c r="AA9" i="34" s="1"/>
  <c r="AZ398" i="3"/>
  <c r="AZ405" i="3"/>
  <c r="AZ407" i="3"/>
  <c r="AZ410" i="3"/>
  <c r="AZ415" i="3"/>
  <c r="AZ420" i="3"/>
  <c r="AZ426" i="3"/>
  <c r="AZ431" i="3"/>
  <c r="AZ436" i="3"/>
  <c r="F25" i="37"/>
  <c r="J25" i="37"/>
  <c r="F26" i="37"/>
  <c r="H26" i="37"/>
  <c r="F44" i="39"/>
  <c r="H38" i="40"/>
  <c r="J38" i="40"/>
  <c r="H39" i="40"/>
  <c r="AZ444" i="3"/>
  <c r="AZ456" i="3"/>
  <c r="AZ466" i="3"/>
  <c r="AZ472" i="3"/>
  <c r="AZ475" i="3"/>
  <c r="AZ483" i="3"/>
  <c r="AZ489" i="3"/>
  <c r="AZ316" i="3"/>
  <c r="AZ332" i="3"/>
  <c r="AZ395" i="3"/>
  <c r="AZ208" i="3"/>
  <c r="AZ211" i="3"/>
  <c r="AZ219" i="3"/>
  <c r="AZ236" i="3"/>
  <c r="AZ252" i="3"/>
  <c r="AZ272" i="3"/>
  <c r="AZ276" i="3"/>
  <c r="AZ289" i="3"/>
  <c r="AZ294" i="3"/>
  <c r="AZ300" i="3"/>
  <c r="AZ118" i="3"/>
  <c r="AZ121" i="3"/>
  <c r="AZ246" i="3"/>
  <c r="AZ205" i="3"/>
  <c r="AZ18" i="3"/>
  <c r="AZ23" i="3"/>
  <c r="AZ27" i="3"/>
  <c r="AZ52" i="3"/>
  <c r="AZ56" i="3"/>
  <c r="AZ68" i="3"/>
  <c r="AZ73" i="3"/>
  <c r="AZ87" i="3"/>
  <c r="AZ95" i="3"/>
  <c r="AZ108" i="3"/>
  <c r="S21" i="21"/>
  <c r="U18" i="36"/>
  <c r="D27" i="71"/>
  <c r="AB27" i="71"/>
  <c r="S28" i="71"/>
  <c r="AA29" i="71"/>
  <c r="Y9" i="71"/>
  <c r="Z9" i="71" s="1"/>
  <c r="Y10" i="71"/>
  <c r="Z10" i="71" s="1"/>
  <c r="AA9" i="71"/>
  <c r="AA10" i="71"/>
  <c r="X24" i="71"/>
  <c r="AA24" i="71"/>
  <c r="Y22" i="71"/>
  <c r="Z22" i="71" s="1"/>
  <c r="AB23" i="71"/>
  <c r="AA22" i="71"/>
  <c r="X21" i="71"/>
  <c r="X17" i="71"/>
  <c r="Y17" i="71"/>
  <c r="Z17" i="71" s="1"/>
  <c r="AA17" i="71"/>
  <c r="AB18" i="71"/>
  <c r="Y14" i="71"/>
  <c r="Z14" i="71" s="1"/>
  <c r="X9" i="71"/>
  <c r="X10" i="71"/>
  <c r="AB10" i="71"/>
  <c r="AB9" i="71"/>
  <c r="AB24" i="71"/>
  <c r="X22" i="71"/>
  <c r="AA23" i="71"/>
  <c r="Y21" i="71"/>
  <c r="Z21" i="71" s="1"/>
  <c r="Y18" i="71"/>
  <c r="Z18" i="71" s="1"/>
  <c r="AB21" i="71"/>
  <c r="X18" i="71"/>
  <c r="AA18" i="71"/>
  <c r="X12" i="71"/>
  <c r="AA14" i="71"/>
  <c r="F67" i="71"/>
  <c r="Y24" i="71"/>
  <c r="Z24" i="71" s="1"/>
  <c r="AA21" i="71"/>
  <c r="AB15" i="71"/>
  <c r="AB17" i="71"/>
  <c r="AB12" i="71"/>
  <c r="AB14" i="71"/>
  <c r="Y11" i="71"/>
  <c r="Z11" i="71" s="1"/>
  <c r="Y13" i="71"/>
  <c r="Z13" i="71" s="1"/>
  <c r="AA12" i="71"/>
  <c r="X13" i="71"/>
  <c r="Y23" i="71"/>
  <c r="Z23" i="71" s="1"/>
  <c r="X15" i="71"/>
  <c r="AA15" i="71"/>
  <c r="AB11" i="71"/>
  <c r="AB13" i="71"/>
  <c r="Y12" i="71"/>
  <c r="Z12"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AC23" i="34" l="1"/>
  <c r="W23" i="34"/>
  <c r="S9" i="34"/>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C38" i="40"/>
  <c r="W38" i="40"/>
  <c r="AA44" i="39"/>
  <c r="S44" i="39"/>
  <c r="AA26" i="37"/>
  <c r="S26" i="37"/>
  <c r="AA25" i="37"/>
  <c r="S25" i="37"/>
  <c r="C15" i="71"/>
  <c r="T16" i="71"/>
  <c r="B15" i="71"/>
  <c r="B14" i="71" s="1"/>
  <c r="B13" i="71" s="1"/>
  <c r="B12" i="71" s="1"/>
  <c r="S16" i="71"/>
  <c r="F66" i="71"/>
  <c r="Q67" i="71"/>
  <c r="U39" i="40"/>
  <c r="AB39" i="40"/>
  <c r="AB38" i="40"/>
  <c r="U38" i="40"/>
  <c r="AB26" i="37"/>
  <c r="U26" i="37"/>
  <c r="AC25" i="37"/>
  <c r="W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202" i="3"/>
  <c r="E225" i="3"/>
  <c r="E242" i="3"/>
  <c r="E281" i="3"/>
  <c r="E226" i="3"/>
  <c r="E243" i="3"/>
  <c r="E276" i="3"/>
  <c r="E332" i="3"/>
  <c r="E346" i="3"/>
  <c r="E333" i="3"/>
  <c r="E356" i="3"/>
  <c r="E372" i="3"/>
  <c r="L6" i="3"/>
  <c r="E60" i="3"/>
  <c r="E43" i="3"/>
  <c r="E75" i="3"/>
  <c r="E428" i="3"/>
  <c r="E482" i="3"/>
  <c r="E412" i="3"/>
  <c r="E455" i="3"/>
  <c r="E79" i="3"/>
  <c r="E38" i="3"/>
  <c r="E100" i="3"/>
  <c r="E170" i="3"/>
  <c r="E137" i="3"/>
  <c r="E194" i="3"/>
  <c r="E234" i="3"/>
  <c r="E219" i="3"/>
  <c r="E235" i="3"/>
  <c r="E324" i="3"/>
  <c r="E383" i="3"/>
  <c r="E325" i="3"/>
  <c r="E392" i="3"/>
  <c r="AQ6" i="3"/>
  <c r="E35" i="3"/>
  <c r="E86" i="3"/>
  <c r="E34" i="3"/>
  <c r="E49" i="3"/>
  <c r="E206" i="3"/>
  <c r="E232" i="3"/>
  <c r="E251" i="3"/>
  <c r="E340" i="3"/>
  <c r="E364" i="3"/>
  <c r="E50" i="3"/>
  <c r="E20" i="3"/>
  <c r="E62" i="3"/>
  <c r="E176" i="3"/>
  <c r="E218" i="3"/>
  <c r="E287" i="3"/>
  <c r="E308" i="3"/>
  <c r="E326" i="3"/>
  <c r="E22" i="3"/>
  <c r="E83" i="3"/>
  <c r="E139" i="3"/>
  <c r="E391" i="3"/>
  <c r="AL6" i="3"/>
  <c r="E42" i="3"/>
  <c r="E94" i="3"/>
  <c r="E540" i="3"/>
  <c r="E473" i="3"/>
  <c r="E15" i="3"/>
  <c r="E18" i="3"/>
  <c r="E96" i="3"/>
  <c r="E78" i="3"/>
  <c r="E129" i="3"/>
  <c r="E190" i="3"/>
  <c r="E174" i="3"/>
  <c r="E220" i="3"/>
  <c r="E275" i="3"/>
  <c r="E299" i="3"/>
  <c r="E339" i="3"/>
  <c r="E342" i="3"/>
  <c r="E522" i="3"/>
  <c r="E52" i="3"/>
  <c r="E36" i="3"/>
  <c r="E112" i="3"/>
  <c r="E123" i="3"/>
  <c r="E147" i="3"/>
  <c r="E289" i="3"/>
  <c r="E370" i="3"/>
  <c r="AF6" i="3"/>
  <c r="E102" i="3"/>
  <c r="E80" i="3"/>
  <c r="E113" i="3"/>
  <c r="E158" i="3"/>
  <c r="E265" i="3"/>
  <c r="E365" i="3"/>
  <c r="E524" i="3"/>
  <c r="E10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G54" i="34" l="1"/>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L51" i="15"/>
  <c r="D2" i="34"/>
  <c r="D2" i="36"/>
  <c r="D2" i="37"/>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12" i="1"/>
  <c r="AO6" i="1"/>
  <c r="AO10" i="1"/>
  <c r="AO8" i="1"/>
  <c r="C19" i="9"/>
  <c r="AO11" i="1"/>
  <c r="AO7" i="1"/>
  <c r="AO9"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G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66" i="9"/>
  <c r="B53" i="72"/>
  <c r="C105" i="9"/>
  <c r="I4" i="52"/>
  <c r="D53" i="9"/>
  <c r="D52" i="9"/>
  <c r="B30" i="72"/>
  <c r="H4" i="52"/>
  <c r="C104" i="9"/>
  <c r="P57" i="9"/>
  <c r="N58" i="9"/>
  <c r="N60" i="9"/>
  <c r="N61" i="9"/>
  <c r="N59" i="9"/>
  <c r="L66" i="9"/>
  <c r="B20" i="72"/>
  <c r="B51" i="72"/>
  <c r="E97" i="9"/>
  <c r="H119" i="9"/>
  <c r="H5" i="52"/>
  <c r="L68" i="9"/>
  <c r="M68" i="9"/>
  <c r="C78" i="9"/>
  <c r="C73" i="9"/>
  <c r="L64" i="9"/>
  <c r="M64" i="9"/>
  <c r="M55" i="9"/>
  <c r="F5" i="52"/>
  <c r="C81" i="9"/>
  <c r="C5" i="74"/>
  <c r="N69" i="9"/>
  <c r="D8" i="52"/>
  <c r="D13" i="53"/>
  <c r="D14" i="53"/>
  <c r="B32" i="72"/>
  <c r="H102" i="9"/>
  <c r="D7" i="53"/>
  <c r="B21" i="72"/>
  <c r="L65" i="9"/>
  <c r="M65" i="9"/>
  <c r="L67" i="9"/>
  <c r="M67" i="9"/>
  <c r="M54" i="9"/>
  <c r="F4" i="52"/>
  <c r="F119" i="9"/>
  <c r="B52" i="72"/>
  <c r="E96" i="9"/>
  <c r="B47" i="72"/>
  <c r="C72" i="9"/>
  <c r="C79" i="9"/>
  <c r="C80" i="9"/>
  <c r="E80" i="9"/>
  <c r="E81" i="9"/>
  <c r="C93" i="9"/>
  <c r="C86" i="9"/>
  <c r="E4" i="52"/>
  <c r="B48" i="72"/>
  <c r="M48" i="9"/>
  <c r="B31" i="72"/>
  <c r="D5" i="53"/>
  <c r="D6" i="53"/>
  <c r="B22" i="72"/>
  <c r="D59" i="9"/>
  <c r="D4" i="52"/>
  <c r="E118" i="9"/>
  <c r="D118" i="9"/>
  <c r="D119" i="9"/>
  <c r="D5" i="52"/>
  <c r="B49" i="72"/>
  <c r="M49" i="9"/>
  <c r="L63" i="9"/>
  <c r="M63" i="9"/>
  <c r="M69" i="9"/>
  <c r="D122" i="9"/>
  <c r="D123" i="9"/>
  <c r="D9" i="52"/>
  <c r="D15" i="53"/>
  <c r="H107" i="9"/>
  <c r="H108" i="9"/>
  <c r="C6" i="74"/>
  <c r="C96" i="9"/>
  <c r="C85" i="9"/>
  <c r="C95" i="9"/>
  <c r="C97" i="9"/>
  <c r="D58" i="9"/>
  <c r="D56" i="9"/>
  <c r="F118" i="9"/>
  <c r="G118" i="9"/>
  <c r="G4" i="52"/>
  <c r="D55" i="9"/>
  <c r="M53" i="9"/>
  <c r="N57" i="9"/>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<sst xmlns="http://schemas.openxmlformats.org/spreadsheetml/2006/main" count="7845" uniqueCount="3418">
  <si>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</si>
  <si>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</si>
  <si>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</si>
  <si>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</si>
  <si>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</si>
  <si>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</si>
  <si>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</si>
  <si>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</si>
  <si>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</si>
  <si>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</si>
  <si>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</si>
  <si>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</si>
  <si>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</si>
  <si>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</si>
  <si>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</si>
  <si>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</si>
  <si>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</si>
  <si>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</si>
  <si>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</si>
  <si>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</si>
  <si>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</si>
  <si>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</si>
  <si>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</si>
  <si>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</si>
  <si>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</si>
  <si>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</si>
  <si>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</si>
  <si>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</si>
  <si>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</si>
  <si>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</si>
  <si>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</si>
  <si>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</si>
  <si>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</si>
  <si>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</si>
  <si>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</si>
  <si>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</si>
  <si>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</si>
  <si>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</si>
  <si>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</si>
  <si>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</si>
  <si>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</si>
  <si>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</si>
  <si>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</si>
  <si>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</si>
  <si>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</si>
  <si>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</si>
  <si>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</si>
  <si>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</si>
  <si>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</si>
  <si>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</si>
  <si>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</si>
  <si>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</si>
  <si>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</si>
  <si>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</si>
  <si>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</si>
  <si>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</si>
  <si>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</si>
  <si>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</si>
  <si>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</si>
  <si>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</si>
  <si>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</si>
  <si>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</si>
  <si>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</si>
  <si>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</si>
  <si>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</si>
  <si>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</si>
  <si>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</si>
  <si>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</si>
  <si>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</si>
  <si>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</si>
  <si>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</si>
  <si>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</si>
  <si>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</si>
  <si>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</si>
  <si>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</si>
  <si>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</si>
  <si>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</si>
  <si>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</si>
  <si>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</si>
  <si>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</si>
  <si>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</si>
  <si>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</si>
  <si>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</si>
  <si>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</si>
  <si>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</si>
  <si>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</si>
  <si>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</si>
  <si>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</si>
  <si>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</si>
  <si>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</si>
  <si>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</si>
  <si>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</si>
  <si>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</si>
  <si>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</si>
  <si>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</si>
  <si>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</si>
  <si>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</si>
  <si>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</si>
  <si>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</si>
  <si>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</si>
  <si>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</si>
  <si>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</si>
  <si>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</si>
  <si>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</si>
  <si>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</si>
  <si>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</si>
  <si>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</si>
  <si>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</si>
  <si>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</si>
  <si>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</si>
  <si>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</si>
  <si>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</si>
  <si>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</si>
  <si>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</si>
  <si>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</si>
  <si>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</si>
  <si>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</si>
  <si>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</si>
  <si>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</si>
  <si>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</si>
  <si>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</si>
  <si>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</si>
  <si>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</si>
  <si>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</si>
  <si>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</si>
  <si>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</si>
  <si>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</si>
  <si>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</si>
  <si>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</si>
  <si>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</si>
  <si>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</si>
  <si>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</si>
  <si>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</si>
  <si>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</si>
  <si>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</si>
  <si>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</si>
  <si>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</si>
  <si>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</si>
  <si>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</si>
  <si>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</si>
  <si>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</si>
  <si>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</si>
  <si>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</si>
  <si>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</si>
  <si>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</si>
  <si>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</si>
  <si>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</si>
  <si>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</si>
  <si>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</si>
  <si>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</si>
  <si>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</si>
  <si>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</si>
  <si>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</si>
  <si>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</si>
  <si>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</si>
  <si>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</si>
  <si>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</si>
  <si>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</si>
  <si>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</si>
  <si>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</si>
  <si>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</si>
  <si>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</si>
  <si>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</si>
  <si>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</si>
  <si>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</si>
  <si>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</si>
  <si>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</si>
  <si>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</si>
  <si>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</si>
  <si>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</si>
  <si>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</si>
  <si>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</si>
  <si>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</si>
  <si>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</si>
  <si>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</si>
  <si>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</si>
  <si>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</si>
  <si>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</si>
  <si>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</si>
  <si>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</si>
  <si>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</si>
  <si>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</si>
  <si>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</si>
  <si>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</si>
  <si>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</si>
  <si>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</si>
  <si>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</si>
  <si>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</si>
  <si>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</si>
  <si>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</si>
  <si>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</si>
  <si>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</si>
  <si>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</si>
  <si>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</si>
  <si>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</si>
  <si>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</si>
  <si>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</si>
  <si>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</si>
  <si>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</si>
  <si>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</si>
  <si>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</si>
  <si>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</si>
  <si>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</si>
  <si>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</si>
  <si>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</si>
  <si>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</si>
  <si>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</si>
  <si>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</si>
  <si>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</si>
  <si>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</si>
  <si>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</si>
  <si>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</si>
  <si>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</si>
  <si>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</si>
  <si>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</si>
  <si>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</si>
  <si>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</si>
  <si>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</si>
  <si>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</si>
  <si>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</si>
  <si>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</si>
  <si>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</si>
  <si>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</si>
  <si>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</si>
  <si>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</si>
  <si>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</si>
  <si>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</si>
  <si>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</si>
  <si>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</si>
  <si>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</si>
  <si>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</si>
  <si>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</si>
  <si>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</si>
  <si>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</si>
  <si>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</si>
  <si>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</si>
  <si>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</si>
  <si>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</si>
  <si>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</si>
  <si>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</si>
  <si>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</si>
  <si>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</si>
  <si>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</si>
  <si>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</si>
  <si>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</si>
  <si>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</si>
  <si>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</si>
  <si>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</si>
  <si>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</si>
  <si>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</si>
  <si>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</si>
  <si>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</si>
  <si>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</si>
  <si>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</si>
  <si>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</si>
  <si>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</si>
  <si>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</si>
  <si>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</si>
  <si>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</si>
  <si>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</si>
  <si>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</si>
  <si>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</si>
  <si>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</si>
  <si>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</si>
  <si>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</si>
  <si>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</si>
  <si>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</si>
  <si>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</si>
  <si>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</si>
  <si>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</si>
  <si>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</si>
  <si>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</si>
  <si>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</si>
  <si>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</si>
  <si>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</si>
  <si>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</si>
  <si>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</si>
  <si>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</si>
  <si>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</si>
  <si>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</si>
  <si>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</si>
  <si>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</si>
  <si>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</si>
  <si>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</si>
  <si>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</si>
  <si>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</si>
  <si>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</si>
  <si>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</si>
  <si>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</si>
  <si>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</si>
  <si>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</si>
  <si>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</si>
  <si>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</si>
  <si>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</si>
  <si>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</si>
  <si>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</si>
  <si>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</si>
  <si>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</si>
  <si>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</si>
  <si>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</si>
  <si>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</si>
  <si>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</si>
  <si>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</si>
  <si>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</si>
  <si>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</si>
  <si>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</si>
  <si>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</si>
  <si>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</si>
  <si>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</si>
  <si>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</si>
  <si>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</si>
  <si>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</si>
  <si>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</si>
  <si>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</si>
  <si>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</si>
  <si>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</si>
  <si>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</si>
  <si>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</si>
  <si>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</si>
  <si>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</si>
  <si>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</si>
  <si>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</si>
  <si>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</si>
  <si>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</si>
  <si>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</si>
  <si>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</si>
  <si>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</si>
  <si>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</si>
  <si>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</si>
  <si>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</si>
  <si>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</si>
  <si>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</si>
  <si>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</si>
  <si>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</si>
  <si>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</si>
  <si>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</si>
  <si>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</si>
  <si>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</si>
  <si>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</si>
  <si>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</si>
  <si>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</si>
  <si>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</si>
  <si>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</si>
  <si>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</si>
  <si>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</si>
  <si>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</si>
  <si>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</si>
  <si>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</si>
  <si>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</si>
  <si>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</si>
  <si>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</si>
  <si>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</si>
  <si>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</si>
  <si>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</si>
  <si>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</si>
  <si>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</si>
  <si>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</si>
  <si>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</si>
  <si>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</si>
  <si>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</si>
  <si>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</si>
  <si>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</si>
  <si>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</si>
  <si>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</si>
  <si>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</si>
  <si>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</si>
  <si>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</si>
  <si>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</si>
  <si>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</si>
  <si>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</si>
  <si>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</si>
  <si>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</si>
  <si>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</si>
  <si>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</si>
  <si>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</si>
  <si>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</si>
  <si>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</si>
  <si>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</si>
  <si>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</si>
  <si>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</si>
  <si>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</si>
  <si>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</si>
  <si>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</si>
  <si>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</si>
  <si>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</si>
  <si>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</si>
  <si>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</si>
  <si>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</si>
  <si>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</si>
  <si>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</si>
  <si>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</si>
  <si>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</si>
  <si>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</si>
  <si>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</si>
  <si>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</si>
  <si>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</si>
  <si>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</si>
  <si>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</si>
  <si>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</si>
  <si>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</si>
  <si>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</si>
  <si>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</si>
  <si>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</si>
  <si>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</si>
  <si>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</si>
  <si>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</si>
  <si>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</si>
  <si>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</si>
  <si>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</si>
  <si>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</si>
  <si>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</si>
  <si>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</si>
  <si>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</si>
  <si>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</si>
  <si>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</si>
  <si>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</si>
  <si>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</si>
  <si>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</si>
  <si>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</si>
  <si>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</si>
  <si>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</si>
  <si>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</si>
  <si>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</si>
  <si>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</si>
  <si>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</si>
  <si>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</si>
  <si>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</si>
  <si>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</si>
  <si>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</si>
  <si>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</si>
  <si>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</si>
  <si>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</si>
  <si>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</si>
  <si>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</si>
  <si>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</si>
  <si>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</si>
  <si>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</si>
  <si>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</si>
  <si>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</si>
  <si>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</si>
  <si>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</si>
  <si>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</si>
  <si>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</si>
  <si>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</si>
  <si>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</si>
  <si>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</si>
  <si>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</si>
  <si>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</si>
  <si>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</si>
  <si>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</si>
  <si>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</si>
  <si>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</si>
  <si>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</si>
  <si>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</si>
  <si>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</si>
  <si>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</si>
  <si>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</si>
  <si>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</si>
  <si>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</si>
  <si>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</si>
  <si>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</si>
  <si>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</si>
  <si>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</si>
  <si>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</si>
  <si>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</si>
  <si>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</si>
  <si>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</si>
  <si>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</si>
  <si>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</si>
  <si>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</si>
  <si>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</si>
  <si>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</si>
  <si>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</si>
  <si>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</si>
  <si>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</si>
  <si>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</si>
  <si>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</si>
  <si>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</si>
  <si>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</si>
  <si>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</si>
  <si>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</si>
  <si>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</si>
  <si>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</si>
  <si>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</si>
  <si>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</si>
  <si>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</si>
  <si>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</si>
  <si>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</si>
  <si>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</si>
  <si>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</si>
  <si>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</si>
  <si>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</si>
  <si>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</si>
  <si>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</si>
  <si>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</si>
  <si>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</si>
  <si>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</si>
  <si>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</si>
  <si>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</si>
  <si>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</si>
  <si>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</si>
  <si>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</si>
  <si>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</si>
  <si>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</si>
  <si>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</si>
  <si>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</si>
  <si>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</si>
  <si>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</si>
  <si>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</si>
  <si>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</si>
  <si>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</si>
  <si>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</si>
  <si>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</si>
  <si>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</si>
  <si>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</si>
  <si>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</si>
  <si>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</si>
  <si>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</si>
  <si>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</si>
  <si>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</si>
  <si>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</si>
  <si>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</si>
  <si>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</si>
  <si>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</si>
  <si>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</si>
  <si>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</si>
  <si>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</si>
  <si>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</si>
  <si>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</si>
  <si>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</si>
  <si>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</si>
  <si>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</si>
  <si>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</si>
  <si>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</si>
  <si>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</si>
  <si>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</si>
  <si>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</si>
  <si>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</si>
  <si>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</si>
  <si>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</si>
  <si>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</si>
  <si>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</si>
  <si>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</si>
  <si>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</si>
  <si>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</si>
  <si>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</si>
  <si>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</si>
  <si>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</si>
  <si>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</si>
  <si>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</si>
  <si>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</si>
  <si>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</si>
  <si>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</si>
  <si>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</si>
  <si>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</si>
  <si>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</si>
  <si>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</si>
  <si>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</si>
  <si>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</si>
  <si>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</si>
  <si>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</si>
  <si>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</si>
  <si>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</si>
  <si>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</si>
  <si>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</si>
  <si>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</si>
  <si>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</si>
  <si>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</si>
  <si>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</si>
  <si>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</si>
  <si>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</si>
  <si>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</si>
  <si>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</si>
  <si>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</si>
  <si>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</si>
  <si>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</si>
  <si>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</si>
  <si>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</si>
  <si>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</si>
  <si>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</si>
  <si>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</si>
  <si>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</si>
  <si>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</si>
  <si>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</si>
  <si>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</si>
  <si>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</si>
  <si>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</si>
  <si>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</si>
  <si>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</si>
  <si>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</si>
  <si>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</si>
  <si>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</si>
  <si>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</si>
  <si>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</si>
  <si>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</si>
  <si>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</si>
  <si>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</si>
  <si>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</si>
  <si>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</si>
  <si>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</si>
  <si>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</si>
  <si>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</si>
  <si>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</si>
  <si>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</si>
  <si>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</si>
  <si>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</si>
  <si>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</si>
  <si>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</si>
  <si>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</si>
  <si>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</si>
  <si>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</si>
  <si>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</si>
  <si>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</si>
  <si>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</si>
  <si>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</si>
  <si>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</si>
  <si>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</si>
  <si>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</si>
  <si>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</si>
  <si>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</si>
  <si>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</si>
  <si>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</si>
  <si>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</si>
  <si>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</si>
  <si>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</si>
  <si>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</si>
  <si>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</si>
  <si>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</si>
  <si>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</si>
  <si>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</si>
  <si>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</si>
  <si>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</si>
  <si>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</si>
  <si>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</si>
  <si>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</si>
  <si>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</si>
  <si>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</si>
  <si>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</si>
  <si>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</si>
  <si>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</si>
  <si>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</si>
  <si>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</si>
  <si>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</si>
  <si>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</si>
  <si>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</si>
  <si>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</si>
  <si>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</si>
  <si>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</si>
  <si>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</si>
  <si>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</si>
  <si>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</si>
  <si>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</si>
  <si>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</si>
  <si>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</si>
  <si>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</si>
  <si>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</si>
  <si>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</si>
  <si>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</si>
  <si>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</si>
  <si>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</si>
  <si>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</si>
  <si>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</si>
  <si>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</si>
  <si>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</si>
  <si>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</si>
  <si>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</si>
  <si>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</si>
  <si>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</si>
  <si>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</si>
  <si>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</si>
  <si>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</si>
  <si>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</si>
  <si>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</si>
  <si>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</si>
  <si>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</si>
  <si>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</si>
  <si>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</si>
  <si>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</si>
  <si>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</si>
  <si>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</si>
  <si>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</si>
  <si>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</si>
  <si>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</si>
  <si>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</si>
  <si>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</si>
  <si>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</si>
  <si>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</si>
  <si>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</si>
  <si>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</si>
  <si>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</si>
  <si>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</si>
  <si>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</si>
  <si>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</si>
  <si>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</si>
  <si>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</si>
  <si>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</si>
  <si>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</si>
  <si>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</si>
  <si>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</si>
  <si>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</si>
  <si>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</si>
  <si>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</si>
  <si>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</si>
  <si>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</si>
  <si>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</si>
  <si>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</si>
  <si>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</si>
  <si>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</si>
  <si>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</si>
  <si>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</si>
  <si>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</si>
  <si>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</si>
  <si>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</si>
  <si>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</si>
  <si>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</si>
  <si>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</si>
  <si>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</si>
  <si>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</si>
  <si>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</si>
  <si>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</si>
  <si>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</si>
  <si>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</si>
  <si>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</si>
  <si>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</si>
  <si>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</si>
  <si>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</si>
  <si>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</si>
  <si>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</si>
  <si>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</si>
  <si>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</si>
  <si>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</si>
  <si>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</si>
  <si>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</si>
  <si>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</si>
  <si>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</si>
  <si>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</si>
  <si>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</si>
  <si>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</si>
  <si>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</si>
  <si>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</si>
  <si>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</si>
  <si>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</si>
  <si>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</si>
  <si>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</si>
  <si>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</si>
  <si>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</si>
  <si>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</si>
  <si>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</si>
  <si>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</si>
  <si>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</si>
  <si>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</si>
  <si>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</si>
  <si>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</si>
  <si>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</si>
  <si>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</si>
  <si>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</si>
  <si>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</si>
  <si>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</si>
  <si>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</si>
  <si>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</si>
  <si>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</si>
  <si>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</si>
  <si>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</si>
  <si>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</si>
  <si>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</si>
  <si>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</si>
  <si>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</si>
  <si>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</si>
  <si>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</si>
  <si>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</si>
  <si>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</si>
  <si>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</si>
  <si>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</si>
  <si>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</si>
  <si>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</si>
  <si>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</si>
  <si>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</si>
  <si>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</si>
  <si>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</si>
  <si>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</si>
  <si>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</si>
  <si>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</si>
  <si>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</si>
  <si>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</si>
  <si>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</si>
  <si>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</si>
  <si>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</si>
  <si>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</si>
  <si>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</si>
  <si>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</si>
  <si>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</si>
  <si>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</si>
  <si>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</si>
  <si>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</si>
  <si>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</si>
  <si>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</si>
  <si>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</si>
  <si>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</si>
  <si>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</si>
  <si>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</si>
  <si>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</si>
  <si>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</si>
  <si>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</si>
  <si>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</si>
  <si>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</si>
  <si>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</si>
  <si>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</si>
  <si>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</si>
  <si>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</si>
  <si>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</si>
  <si>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</si>
  <si>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</si>
  <si>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</si>
  <si>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</si>
  <si>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</si>
  <si>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</si>
  <si>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</si>
  <si>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</si>
  <si>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</si>
  <si>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</si>
  <si>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</si>
  <si>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</si>
  <si>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</si>
  <si>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</si>
  <si>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</si>
  <si>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</si>
  <si>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</si>
  <si>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</si>
  <si>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</si>
  <si>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</si>
  <si>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</si>
  <si>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</si>
  <si>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</si>
  <si>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</si>
  <si>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</si>
  <si>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</si>
  <si>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</si>
  <si>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</si>
  <si>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</si>
  <si>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</si>
  <si>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</si>
  <si>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</si>
  <si>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</si>
  <si>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</si>
  <si>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</si>
  <si>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</si>
  <si>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</si>
  <si>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</si>
  <si>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</si>
  <si>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</si>
  <si>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</si>
  <si>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</si>
  <si>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</si>
  <si>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</si>
  <si>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</si>
  <si>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</si>
  <si>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</si>
  <si>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</si>
  <si>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</si>
  <si>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</si>
  <si>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</si>
  <si>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</si>
  <si>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</si>
  <si>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</si>
  <si>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</si>
  <si>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</si>
  <si>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</si>
  <si>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</si>
  <si>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</si>
  <si>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</si>
  <si>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</si>
  <si>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</si>
  <si>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</si>
  <si>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</si>
  <si>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</si>
  <si>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</si>
  <si>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</si>
  <si>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</si>
  <si>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</si>
  <si>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</si>
  <si>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</si>
  <si>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</si>
  <si>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</si>
  <si>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</si>
  <si>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</si>
  <si>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</si>
  <si>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</si>
  <si>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</si>
  <si>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</si>
  <si>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</si>
  <si>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</si>
  <si>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</si>
  <si>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</si>
  <si>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</si>
  <si>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</si>
  <si>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</si>
  <si>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</si>
  <si>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</si>
  <si>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</si>
  <si>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</si>
  <si>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</si>
  <si>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</si>
  <si>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</si>
  <si>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</si>
  <si>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</si>
  <si>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</si>
  <si>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</si>
  <si>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</si>
  <si>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</si>
  <si>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</si>
  <si>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</si>
  <si>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</si>
  <si>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</si>
  <si>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</si>
  <si>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</si>
  <si>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</si>
  <si>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</si>
  <si>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</si>
  <si>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</si>
  <si>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</si>
  <si>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</si>
  <si>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</si>
  <si>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</si>
  <si>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</si>
  <si>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</si>
  <si>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</si>
  <si>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</si>
  <si>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</si>
  <si>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</si>
  <si>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</si>
  <si>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</si>
  <si>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</si>
  <si>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</si>
  <si>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</si>
  <si>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</si>
  <si>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</si>
  <si>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</si>
  <si>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</si>
  <si>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</si>
  <si>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</si>
  <si>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</si>
  <si>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</si>
  <si>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</si>
  <si>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</si>
  <si>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</si>
  <si>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</si>
  <si>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</si>
  <si>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</si>
  <si>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</si>
  <si>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</si>
  <si>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</si>
  <si>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</si>
  <si>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</si>
  <si>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</si>
  <si>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</si>
  <si>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</si>
  <si>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</si>
  <si>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</si>
  <si>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</si>
  <si>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</si>
  <si>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</si>
  <si>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</si>
  <si>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</si>
  <si>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</si>
  <si>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</si>
  <si>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</si>
  <si>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</si>
  <si>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</si>
  <si>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</si>
  <si>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</si>
  <si>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</si>
  <si>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</si>
  <si>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</si>
  <si>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</si>
  <si>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</si>
  <si>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</si>
  <si>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</si>
  <si>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</si>
  <si>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</si>
  <si>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</si>
  <si>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</si>
  <si>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</si>
  <si>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</si>
  <si>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</si>
  <si>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</si>
  <si>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</si>
  <si>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</si>
  <si>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</si>
  <si>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</si>
  <si>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</si>
  <si>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</si>
  <si>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</si>
  <si>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</si>
  <si>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</si>
  <si>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</si>
  <si>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</si>
  <si>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</si>
  <si>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</si>
  <si>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</si>
  <si>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</si>
  <si>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</si>
  <si>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</si>
  <si>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</si>
  <si>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</si>
  <si>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</si>
  <si>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</si>
  <si>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</si>
  <si>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</si>
  <si>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</si>
  <si>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</si>
  <si>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</si>
  <si>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</si>
  <si>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</si>
  <si>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</si>
  <si>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</si>
  <si>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</si>
  <si>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</si>
  <si>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</si>
  <si>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</si>
  <si>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</si>
  <si>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</si>
  <si>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</si>
  <si>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</si>
  <si>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</si>
  <si>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</si>
  <si>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</si>
  <si>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</si>
  <si>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</si>
  <si>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</si>
  <si>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</si>
  <si>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</si>
  <si>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</si>
  <si>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</si>
  <si>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</si>
  <si>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</si>
  <si>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</si>
  <si>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</si>
  <si>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</si>
  <si>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</si>
  <si>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</si>
  <si>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</si>
  <si>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</si>
  <si>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</si>
  <si>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</si>
  <si>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</si>
  <si>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</si>
  <si>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</si>
  <si>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</si>
  <si>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</si>
  <si>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</si>
  <si>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</si>
  <si>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</si>
  <si>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</si>
  <si>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</si>
  <si>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</si>
  <si>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</si>
  <si>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</si>
  <si>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</si>
  <si>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</si>
  <si>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</si>
  <si>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</si>
  <si>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</si>
  <si>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</si>
  <si>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</si>
  <si>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</si>
  <si>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</si>
  <si>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</si>
  <si>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</si>
  <si>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</si>
  <si>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</si>
  <si>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</si>
  <si>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</si>
  <si>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</si>
  <si>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</si>
  <si>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</si>
  <si>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</si>
  <si>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</si>
  <si>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</si>
  <si>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</si>
  <si>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</si>
  <si>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</si>
  <si>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</si>
  <si>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</si>
  <si>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</si>
  <si>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</si>
  <si>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</si>
  <si>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</si>
  <si>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</si>
  <si>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</si>
  <si>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</si>
  <si>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</si>
  <si>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</si>
  <si>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</si>
  <si>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</si>
  <si>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</si>
  <si>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</si>
  <si>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</si>
  <si>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</si>
  <si>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</si>
  <si>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</si>
  <si>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</si>
  <si>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</si>
  <si>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</si>
  <si>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</si>
  <si>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</si>
  <si>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</si>
  <si>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</si>
  <si>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</si>
  <si>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</si>
  <si>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</si>
  <si>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</si>
  <si>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</si>
  <si>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</si>
  <si>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</si>
  <si>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</si>
  <si>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</si>
  <si>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</si>
  <si>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</si>
  <si>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</si>
  <si>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</si>
  <si>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</si>
  <si>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</si>
  <si>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</si>
  <si>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</si>
  <si>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</si>
  <si>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</si>
  <si>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</si>
  <si>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</si>
  <si>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</si>
  <si>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</si>
  <si>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</si>
  <si>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</si>
  <si>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</si>
  <si>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</si>
  <si>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</si>
  <si>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</si>
  <si>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</si>
  <si>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</si>
  <si>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</si>
  <si>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</si>
  <si>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</si>
  <si>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</si>
  <si>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</si>
  <si>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</si>
  <si>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</si>
  <si>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</si>
  <si>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</si>
  <si>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</si>
  <si>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</si>
  <si>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</si>
  <si>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</si>
  <si>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</si>
  <si>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</si>
  <si>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</si>
  <si>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</si>
  <si>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</si>
  <si>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</si>
  <si>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</si>
  <si>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</si>
  <si>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</si>
  <si>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</si>
  <si>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</si>
  <si>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</si>
  <si>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</si>
  <si>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</si>
  <si>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</si>
  <si>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</si>
  <si>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</si>
  <si>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</si>
  <si>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</si>
  <si>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</si>
  <si>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</si>
  <si>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</si>
  <si>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</si>
  <si>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</si>
  <si>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</si>
  <si>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</si>
  <si>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</si>
  <si>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</si>
  <si>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</si>
  <si>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</si>
  <si>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</si>
  <si>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</si>
  <si>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</si>
  <si>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</si>
  <si>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</si>
  <si>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</si>
  <si>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</si>
  <si>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</si>
  <si>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</si>
  <si>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</si>
  <si>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</si>
  <si>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</si>
  <si>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</si>
  <si>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</si>
  <si>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</si>
  <si>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</si>
  <si>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</si>
  <si>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</si>
  <si>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</si>
  <si>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</si>
  <si>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</si>
  <si>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</si>
  <si>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</si>
  <si>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</si>
  <si>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</si>
  <si>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</si>
  <si>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</si>
  <si>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</si>
  <si>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</si>
  <si>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</si>
  <si>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</si>
  <si>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</si>
  <si>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</si>
  <si>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</si>
  <si>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</si>
  <si>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</si>
  <si>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</si>
  <si>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</si>
  <si>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</si>
  <si>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</si>
  <si>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</si>
  <si>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</si>
  <si>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</si>
  <si>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</si>
  <si>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</si>
  <si>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</si>
  <si>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</si>
  <si>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</si>
  <si>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</si>
  <si>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</si>
  <si>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</si>
  <si>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</si>
  <si>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</si>
  <si>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</si>
  <si>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</si>
  <si>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</si>
  <si>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</si>
  <si>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</si>
  <si>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</si>
  <si>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</si>
  <si>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</si>
  <si>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</si>
  <si>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</si>
  <si>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</si>
  <si>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</si>
  <si>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</si>
  <si>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</si>
  <si>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</si>
  <si>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</si>
  <si>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</si>
  <si>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</si>
  <si>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</si>
  <si>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</si>
  <si>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</si>
  <si>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</si>
  <si>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</si>
  <si>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</si>
  <si>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</si>
  <si>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</si>
  <si>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</si>
  <si>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</si>
  <si>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</si>
  <si>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</si>
  <si>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</si>
  <si>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</si>
  <si>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</si>
  <si>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</si>
  <si>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</si>
  <si>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</si>
  <si>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</si>
  <si>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</si>
  <si>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</si>
  <si>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</si>
  <si>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</si>
  <si>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</si>
  <si>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</si>
  <si>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</si>
  <si>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</si>
  <si>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</si>
  <si>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</si>
  <si>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</si>
  <si>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</si>
  <si>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</si>
  <si>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</si>
  <si>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</si>
  <si>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</si>
  <si>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</si>
  <si>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</si>
  <si>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</si>
  <si>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</si>
  <si>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</si>
  <si>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</si>
  <si>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</si>
  <si>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</si>
  <si>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</si>
  <si>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</si>
  <si>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</si>
  <si>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</si>
  <si>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</si>
  <si>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</si>
  <si>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</si>
  <si>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</si>
  <si>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</si>
  <si>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</si>
  <si>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</si>
  <si>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</si>
  <si>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</si>
  <si>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</si>
  <si>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</si>
  <si>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</si>
  <si>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</si>
  <si>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</si>
  <si>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</si>
  <si>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</si>
  <si>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</si>
  <si>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</si>
  <si>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</si>
  <si>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</si>
  <si>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</si>
  <si>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</si>
  <si>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</si>
  <si>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</si>
  <si>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</si>
  <si>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</si>
  <si>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</si>
  <si>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</si>
  <si>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</si>
  <si>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</si>
  <si>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</si>
  <si>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</si>
  <si>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</si>
  <si>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</si>
  <si>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</si>
  <si>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</si>
  <si>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</si>
  <si>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</si>
  <si>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</si>
  <si>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</si>
  <si>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</si>
  <si>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</si>
  <si>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</si>
  <si>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</si>
  <si>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</si>
  <si>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</si>
  <si>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</si>
  <si>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</si>
  <si>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</si>
  <si>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</si>
  <si>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</si>
  <si>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</si>
  <si>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</si>
  <si>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</si>
  <si>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</si>
  <si>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</si>
  <si>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</si>
  <si>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</si>
  <si>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</si>
  <si>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</si>
  <si>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</si>
  <si>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</si>
  <si>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</si>
  <si>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</si>
  <si>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</si>
  <si>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</si>
  <si>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</si>
  <si>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</si>
  <si>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</si>
  <si>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</si>
  <si>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</si>
  <si>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</si>
  <si>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</si>
  <si>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</si>
  <si>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</si>
  <si>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</si>
  <si>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</si>
  <si>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</si>
  <si>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</si>
  <si>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</si>
  <si>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</si>
  <si>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</si>
  <si>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</si>
  <si>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</si>
  <si>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</si>
  <si>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</si>
  <si>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</si>
  <si>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</si>
  <si>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</si>
  <si>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</si>
  <si>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</si>
  <si>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</si>
  <si>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</si>
  <si>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</si>
  <si>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</si>
  <si>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</si>
  <si>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</si>
  <si>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</si>
  <si>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</si>
  <si>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</si>
  <si>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</si>
  <si>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</si>
  <si>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</si>
  <si>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</si>
  <si>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</si>
  <si>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</si>
  <si>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</si>
  <si>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</si>
  <si>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</si>
  <si>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</si>
  <si>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</si>
  <si>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</si>
  <si>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</si>
  <si>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</si>
  <si>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</si>
  <si>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</si>
  <si>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</si>
  <si>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</si>
  <si>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</si>
  <si>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</si>
  <si>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</si>
  <si>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</si>
  <si>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</si>
  <si>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</si>
  <si>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</si>
  <si>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</si>
  <si>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</si>
  <si>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</si>
  <si>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</si>
  <si>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</si>
  <si>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</si>
  <si>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</si>
  <si>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</si>
  <si>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</si>
  <si>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</si>
  <si>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</si>
  <si>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</si>
  <si>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</si>
  <si>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</si>
  <si>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</si>
  <si>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</si>
  <si>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</si>
  <si>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</si>
  <si>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</si>
  <si>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</si>
  <si>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</si>
  <si>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</si>
  <si>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</si>
  <si>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</si>
  <si>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</si>
  <si>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</si>
  <si>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</si>
  <si>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</si>
  <si>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</si>
  <si>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</si>
  <si>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</si>
  <si>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</si>
  <si>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</si>
  <si>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</si>
  <si>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</si>
  <si>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</si>
  <si>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</si>
  <si>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</si>
  <si>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</si>
  <si>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</si>
  <si>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</si>
  <si>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</si>
  <si>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</si>
  <si>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</si>
  <si>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</si>
  <si>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</si>
  <si>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</si>
  <si>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</si>
  <si>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</si>
  <si>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</si>
  <si>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</si>
  <si>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</si>
  <si>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</si>
  <si>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</si>
  <si>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</si>
  <si>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</si>
  <si>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</si>
  <si>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</si>
  <si>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</si>
  <si>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</si>
  <si>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</si>
  <si>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</si>
  <si>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</si>
  <si>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</si>
  <si>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</si>
  <si>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</si>
  <si>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</si>
  <si>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</si>
  <si>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</si>
  <si>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</si>
  <si>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</si>
  <si>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</si>
  <si>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</si>
  <si>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</si>
  <si>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</si>
  <si>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</si>
  <si>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</si>
  <si>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</si>
  <si>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</si>
  <si>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</si>
  <si>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</si>
  <si>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</si>
  <si>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</si>
  <si>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</si>
  <si>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</si>
  <si>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</si>
  <si>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</si>
  <si>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</si>
  <si>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</si>
  <si>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</si>
  <si>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</si>
  <si>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</si>
  <si>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</si>
  <si>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</si>
  <si>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</si>
  <si>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</si>
  <si>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</si>
  <si>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</si>
  <si>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</si>
  <si>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</si>
  <si>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</si>
  <si>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</si>
  <si>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</si>
  <si>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</si>
  <si>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</si>
  <si>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</si>
  <si>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</si>
  <si>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</si>
  <si>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</si>
  <si>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</si>
  <si>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</si>
  <si>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</si>
  <si>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</si>
  <si>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</si>
  <si>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</si>
  <si>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</si>
  <si>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</si>
  <si>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</si>
  <si>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</si>
  <si>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</si>
  <si>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</si>
  <si>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</si>
  <si>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</si>
  <si>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</si>
  <si>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</si>
  <si>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</si>
  <si>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</si>
  <si>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</si>
  <si>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</si>
  <si>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</si>
  <si>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</si>
  <si>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</si>
  <si>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</si>
  <si>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</si>
  <si>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</si>
  <si>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</si>
  <si>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</si>
  <si>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</si>
  <si>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</si>
  <si>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</si>
  <si>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</si>
  <si>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</si>
  <si>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</si>
  <si>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</si>
  <si>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</si>
  <si>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</si>
  <si>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</si>
  <si>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</si>
  <si>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</si>
  <si>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</si>
  <si>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</si>
  <si>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</si>
  <si>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</si>
  <si>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</si>
  <si>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</si>
  <si>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</si>
  <si>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</si>
  <si>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</si>
  <si>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</si>
  <si>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</si>
  <si>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</si>
  <si>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</si>
  <si>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</si>
  <si>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</si>
  <si>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</si>
  <si>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</si>
  <si>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</si>
  <si>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</si>
  <si>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</si>
  <si>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</si>
  <si>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</si>
  <si>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</si>
  <si>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</si>
  <si>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</si>
  <si>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</si>
  <si>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</si>
  <si>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</si>
  <si>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</si>
  <si>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</si>
  <si>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</si>
  <si>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</si>
  <si>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</si>
  <si>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</si>
  <si>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</si>
  <si>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</si>
  <si>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</si>
  <si>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</si>
  <si>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</si>
  <si>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</si>
  <si>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</si>
  <si>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</si>
  <si>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</si>
  <si>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</si>
  <si>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</si>
  <si>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</si>
  <si>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</si>
  <si>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</si>
  <si>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</si>
  <si>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</si>
  <si>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</si>
  <si>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</si>
  <si>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</si>
  <si>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</si>
  <si>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</si>
  <si>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</si>
  <si>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</si>
  <si>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</si>
  <si>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</si>
  <si>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</si>
  <si>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</si>
  <si>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</si>
  <si>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</si>
  <si>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</si>
  <si>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</si>
  <si>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</si>
  <si>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</si>
  <si>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</si>
  <si>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</si>
  <si>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</si>
  <si>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</si>
  <si>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</si>
  <si>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</si>
  <si>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</si>
  <si>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</si>
  <si>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</si>
  <si>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</si>
  <si>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</si>
  <si>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</si>
  <si>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</si>
  <si>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</si>
  <si>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</si>
  <si>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</si>
  <si>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</si>
  <si>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</si>
  <si>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</si>
  <si>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</si>
  <si>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</si>
  <si>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</si>
  <si>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</si>
  <si>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</si>
  <si>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</si>
  <si>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</si>
  <si>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</si>
  <si>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</si>
  <si>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</si>
  <si>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</si>
  <si>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</si>
  <si>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</si>
  <si>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</si>
  <si>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</si>
  <si>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</si>
  <si>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</si>
  <si>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</si>
  <si>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</si>
  <si>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</si>
  <si>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</si>
  <si>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</si>
  <si>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</si>
  <si>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</si>
  <si>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</si>
  <si>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</si>
  <si>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</si>
  <si>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</si>
  <si>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</si>
  <si>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</si>
  <si>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</si>
  <si>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</si>
  <si>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</si>
  <si>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</si>
  <si>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</si>
  <si>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</si>
  <si>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</si>
  <si>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</si>
  <si>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</si>
  <si>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</si>
  <si>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</si>
  <si>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</si>
  <si>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</si>
  <si>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</si>
  <si>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</si>
  <si>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</si>
  <si>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</si>
  <si>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</si>
  <si>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</si>
  <si>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</si>
  <si>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</si>
  <si>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</si>
  <si>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</si>
  <si>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</si>
  <si>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</si>
  <si>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</si>
  <si>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</si>
  <si>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</si>
  <si>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</si>
  <si>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</si>
  <si>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</si>
  <si>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</si>
  <si>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</si>
  <si>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</si>
  <si>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</si>
  <si>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</si>
  <si>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</si>
  <si>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</si>
  <si>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</si>
  <si>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</si>
  <si>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</si>
  <si>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</si>
  <si>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</si>
  <si>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</si>
  <si>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</si>
  <si>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</si>
  <si>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</si>
  <si>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</si>
  <si>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</si>
  <si>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</si>
  <si>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</si>
  <si>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</si>
  <si>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</si>
  <si>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</si>
  <si>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</si>
  <si>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</si>
  <si>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</si>
  <si>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</si>
  <si>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</si>
  <si>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</si>
  <si>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</si>
  <si>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</si>
  <si>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</si>
  <si>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</si>
  <si>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</si>
  <si>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</si>
  <si>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</si>
  <si>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</si>
  <si>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</si>
  <si>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</si>
  <si>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</si>
  <si>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</si>
  <si>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</si>
  <si>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</si>
  <si>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</si>
  <si>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</si>
  <si>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</si>
  <si>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</si>
  <si>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</si>
  <si>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</si>
  <si>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</si>
  <si>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</si>
  <si>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</si>
  <si>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</si>
  <si>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</si>
  <si>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</si>
  <si>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</si>
  <si>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</si>
  <si>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</si>
  <si>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</si>
  <si>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</si>
  <si>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</si>
  <si>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</si>
  <si>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</si>
  <si>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</si>
  <si>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</si>
  <si>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</si>
  <si>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</si>
  <si>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</si>
  <si>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</si>
  <si>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</si>
  <si>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</si>
  <si>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</si>
  <si>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</si>
  <si>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</si>
  <si>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</si>
  <si>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</si>
  <si>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</si>
  <si>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</si>
  <si>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</si>
  <si>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</si>
  <si>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</si>
  <si>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</si>
  <si>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</si>
  <si>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</si>
  <si>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</si>
  <si>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</si>
  <si>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</si>
  <si>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</si>
  <si>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</si>
  <si>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</si>
  <si>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</si>
  <si>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</si>
  <si>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</si>
  <si>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</si>
  <si>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</si>
  <si>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</si>
  <si>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</si>
  <si>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</si>
  <si>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</si>
  <si>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</si>
  <si>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</si>
  <si>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</si>
  <si>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</si>
  <si>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</si>
  <si>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</si>
  <si>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</si>
  <si>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</si>
  <si>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</si>
  <si>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</si>
  <si>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</si>
  <si>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</si>
  <si>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</si>
  <si>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</si>
  <si>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</si>
  <si>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</si>
  <si>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</si>
  <si>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</si>
  <si>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</si>
  <si>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</si>
  <si>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</si>
  <si>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</si>
  <si>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</si>
  <si>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</si>
  <si>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</si>
  <si>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</si>
  <si>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</si>
  <si>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</si>
  <si>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</si>
  <si>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</si>
  <si>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</si>
  <si>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</si>
  <si>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</si>
  <si>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</si>
  <si>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</si>
  <si>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</si>
  <si>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</si>
  <si>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</si>
  <si>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</si>
  <si>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</si>
  <si>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</si>
  <si>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</si>
  <si>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</si>
  <si>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</si>
  <si>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</si>
  <si>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</si>
  <si>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</si>
  <si>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</si>
  <si>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</si>
  <si>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</si>
  <si>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</si>
  <si>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</si>
  <si>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</si>
  <si>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</si>
  <si>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</si>
  <si>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</si>
  <si>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</si>
  <si>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</si>
  <si>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</si>
  <si>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</si>
  <si>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</si>
  <si>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</si>
  <si>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</si>
  <si>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</si>
  <si>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</si>
  <si>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</si>
  <si>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</si>
  <si>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</si>
  <si>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</si>
  <si>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</si>
  <si>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</si>
  <si>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</si>
  <si>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</si>
  <si>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</si>
  <si>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</si>
  <si>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</si>
  <si>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</si>
  <si>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</si>
  <si>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</si>
  <si>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</si>
  <si>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</si>
  <si>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</si>
  <si>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</si>
  <si>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</si>
  <si>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</si>
  <si>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</si>
  <si>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</si>
  <si>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</si>
  <si>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</si>
  <si>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</si>
  <si>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</si>
  <si>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</si>
  <si>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</si>
  <si>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</si>
  <si>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</si>
  <si>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</si>
  <si>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</si>
  <si>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</si>
  <si>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</si>
  <si>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</si>
  <si>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</si>
  <si>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</si>
  <si>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</si>
  <si>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</si>
  <si>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</si>
  <si>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</si>
  <si>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</si>
  <si>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</si>
  <si>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</si>
  <si>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</si>
  <si>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</si>
  <si>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</si>
  <si>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</si>
  <si>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</si>
  <si>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</si>
  <si>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</si>
  <si>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</si>
  <si>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</si>
  <si>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</si>
  <si>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</si>
  <si>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</si>
  <si>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</si>
  <si>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</si>
  <si>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</si>
  <si>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</si>
  <si>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</si>
  <si>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</si>
  <si>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</si>
  <si>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</si>
  <si>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</si>
  <si>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</si>
  <si>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</si>
  <si>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</si>
  <si>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</si>
  <si>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</si>
  <si>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</si>
  <si>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</si>
  <si>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</si>
  <si>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</si>
  <si>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</si>
  <si>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</si>
  <si>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</si>
  <si>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</si>
  <si>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</si>
  <si>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</si>
  <si>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</si>
  <si>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</si>
  <si>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</si>
  <si>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</si>
  <si>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</si>
  <si>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</si>
  <si>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</si>
  <si>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</si>
  <si>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</si>
  <si>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</si>
  <si>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</si>
  <si>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</si>
  <si>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</si>
  <si>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</si>
  <si>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</si>
  <si>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</si>
  <si>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</si>
  <si>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</si>
  <si>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</si>
  <si>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</si>
  <si>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</si>
  <si>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</si>
  <si>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</si>
  <si>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</si>
  <si>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</si>
  <si>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</si>
  <si>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</si>
  <si>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</si>
  <si>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</si>
  <si>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</si>
  <si>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</si>
  <si>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</si>
  <si>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</si>
  <si>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</si>
  <si>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</si>
  <si>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</si>
  <si>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</si>
  <si>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</si>
  <si>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</si>
  <si>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</si>
  <si>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</si>
  <si>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</si>
  <si>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</si>
  <si>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</si>
  <si>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</si>
  <si>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</si>
  <si>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</si>
  <si>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</si>
  <si>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</si>
  <si>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</si>
  <si>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</si>
  <si>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</si>
  <si>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</si>
  <si>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</si>
  <si>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</si>
  <si>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</si>
  <si>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</si>
  <si>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</si>
  <si>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</si>
  <si>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</si>
  <si>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</si>
  <si>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</si>
  <si>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</si>
  <si>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</si>
  <si>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</si>
  <si>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</si>
  <si>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</si>
  <si>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</si>
  <si>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</si>
  <si>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</si>
  <si>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</si>
  <si>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</si>
  <si>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</si>
  <si>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</si>
  <si>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</si>
  <si>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</si>
  <si>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</si>
  <si>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</si>
  <si>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</si>
  <si>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</si>
  <si>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</si>
  <si>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</si>
  <si>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</si>
  <si>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</si>
  <si>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</si>
  <si>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</si>
  <si>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</si>
  <si>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</si>
  <si>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</si>
  <si>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</si>
  <si>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</si>
  <si>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</si>
  <si>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</si>
  <si>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</si>
  <si>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</si>
  <si>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</si>
  <si>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</si>
  <si>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</si>
  <si>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</si>
  <si>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</si>
  <si>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</si>
  <si>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</si>
  <si>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</si>
  <si>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</si>
  <si>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</si>
  <si>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</si>
  <si>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</si>
  <si>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</si>
  <si>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</si>
  <si>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</si>
  <si>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</si>
  <si>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</si>
  <si>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</si>
  <si>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</si>
  <si>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</si>
  <si>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</si>
  <si>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</si>
  <si>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</si>
  <si>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</si>
  <si>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</si>
  <si>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</si>
  <si>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</si>
  <si>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</si>
  <si>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</si>
  <si>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</si>
  <si>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</si>
  <si>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</si>
  <si>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</si>
  <si>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</si>
  <si>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</si>
  <si>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</si>
  <si>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</si>
  <si>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</si>
  <si>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</si>
  <si>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</si>
  <si>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</si>
  <si>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</si>
  <si>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</si>
  <si>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</si>
  <si>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</si>
  <si>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</si>
  <si>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</si>
  <si>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</si>
  <si>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</si>
  <si>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</si>
  <si>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</si>
  <si>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</si>
  <si>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</si>
  <si>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</si>
  <si>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</si>
  <si>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</si>
  <si>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</si>
  <si>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</si>
  <si>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</si>
  <si>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</si>
  <si>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</si>
  <si>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</si>
  <si>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</si>
  <si>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</si>
  <si>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</si>
  <si>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</si>
  <si>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</si>
  <si>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</si>
  <si>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</si>
  <si>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</si>
  <si>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</si>
  <si>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</si>
  <si>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</si>
  <si>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</si>
  <si>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</si>
  <si>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</si>
  <si>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</si>
  <si>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</si>
  <si>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</si>
  <si>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</si>
  <si>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</si>
  <si>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</si>
  <si>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</si>
  <si>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</si>
  <si>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</si>
  <si>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</si>
  <si>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</si>
  <si>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</si>
  <si>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</si>
  <si>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</si>
  <si>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</si>
  <si>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</si>
  <si>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</si>
  <si>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</si>
  <si>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</si>
  <si>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</si>
  <si>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</si>
  <si>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</si>
  <si>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</si>
  <si>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</si>
  <si>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</si>
  <si>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</si>
  <si>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</si>
  <si>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</si>
  <si>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</si>
  <si>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</si>
  <si>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</si>
  <si>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</si>
  <si>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</si>
  <si>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</si>
  <si>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</si>
  <si>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</si>
  <si>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</si>
  <si>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</si>
  <si>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</si>
  <si>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</si>
  <si>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</si>
  <si>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</si>
  <si>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</si>
  <si>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</si>
  <si>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</si>
  <si>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</si>
  <si>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</si>
  <si>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</si>
  <si>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</si>
  <si>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</si>
  <si>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</si>
  <si>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</si>
  <si>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</si>
  <si>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</si>
  <si>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</si>
  <si>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</si>
  <si>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</si>
  <si>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</si>
  <si>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</si>
  <si>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</si>
  <si>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</si>
  <si>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</si>
  <si>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</si>
  <si>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</si>
  <si>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</si>
  <si>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</si>
  <si>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</si>
  <si>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</si>
  <si>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</si>
  <si>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</si>
  <si>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</si>
  <si>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</si>
  <si>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</si>
  <si>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</si>
  <si>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</si>
  <si>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</si>
  <si>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</si>
  <si>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</si>
  <si>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</si>
  <si>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</si>
  <si>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</si>
  <si>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</si>
  <si>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</si>
  <si>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</si>
  <si>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</si>
  <si>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</si>
  <si>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</si>
  <si>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</si>
  <si>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</si>
  <si>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</si>
  <si>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</si>
  <si>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</si>
  <si>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</si>
  <si>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</si>
  <si>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</si>
  <si>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</si>
  <si>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</si>
  <si>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</si>
  <si>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</si>
  <si>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</si>
  <si>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</si>
  <si>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</si>
  <si>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</si>
  <si>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</si>
  <si>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</si>
  <si>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</si>
  <si>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</si>
  <si>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</si>
  <si>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</si>
  <si>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</si>
  <si>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</si>
  <si>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</si>
  <si>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</si>
  <si>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</si>
  <si>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</si>
  <si>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</si>
  <si>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</si>
  <si>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</si>
  <si>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</si>
  <si>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</si>
  <si>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</si>
  <si>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</si>
  <si>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</si>
  <si>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</si>
  <si>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</si>
  <si>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</si>
  <si>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</si>
  <si>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</si>
  <si>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</si>
  <si>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</si>
  <si>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</si>
  <si>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</si>
  <si>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</si>
  <si>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</si>
  <si>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</si>
  <si>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</si>
  <si>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</si>
  <si>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</si>
  <si>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</si>
  <si>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</si>
  <si>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</si>
  <si>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</si>
  <si>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</si>
  <si>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</si>
  <si>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</si>
  <si>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</si>
  <si>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</si>
  <si>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</si>
  <si>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</si>
  <si>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</si>
  <si>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</si>
  <si>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</si>
  <si>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</si>
  <si>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</si>
  <si>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</si>
  <si>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</si>
  <si>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</si>
  <si>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</si>
  <si>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</si>
  <si>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</si>
  <si>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</si>
  <si>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</si>
  <si>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</si>
  <si>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</si>
  <si>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</si>
  <si>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</si>
  <si>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</si>
  <si>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</si>
  <si>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</si>
  <si>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</si>
  <si>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</si>
  <si>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</si>
  <si>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</si>
  <si>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</si>
  <si>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</si>
  <si>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</si>
  <si>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</si>
  <si>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</si>
  <si>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</si>
  <si>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</si>
  <si>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</si>
  <si>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</si>
  <si>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</si>
  <si>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</si>
  <si>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</si>
  <si>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</si>
  <si>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</si>
  <si>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</si>
  <si>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</si>
  <si>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</si>
  <si>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</si>
  <si>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</si>
  <si>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</si>
  <si>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</si>
  <si>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</si>
  <si>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</si>
  <si>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</si>
  <si>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</si>
  <si>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</si>
  <si>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</si>
  <si>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</si>
  <si>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</si>
  <si>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</si>
  <si>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</si>
  <si>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</si>
  <si>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</si>
  <si>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</si>
  <si>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</si>
  <si>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</si>
  <si>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</si>
  <si>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</si>
  <si>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</si>
  <si>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</si>
  <si>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</si>
  <si>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</si>
  <si>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</si>
  <si>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</si>
  <si>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</si>
  <si>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</si>
  <si>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</si>
  <si>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</si>
  <si>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</si>
  <si>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</si>
  <si>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</si>
  <si>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</si>
  <si>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</si>
  <si>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</si>
  <si>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</si>
  <si>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</si>
  <si>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</si>
  <si>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</si>
  <si>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</si>
  <si>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</si>
  <si>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</si>
  <si>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</si>
  <si>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</si>
  <si>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</si>
  <si>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</si>
  <si>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</si>
  <si>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</si>
  <si>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</si>
  <si>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</si>
  <si>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</si>
  <si>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</si>
  <si>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</si>
  <si>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</si>
  <si>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</si>
  <si>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</si>
  <si>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</si>
  <si>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</si>
  <si>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</si>
  <si>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</si>
  <si>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</si>
  <si>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</si>
  <si>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</si>
  <si>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</si>
  <si>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</si>
  <si>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</si>
  <si>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</si>
  <si>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</si>
  <si>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</si>
  <si>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</si>
  <si>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</si>
  <si>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</si>
  <si>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</si>
  <si>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</si>
  <si>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</si>
  <si>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</si>
  <si>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</si>
  <si>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</si>
  <si>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</si>
  <si>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</si>
  <si>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</si>
  <si>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</si>
  <si>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</si>
  <si>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</si>
  <si>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</si>
  <si>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</si>
  <si>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</si>
  <si>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</si>
  <si>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</si>
  <si>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</si>
  <si>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</si>
  <si>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</si>
  <si>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</si>
  <si>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</si>
  <si>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</si>
  <si>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</si>
  <si>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</si>
  <si>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</si>
  <si>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</si>
  <si>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</si>
  <si>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</si>
  <si>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</si>
  <si>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</si>
  <si>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</si>
  <si>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</si>
  <si>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</si>
  <si>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</si>
  <si>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</si>
  <si>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</si>
  <si>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</si>
  <si>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</si>
  <si>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</si>
  <si>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</si>
  <si>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</si>
  <si>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</si>
  <si>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</si>
  <si>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</si>
  <si>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</si>
  <si>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</si>
  <si>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</si>
  <si>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</si>
  <si>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</si>
  <si>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</si>
  <si>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</si>
  <si>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</si>
  <si>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</si>
  <si>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</si>
  <si>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</si>
  <si>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</si>
  <si>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</si>
  <si>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</si>
  <si>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</si>
  <si>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</si>
  <si>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</si>
  <si>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</si>
  <si>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</si>
  <si>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</si>
  <si>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</si>
  <si>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</si>
  <si>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</si>
  <si>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</si>
  <si>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</si>
  <si>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</si>
  <si>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</si>
  <si>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</si>
  <si>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</si>
  <si>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</si>
  <si>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</si>
  <si>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</si>
  <si>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</si>
  <si>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</si>
  <si>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</si>
  <si>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</si>
  <si>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</si>
  <si>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</si>
  <si>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</si>
  <si>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</si>
  <si>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</si>
  <si>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</si>
  <si>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</si>
  <si>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</si>
  <si>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</si>
  <si>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</si>
  <si>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</si>
  <si>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</si>
  <si>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</si>
  <si>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</si>
  <si>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</si>
  <si>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</si>
  <si>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</si>
  <si>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</si>
  <si>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</si>
  <si>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</si>
  <si>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</si>
  <si>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</si>
  <si>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</si>
  <si>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</si>
  <si>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</si>
  <si>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</si>
  <si>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</si>
  <si>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</si>
  <si>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</si>
  <si>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</si>
  <si>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</si>
  <si>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</si>
  <si>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</si>
  <si>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</si>
  <si>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</si>
  <si>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</si>
  <si>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</si>
  <si>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</si>
  <si>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</si>
  <si>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</si>
  <si>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</si>
  <si>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</si>
  <si>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</si>
  <si>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</si>
  <si>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</si>
  <si>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</si>
  <si>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</si>
  <si>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</si>
  <si>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</si>
  <si>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</si>
  <si>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</si>
  <si>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</si>
  <si>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</si>
  <si>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</si>
  <si>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</si>
  <si>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</si>
  <si>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</si>
  <si>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</si>
  <si>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</si>
  <si>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</si>
  <si>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</si>
  <si>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</si>
  <si>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</si>
  <si>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</si>
  <si>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</si>
  <si>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</si>
  <si>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</si>
  <si>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</si>
  <si>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</si>
  <si>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</si>
  <si>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</si>
  <si>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</si>
  <si>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</si>
  <si>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</si>
  <si>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</si>
  <si>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</si>
  <si>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</si>
  <si>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</si>
  <si>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</si>
  <si>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</si>
  <si>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</si>
  <si>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</si>
  <si>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</si>
  <si>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</si>
  <si>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</si>
  <si>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</si>
  <si>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</si>
  <si>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</si>
  <si>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</si>
  <si>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</si>
  <si>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</si>
  <si>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</si>
  <si>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</si>
  <si>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</si>
  <si>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</si>
  <si>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</si>
  <si>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</si>
  <si>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</si>
  <si>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</si>
  <si>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</si>
  <si>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</si>
  <si>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</si>
  <si>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</si>
  <si>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</si>
  <si>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</si>
  <si>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</si>
  <si>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</si>
  <si>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</si>
  <si>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</si>
  <si>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</si>
  <si>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</si>
  <si>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</si>
  <si>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</si>
  <si>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</si>
  <si>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</si>
  <si>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</si>
  <si>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</si>
  <si>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</si>
  <si>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</si>
  <si>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</si>
  <si>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</si>
  <si>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</si>
  <si>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</si>
  <si>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</si>
  <si>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</si>
  <si>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</si>
  <si>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</si>
  <si>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</si>
  <si>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</si>
  <si>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</si>
  <si>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</si>
  <si>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</si>
  <si>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</si>
  <si>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</si>
  <si>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</si>
  <si>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</si>
  <si>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</si>
  <si>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</si>
  <si>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</si>
  <si>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</si>
  <si>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</si>
  <si>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</si>
  <si>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</si>
  <si>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</si>
  <si>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</si>
  <si>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</si>
  <si>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</si>
  <si>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</si>
  <si>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</si>
  <si>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</si>
  <si>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</si>
  <si>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</si>
  <si>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</si>
  <si>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</si>
  <si>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</si>
  <si>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</si>
  <si>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</si>
  <si>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</si>
  <si>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</si>
  <si>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</si>
  <si>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</si>
  <si>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</si>
  <si>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</si>
  <si>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</si>
  <si>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</si>
  <si>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</si>
  <si>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</si>
  <si>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</si>
  <si>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</si>
  <si>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</si>
  <si>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</si>
  <si>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</si>
  <si>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</si>
  <si>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</si>
  <si>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</si>
  <si>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</si>
  <si>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</si>
  <si>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</si>
  <si>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</si>
  <si>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</si>
  <si>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</si>
  <si>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</si>
  <si>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</si>
  <si>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</si>
  <si>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</si>
  <si>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</si>
  <si>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</si>
  <si>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</si>
  <si>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</si>
  <si>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</si>
  <si>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</si>
  <si>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</si>
  <si>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</si>
  <si>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</si>
  <si>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</si>
  <si>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</si>
  <si>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</si>
  <si>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</si>
  <si>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</si>
  <si>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</si>
  <si>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</si>
  <si>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</si>
  <si>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</si>
  <si>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</si>
  <si>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</si>
  <si>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</si>
  <si>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</si>
  <si>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</si>
  <si>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</si>
  <si>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</si>
  <si>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</si>
  <si>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</si>
  <si>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</si>
  <si>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</si>
  <si>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</si>
  <si>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</si>
  <si>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</si>
  <si>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</si>
  <si>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</si>
  <si>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</si>
  <si>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</si>
  <si>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</si>
  <si>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</si>
  <si>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</si>
  <si>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</si>
  <si>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</si>
  <si>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</si>
  <si>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</si>
  <si>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</si>
  <si>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</si>
  <si>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</si>
  <si>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</si>
  <si>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</si>
  <si>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</si>
  <si>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</si>
  <si>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</si>
  <si>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</si>
  <si>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</si>
  <si>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</si>
  <si>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</si>
  <si>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</si>
  <si>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</si>
  <si>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</si>
  <si>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</si>
  <si>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</si>
  <si>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</si>
  <si>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</si>
  <si>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</si>
  <si>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</si>
  <si>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</si>
  <si>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</si>
  <si>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</si>
  <si>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</si>
  <si>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</si>
  <si>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</si>
  <si>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</si>
  <si>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</si>
  <si>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</si>
  <si>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</si>
  <si>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</si>
  <si>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</si>
  <si>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</si>
  <si>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</si>
  <si>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</si>
  <si>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</si>
  <si>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</si>
  <si>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</si>
  <si>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</si>
  <si>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</si>
  <si>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</si>
  <si>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</si>
  <si>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</si>
  <si>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</si>
  <si>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</si>
  <si>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</si>
  <si>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</si>
  <si>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</si>
  <si>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</si>
  <si>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</si>
  <si>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</si>
  <si>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</si>
  <si>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</si>
  <si>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</si>
  <si>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</si>
  <si>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</si>
  <si>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</si>
  <si>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</si>
  <si>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</si>
  <si>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</si>
  <si>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</si>
  <si>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</si>
  <si>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</si>
  <si>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</si>
  <si>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</si>
  <si>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</si>
  <si>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</si>
  <si>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</si>
  <si>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</si>
  <si>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</si>
  <si>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</si>
  <si>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</si>
  <si>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</si>
  <si>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</si>
  <si>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</si>
  <si>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</si>
  <si>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</si>
  <si>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</si>
  <si>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</si>
  <si>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</si>
  <si>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</si>
  <si>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</si>
  <si>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</si>
  <si>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</si>
  <si>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</si>
  <si>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</si>
  <si>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</si>
  <si>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</si>
  <si>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</si>
  <si>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</si>
  <si>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</si>
  <si>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</si>
  <si>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</si>
  <si>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</si>
  <si>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</si>
  <si>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</si>
  <si>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</si>
  <si>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</si>
  <si>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</si>
  <si>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</si>
  <si>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</si>
  <si>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</si>
  <si>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</si>
  <si>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</si>
  <si>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</si>
  <si>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</si>
  <si>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</si>
  <si>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</si>
  <si>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</si>
  <si>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</si>
  <si>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</si>
  <si>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</si>
  <si>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</si>
  <si>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</si>
  <si>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</si>
  <si>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</si>
  <si>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</si>
  <si>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</si>
  <si>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</si>
  <si>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</si>
  <si>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</si>
  <si>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</si>
  <si>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</si>
  <si>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</si>
  <si>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</si>
  <si>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</si>
  <si>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</si>
  <si>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</si>
  <si>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</si>
  <si>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</si>
  <si>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</si>
  <si>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</si>
  <si>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</si>
  <si>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</si>
  <si>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</si>
  <si>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</si>
  <si>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</si>
  <si>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</si>
  <si>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</si>
  <si>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</si>
  <si>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</si>
  <si>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</si>
  <si>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</si>
  <si>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</si>
  <si>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</si>
  <si>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</si>
  <si>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</si>
  <si>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</si>
  <si>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</si>
  <si>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</si>
  <si>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</si>
  <si>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</si>
  <si>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</si>
  <si>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</si>
  <si>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</si>
  <si>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</si>
  <si>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</si>
  <si>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</si>
  <si>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</si>
  <si>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</si>
  <si>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</si>
  <si>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</si>
  <si>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</si>
  <si>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</si>
  <si>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</si>
  <si>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</si>
  <si>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</si>
  <si>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</si>
  <si>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</si>
  <si>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</si>
  <si>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</si>
  <si>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</si>
  <si>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</si>
  <si>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</si>
  <si>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</si>
  <si>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</si>
  <si>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</si>
  <si>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</si>
  <si>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</si>
  <si>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</si>
  <si>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</si>
  <si>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</si>
  <si>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</si>
  <si>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</si>
  <si>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</si>
  <si>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</si>
  <si>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</si>
  <si>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</si>
  <si>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</si>
  <si>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</si>
  <si>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</si>
  <si>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</si>
  <si>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</si>
  <si>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</si>
  <si>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</si>
  <si>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</si>
  <si>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</si>
  <si>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</si>
  <si>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</si>
  <si>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</si>
  <si>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</si>
  <si>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</si>
  <si>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</si>
  <si>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</si>
  <si>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</si>
  <si>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</si>
  <si>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</si>
  <si>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</si>
  <si>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</si>
  <si>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</si>
  <si>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</si>
  <si>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</si>
  <si>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</si>
  <si>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</si>
  <si>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</si>
  <si>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</si>
  <si>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</si>
  <si>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</si>
  <si>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</si>
  <si>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</si>
  <si>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</si>
  <si>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</si>
  <si>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</si>
  <si>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</si>
  <si>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</si>
  <si>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</si>
  <si>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</si>
  <si>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</si>
  <si>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</si>
  <si>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</si>
  <si>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</si>
  <si>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</si>
  <si>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</si>
  <si>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</si>
  <si>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</si>
  <si>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</si>
  <si>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</si>
  <si>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</si>
  <si>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</si>
  <si>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</si>
  <si>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</si>
  <si>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</si>
  <si>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</si>
  <si>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</si>
  <si>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</si>
  <si>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</si>
  <si>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</si>
  <si>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</si>
  <si>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</si>
  <si>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</si>
  <si>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</si>
  <si>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</si>
  <si>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</si>
  <si>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</si>
  <si>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</si>
  <si>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</si>
  <si>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</si>
  <si>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</si>
  <si>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</si>
  <si>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</si>
  <si>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</si>
  <si>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</si>
  <si>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</si>
  <si>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</si>
  <si>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</si>
  <si>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</si>
  <si>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</si>
  <si>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</si>
  <si>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</si>
  <si>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</si>
  <si>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</si>
  <si>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</si>
  <si>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</si>
  <si>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</si>
  <si>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</si>
  <si>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</si>
  <si>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</si>
  <si>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</si>
  <si>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</si>
  <si>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</si>
  <si>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</si>
  <si>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</si>
  <si>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</si>
  <si>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</si>
  <si>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</si>
  <si>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</si>
  <si>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</si>
  <si>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</si>
  <si>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</si>
  <si>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</si>
  <si>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</si>
  <si>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</si>
  <si>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</si>
  <si>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</si>
  <si>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</si>
  <si>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</si>
  <si>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</si>
  <si>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</si>
  <si>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</si>
  <si>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</si>
  <si>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</si>
  <si>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</si>
  <si>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</si>
  <si>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</si>
  <si>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</si>
  <si>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</si>
  <si>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</si>
  <si>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</si>
  <si>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</si>
  <si>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</si>
  <si>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</si>
  <si>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</si>
  <si>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</si>
  <si>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</si>
  <si>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</si>
  <si>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</si>
  <si>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</si>
  <si>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</si>
  <si>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</si>
  <si>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</si>
  <si>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</si>
  <si>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</si>
  <si>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</si>
  <si>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</si>
  <si>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</si>
  <si>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</si>
  <si>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</si>
  <si>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</si>
  <si>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</si>
  <si>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</si>
  <si>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</si>
  <si>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</si>
  <si>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</si>
  <si>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</si>
  <si>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</si>
  <si>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</si>
  <si>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</si>
  <si>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</si>
  <si>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</si>
  <si>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</si>
  <si>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</si>
  <si>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</si>
  <si>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</si>
  <si>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</si>
  <si>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</si>
  <si>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</si>
  <si>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</si>
  <si>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</si>
  <si>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</si>
  <si>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</si>
  <si>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</si>
  <si>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</si>
  <si>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</si>
  <si>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</si>
  <si>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</si>
  <si>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</si>
  <si>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</si>
  <si>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</si>
  <si>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</si>
  <si>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</si>
  <si>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</si>
  <si>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</si>
  <si>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</si>
  <si>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</si>
  <si>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</si>
  <si>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</si>
  <si>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</si>
  <si>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</si>
  <si>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</si>
  <si>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</si>
  <si>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</si>
  <si>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</si>
  <si>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</si>
  <si>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</si>
  <si>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</si>
  <si>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</si>
  <si>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</si>
  <si>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</si>
  <si>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</si>
  <si>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</si>
  <si>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</si>
  <si>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</si>
  <si>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</si>
  <si>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</si>
  <si>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</si>
  <si>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</si>
  <si>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</si>
  <si>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</si>
  <si>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</si>
  <si>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</si>
  <si>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</si>
  <si>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</si>
  <si>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</si>
  <si>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</si>
  <si>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</si>
  <si>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</si>
  <si>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</si>
  <si>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</si>
  <si>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</si>
  <si>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</si>
  <si>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</si>
  <si>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</si>
  <si>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</si>
  <si>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</si>
  <si>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</si>
  <si>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</si>
  <si>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</si>
  <si>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</si>
  <si>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</si>
  <si>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</si>
  <si>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</si>
  <si>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</si>
  <si>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</si>
  <si>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</si>
  <si>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</si>
  <si>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</si>
  <si>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</si>
  <si>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</si>
  <si>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</si>
  <si>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</si>
  <si>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</si>
  <si>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</si>
  <si>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</si>
  <si>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</si>
  <si>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</si>
  <si>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</si>
  <si>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</si>
  <si>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</si>
  <si>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</si>
  <si>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</si>
  <si>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</si>
  <si>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</si>
  <si>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</si>
  <si>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</si>
  <si>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</si>
  <si>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</si>
  <si>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</si>
  <si>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</si>
  <si>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</si>
  <si>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</si>
  <si>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</si>
  <si>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</si>
  <si>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</si>
  <si>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</si>
  <si>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</si>
  <si>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</si>
  <si>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</si>
  <si>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</si>
  <si>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</si>
  <si>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</si>
  <si>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</si>
  <si>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</si>
  <si>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</si>
  <si>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</si>
  <si>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</si>
  <si>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</si>
  <si>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</si>
  <si>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</si>
  <si>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</si>
  <si>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</si>
  <si>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</si>
  <si>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</si>
  <si>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</si>
  <si>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</si>
  <si>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</si>
  <si>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</si>
  <si>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</si>
  <si>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</si>
  <si>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</si>
  <si>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</si>
  <si>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</si>
  <si>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</si>
  <si>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</si>
  <si>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</si>
  <si>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</si>
  <si>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</si>
  <si>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</si>
  <si>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</si>
  <si>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</si>
  <si>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</si>
  <si>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</si>
  <si>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</si>
  <si>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</si>
  <si>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</si>
  <si>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</si>
  <si>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</si>
  <si>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</si>
  <si>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</si>
  <si>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</si>
  <si>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</si>
  <si>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</si>
  <si>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</si>
  <si>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</si>
  <si>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</si>
  <si>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</si>
  <si>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</si>
  <si>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</si>
  <si>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</si>
  <si>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</si>
  <si>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</si>
  <si>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</si>
  <si>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</si>
  <si>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</si>
  <si>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</si>
  <si>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</si>
  <si>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</si>
  <si>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</si>
  <si>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</si>
  <si>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</si>
  <si>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</si>
  <si>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</si>
  <si>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</si>
  <si>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</si>
  <si>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</si>
  <si>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</si>
  <si>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</si>
  <si>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</si>
  <si>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</si>
  <si>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</si>
  <si>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</si>
  <si>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</si>
  <si>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</si>
  <si>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</si>
  <si>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</si>
  <si>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</si>
  <si>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</si>
  <si>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</si>
  <si>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</si>
  <si>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</si>
  <si>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</si>
  <si>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</si>
  <si>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</si>
  <si>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</si>
  <si>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</si>
  <si>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</si>
  <si>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</si>
  <si>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</si>
  <si>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</si>
  <si>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</si>
  <si>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</si>
  <si>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</si>
  <si>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</si>
  <si>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</si>
  <si>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</si>
  <si>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</si>
  <si>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</si>
  <si>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</si>
  <si>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</si>
  <si>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</si>
  <si>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</si>
  <si>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</si>
  <si>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</si>
  <si>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</si>
  <si>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</si>
  <si>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</si>
  <si>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</si>
  <si>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</si>
  <si>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</si>
  <si>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</si>
  <si>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</si>
  <si>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</si>
  <si>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</si>
  <si>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</si>
  <si>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</si>
  <si>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</si>
  <si>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</si>
  <si>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</si>
  <si>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</si>
  <si>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</si>
  <si>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</si>
  <si>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</si>
  <si>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</si>
  <si>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</si>
  <si>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</si>
  <si>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</si>
  <si>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</si>
  <si>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</si>
  <si>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</si>
  <si>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</si>
  <si>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</si>
  <si>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</si>
  <si>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</si>
  <si>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</si>
  <si>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</si>
  <si>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</si>
  <si>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</si>
  <si>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</si>
  <si>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</si>
  <si>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</si>
  <si>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</si>
  <si>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</si>
  <si>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</si>
  <si>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</si>
  <si>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</si>
  <si>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</si>
  <si>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</si>
  <si>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</si>
  <si>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</si>
  <si>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</si>
  <si>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</si>
  <si>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</si>
  <si>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</si>
  <si>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</si>
  <si>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</si>
  <si>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</si>
  <si>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</si>
  <si>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</si>
  <si>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</si>
  <si>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</si>
  <si>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</si>
  <si>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</si>
  <si>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</si>
  <si>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</si>
  <si>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</si>
  <si>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</si>
  <si>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</si>
  <si>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</si>
  <si>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</si>
  <si>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</si>
  <si>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</si>
  <si>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</si>
  <si>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</si>
  <si>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</si>
  <si>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</si>
  <si>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</si>
  <si>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</si>
  <si>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</si>
  <si>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</si>
  <si>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</si>
  <si>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</si>
  <si>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</si>
  <si>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</si>
  <si>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</si>
  <si>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</si>
  <si>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</si>
  <si>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</si>
  <si>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</si>
  <si>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</si>
  <si>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</si>
  <si>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</si>
  <si>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</si>
  <si>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</si>
  <si>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</si>
  <si>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</si>
  <si>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</si>
  <si>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</si>
  <si>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</si>
  <si>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</si>
  <si>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</si>
  <si>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</si>
  <si>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</si>
  <si>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</si>
  <si>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</si>
  <si>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</si>
  <si>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</si>
  <si>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</si>
  <si>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</si>
  <si>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</si>
  <si>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</si>
  <si>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</si>
  <si>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</si>
  <si>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</si>
  <si>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</si>
  <si>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</si>
  <si>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</si>
  <si>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</si>
  <si>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</si>
  <si>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</si>
  <si>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</si>
  <si>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</si>
  <si>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</si>
  <si>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</si>
  <si>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</si>
  <si>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</si>
  <si>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自然人</t>
  </si>
  <si>
    <t>是</t>
  </si>
  <si>
    <t>地上</t>
  </si>
  <si>
    <t>林肯B区</t>
    <phoneticPr fontId="7" type="noConversion"/>
  </si>
  <si>
    <t>成新度</t>
  </si>
  <si>
    <t>林肯B区</t>
  </si>
  <si>
    <t>单套模式</t>
  </si>
  <si>
    <t>售价</t>
  </si>
  <si>
    <t>正常</t>
  </si>
  <si>
    <t>办公</t>
    <phoneticPr fontId="31" type="noConversion"/>
  </si>
  <si>
    <t xml:space="preserve"> </t>
    <phoneticPr fontId="31" type="noConversion"/>
  </si>
  <si>
    <t>较好</t>
  </si>
  <si>
    <t>一般</t>
  </si>
  <si>
    <t>七通</t>
  </si>
  <si>
    <t>高区</t>
  </si>
  <si>
    <t>高区</t>
    <phoneticPr fontId="31" type="noConversion"/>
  </si>
  <si>
    <t>中区</t>
  </si>
  <si>
    <t>中区</t>
    <phoneticPr fontId="31" type="noConversion"/>
  </si>
  <si>
    <t>低区</t>
  </si>
  <si>
    <t>低区</t>
    <phoneticPr fontId="31" type="noConversion"/>
  </si>
  <si>
    <t>办公楼</t>
    <phoneticPr fontId="31" type="noConversion"/>
  </si>
  <si>
    <t>钢混</t>
  </si>
  <si>
    <t>钢混</t>
    <phoneticPr fontId="31" type="noConversion"/>
  </si>
  <si>
    <t>精装修</t>
  </si>
  <si>
    <t>精装修</t>
    <phoneticPr fontId="31" type="noConversion"/>
  </si>
  <si>
    <t>标准层高</t>
  </si>
  <si>
    <t>标准层高</t>
    <phoneticPr fontId="31" type="noConversion"/>
  </si>
  <si>
    <t>普装</t>
    <phoneticPr fontId="31" type="noConversion"/>
  </si>
  <si>
    <t>简装</t>
    <phoneticPr fontId="31" type="noConversion"/>
  </si>
  <si>
    <t>毛坯</t>
    <phoneticPr fontId="31" type="noConversion"/>
  </si>
  <si>
    <t>比较法-办公</t>
  </si>
  <si>
    <t>收益法 (元)</t>
  </si>
  <si>
    <t>押一</t>
  </si>
  <si>
    <t>非生产用房</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</si>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</sst>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161925</xdr:colOff>
      <xdr:row>1</xdr:row>
      <xdr:rowOff>100012</xdr:rowOff>
    </xdr:from>
    <xdr:to>
      <xdr:col>29</xdr:col>
      <xdr:colOff>408430</xdr:colOff>
      <xdr:row>39</xdr:row>
      <xdr:rowOff>61103</xdr:rowOff>
    </xdr:to>
    <xdr:pic>
      <xdr:nvPicPr>
        <xdr:cNvPr id="8" name="图片 7"/>
        <xdr:cNvPicPr>
          <a:picLocks noChangeAspect="1"/>
        </xdr:cNvPicPr>
      </xdr:nvPicPr>
      <xdr:blipFill>
        <a:blip xmlns:r="http://schemas.openxmlformats.org/officeDocument/2006/relationships" r:embed="rId1"/>
        <a:stretch>
          <a:fillRect/>
        </a:stretch>
      </xdr:blipFill>
      <xdr:spPr>
        <a:xfrm>
          <a:off x="11210925" y="266700"/>
          <a:ext cx="9223818" cy="6295216"/>
        </a:xfrm>
        <a:prstGeom prst="rect">
          <a:avLst/>
        </a:prstGeom>
      </xdr:spPr>
    </xdr:pic>
    <xdr:clientData/>
  </xdr:twoCellAnchor>
  <xdr:twoCellAnchor editAs="oneCell">
    <xdr:from>
      <xdr:col>16</xdr:col>
      <xdr:colOff>266701</xdr:colOff>
      <xdr:row>40</xdr:row>
      <xdr:rowOff>19050</xdr:rowOff>
    </xdr:from>
    <xdr:to>
      <xdr:col>29</xdr:col>
      <xdr:colOff>437015</xdr:colOff>
      <xdr:row>78</xdr:row>
      <xdr:rowOff>56331</xdr:rowOff>
    </xdr:to>
    <xdr:pic>
      <xdr:nvPicPr>
        <xdr:cNvPr id="9" name="图片 8"/>
        <xdr:cNvPicPr>
          <a:picLocks noChangeAspect="1"/>
        </xdr:cNvPicPr>
      </xdr:nvPicPr>
      <xdr:blipFill>
        <a:blip xmlns:r="http://schemas.openxmlformats.org/officeDocument/2006/relationships" r:embed="rId2"/>
        <a:stretch>
          <a:fillRect/>
        </a:stretch>
      </xdr:blipFill>
      <xdr:spPr>
        <a:xfrm>
          <a:off x="11315701" y="6686550"/>
          <a:ext cx="9147627" cy="6371406"/>
        </a:xfrm>
        <a:prstGeom prst="rect">
          <a:avLst/>
        </a:prstGeom>
      </xdr:spPr>
    </xdr:pic>
    <xdr:clientData/>
  </xdr:twoCellAnchor>
  <xdr:twoCellAnchor editAs="oneCell">
    <xdr:from>
      <xdr:col>16</xdr:col>
      <xdr:colOff>367393</xdr:colOff>
      <xdr:row>79</xdr:row>
      <xdr:rowOff>84364</xdr:rowOff>
    </xdr:from>
    <xdr:to>
      <xdr:col>29</xdr:col>
      <xdr:colOff>499613</xdr:colOff>
      <xdr:row>117</xdr:row>
      <xdr:rowOff>54979</xdr:rowOff>
    </xdr:to>
    <xdr:pic>
      <xdr:nvPicPr>
        <xdr:cNvPr id="10" name="图片 9"/>
        <xdr:cNvPicPr>
          <a:picLocks noChangeAspect="1"/>
        </xdr:cNvPicPr>
      </xdr:nvPicPr>
      <xdr:blipFill>
        <a:blip xmlns:r="http://schemas.openxmlformats.org/officeDocument/2006/relationships" r:embed="rId3"/>
        <a:stretch>
          <a:fillRect/>
        </a:stretch>
      </xdr:blipFill>
      <xdr:spPr>
        <a:xfrm>
          <a:off x="11253107" y="14058900"/>
          <a:ext cx="8976863" cy="6692543"/>
        </a:xfrm>
        <a:prstGeom prst="rect">
          <a:avLst/>
        </a:prstGeom>
      </xdr:spPr>
    </xdr:pic>
    <xdr:clientData/>
  </xdr:twoCellAnchor>
  <xdr:twoCellAnchor editAs="oneCell">
    <xdr:from>
      <xdr:col>0</xdr:col>
      <xdr:colOff>644827</xdr:colOff>
      <xdr:row>22</xdr:row>
      <xdr:rowOff>56092</xdr:rowOff>
    </xdr:from>
    <xdr:to>
      <xdr:col>13</xdr:col>
      <xdr:colOff>662760</xdr:colOff>
      <xdr:row>35</xdr:row>
      <xdr:rowOff>132004</xdr:rowOff>
    </xdr:to>
    <xdr:pic>
      <xdr:nvPicPr>
        <xdr:cNvPr id="11" name="图片 10"/>
        <xdr:cNvPicPr>
          <a:picLocks noChangeAspect="1"/>
        </xdr:cNvPicPr>
      </xdr:nvPicPr>
      <xdr:blipFill>
        <a:blip xmlns:r="http://schemas.openxmlformats.org/officeDocument/2006/relationships" r:embed="rId4"/>
        <a:stretch>
          <a:fillRect/>
        </a:stretch>
      </xdr:blipFill>
      <xdr:spPr>
        <a:xfrm>
          <a:off x="644827" y="3781425"/>
          <a:ext cx="8960850" cy="2277246"/>
        </a:xfrm>
        <a:prstGeom prst="rect">
          <a:avLst/>
        </a:prstGeom>
      </xdr:spPr>
    </xdr:pic>
    <xdr:clientData/>
  </xdr:twoCellAnchor>
  <xdr:twoCellAnchor editAs="oneCell">
    <xdr:from>
      <xdr:col>1</xdr:col>
      <xdr:colOff>95251</xdr:colOff>
      <xdr:row>2</xdr:row>
      <xdr:rowOff>0</xdr:rowOff>
    </xdr:from>
    <xdr:to>
      <xdr:col>10</xdr:col>
      <xdr:colOff>248228</xdr:colOff>
      <xdr:row>10</xdr:row>
      <xdr:rowOff>99143</xdr:rowOff>
    </xdr:to>
    <xdr:pic>
      <xdr:nvPicPr>
        <xdr:cNvPr id="2" name="图片 1"/>
        <xdr:cNvPicPr>
          <a:picLocks noChangeAspect="1"/>
        </xdr:cNvPicPr>
      </xdr:nvPicPr>
      <xdr:blipFill>
        <a:blip xmlns:r="http://schemas.openxmlformats.org/officeDocument/2006/relationships" r:embed="rId5"/>
        <a:stretch>
          <a:fillRect/>
        </a:stretch>
      </xdr:blipFill>
      <xdr:spPr>
        <a:xfrm>
          <a:off x="775608" y="353786"/>
          <a:ext cx="6276191" cy="1514286"/>
        </a:xfrm>
        <a:prstGeom prst="rect">
          <a:avLst/>
        </a:prstGeom>
      </xdr:spPr>
    </xdr:pic>
    <xdr:clientData/>
  </xdr:twoCellAnchor>
  <xdr:twoCellAnchor editAs="oneCell">
    <xdr:from>
      <xdr:col>1</xdr:col>
      <xdr:colOff>381001</xdr:colOff>
      <xdr:row>12</xdr:row>
      <xdr:rowOff>40821</xdr:rowOff>
    </xdr:from>
    <xdr:to>
      <xdr:col>10</xdr:col>
      <xdr:colOff>524454</xdr:colOff>
      <xdr:row>20</xdr:row>
      <xdr:rowOff>101869</xdr:rowOff>
    </xdr:to>
    <xdr:pic>
      <xdr:nvPicPr>
        <xdr:cNvPr id="3" name="图片 2"/>
        <xdr:cNvPicPr>
          <a:picLocks noChangeAspect="1"/>
        </xdr:cNvPicPr>
      </xdr:nvPicPr>
      <xdr:blipFill>
        <a:blip xmlns:r="http://schemas.openxmlformats.org/officeDocument/2006/relationships" r:embed="rId6"/>
        <a:stretch>
          <a:fillRect/>
        </a:stretch>
      </xdr:blipFill>
      <xdr:spPr>
        <a:xfrm>
          <a:off x="1061358" y="2163535"/>
          <a:ext cx="6266667" cy="1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276225</xdr:colOff>
      <xdr:row>1</xdr:row>
      <xdr:rowOff>123825</xdr:rowOff>
    </xdr:from>
    <xdr:to>
      <xdr:col>13</xdr:col>
      <xdr:colOff>484721</xdr:colOff>
      <xdr:row>10</xdr:row>
      <xdr:rowOff>114108</xdr:rowOff>
    </xdr:to>
    <xdr:pic>
      <xdr:nvPicPr>
        <xdr:cNvPr id="2" name="图片 1"/>
        <xdr:cNvPicPr>
          <a:picLocks noChangeAspect="1"/>
        </xdr:cNvPicPr>
      </xdr:nvPicPr>
      <xdr:blipFill>
        <a:blip xmlns:r="http://schemas.openxmlformats.org/officeDocument/2006/relationships" r:embed="rId1"/>
        <a:stretch>
          <a:fillRect/>
        </a:stretch>
      </xdr:blipFill>
      <xdr:spPr>
        <a:xfrm>
          <a:off x="962025" y="295275"/>
          <a:ext cx="8438096" cy="1533333"/>
        </a:xfrm>
        <a:prstGeom prst="rect">
          <a:avLst/>
        </a:prstGeom>
      </xdr:spPr>
    </xdr:pic>
    <xdr:clientData/>
  </xdr:twoCellAnchor>
  <xdr:twoCellAnchor editAs="oneCell">
    <xdr:from>
      <xdr:col>1</xdr:col>
      <xdr:colOff>409575</xdr:colOff>
      <xdr:row>12</xdr:row>
      <xdr:rowOff>38100</xdr:rowOff>
    </xdr:from>
    <xdr:to>
      <xdr:col>13</xdr:col>
      <xdr:colOff>475214</xdr:colOff>
      <xdr:row>21</xdr:row>
      <xdr:rowOff>114098</xdr:rowOff>
    </xdr:to>
    <xdr:pic>
      <xdr:nvPicPr>
        <xdr:cNvPr id="3" name="图片 2"/>
        <xdr:cNvPicPr>
          <a:picLocks noChangeAspect="1"/>
        </xdr:cNvPicPr>
      </xdr:nvPicPr>
      <xdr:blipFill>
        <a:blip xmlns:r="http://schemas.openxmlformats.org/officeDocument/2006/relationships" r:embed="rId2"/>
        <a:stretch>
          <a:fillRect/>
        </a:stretch>
      </xdr:blipFill>
      <xdr:spPr>
        <a:xfrm>
          <a:off x="1095375" y="2095500"/>
          <a:ext cx="8295239" cy="1619048"/>
        </a:xfrm>
        <a:prstGeom prst="rect">
          <a:avLst/>
        </a:prstGeom>
      </xdr:spPr>
    </xdr:pic>
    <xdr:clientData/>
  </xdr:twoCellAnchor>
  <xdr:twoCellAnchor editAs="oneCell">
    <xdr:from>
      <xdr:col>1</xdr:col>
      <xdr:colOff>285750</xdr:colOff>
      <xdr:row>22</xdr:row>
      <xdr:rowOff>123825</xdr:rowOff>
    </xdr:from>
    <xdr:to>
      <xdr:col>13</xdr:col>
      <xdr:colOff>465674</xdr:colOff>
      <xdr:row>31</xdr:row>
      <xdr:rowOff>161727</xdr:rowOff>
    </xdr:to>
    <xdr:pic>
      <xdr:nvPicPr>
        <xdr:cNvPr id="4" name="图片 3"/>
        <xdr:cNvPicPr>
          <a:picLocks noChangeAspect="1"/>
        </xdr:cNvPicPr>
      </xdr:nvPicPr>
      <xdr:blipFill>
        <a:blip xmlns:r="http://schemas.openxmlformats.org/officeDocument/2006/relationships" r:embed="rId3"/>
        <a:stretch>
          <a:fillRect/>
        </a:stretch>
      </xdr:blipFill>
      <xdr:spPr>
        <a:xfrm>
          <a:off x="971550" y="3895725"/>
          <a:ext cx="8409524" cy="1580952"/>
        </a:xfrm>
        <a:prstGeom prst="rect">
          <a:avLst/>
        </a:prstGeom>
      </xdr:spPr>
    </xdr:pic>
    <xdr:clientData/>
  </xdr:twoCellAnchor>
  <xdr:twoCellAnchor editAs="oneCell">
    <xdr:from>
      <xdr:col>1</xdr:col>
      <xdr:colOff>209550</xdr:colOff>
      <xdr:row>32</xdr:row>
      <xdr:rowOff>104775</xdr:rowOff>
    </xdr:from>
    <xdr:to>
      <xdr:col>13</xdr:col>
      <xdr:colOff>294236</xdr:colOff>
      <xdr:row>42</xdr:row>
      <xdr:rowOff>9323</xdr:rowOff>
    </xdr:to>
    <xdr:pic>
      <xdr:nvPicPr>
        <xdr:cNvPr id="5" name="图片 4"/>
        <xdr:cNvPicPr>
          <a:picLocks noChangeAspect="1"/>
        </xdr:cNvPicPr>
      </xdr:nvPicPr>
      <xdr:blipFill>
        <a:blip xmlns:r="http://schemas.openxmlformats.org/officeDocument/2006/relationships" r:embed="rId4"/>
        <a:stretch>
          <a:fillRect/>
        </a:stretch>
      </xdr:blipFill>
      <xdr:spPr>
        <a:xfrm>
          <a:off x="895350" y="5591175"/>
          <a:ext cx="8314286" cy="1619048"/>
        </a:xfrm>
        <a:prstGeom prst="rect">
          <a:avLst/>
        </a:prstGeom>
      </xdr:spPr>
    </xdr:pic>
    <xdr:clientData/>
  </xdr:twoCellAnchor>
  <xdr:twoCellAnchor editAs="oneCell">
    <xdr:from>
      <xdr:col>1</xdr:col>
      <xdr:colOff>390525</xdr:colOff>
      <xdr:row>43</xdr:row>
      <xdr:rowOff>47625</xdr:rowOff>
    </xdr:from>
    <xdr:to>
      <xdr:col>13</xdr:col>
      <xdr:colOff>570449</xdr:colOff>
      <xdr:row>51</xdr:row>
      <xdr:rowOff>56977</xdr:rowOff>
    </xdr:to>
    <xdr:pic>
      <xdr:nvPicPr>
        <xdr:cNvPr id="6" name="图片 5"/>
        <xdr:cNvPicPr>
          <a:picLocks noChangeAspect="1"/>
        </xdr:cNvPicPr>
      </xdr:nvPicPr>
      <xdr:blipFill>
        <a:blip xmlns:r="http://schemas.openxmlformats.org/officeDocument/2006/relationships" r:embed="rId5"/>
        <a:stretch>
          <a:fillRect/>
        </a:stretch>
      </xdr:blipFill>
      <xdr:spPr>
        <a:xfrm>
          <a:off x="1076325" y="7419975"/>
          <a:ext cx="8409524" cy="1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估价对象为北京市房地产，为所有。根据《国有土地使用证》[]，估价对象（分摊）出让国有建设用地使用权面积为0平方米，建筑面积为223.26平方米。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估价对象为北京市房地产,属开发建设的，该项目尚在开发建设中。根据《国有土地使用证》[]，估价对象（分摊）出让国有建设用地使用权面积为0平方米，规划建筑面积为223.26平方米。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2023年10月10日</v>
      </c>
    </row>
    <row r="13" spans="1:2" s="1203" customFormat="1">
      <c r="A13" s="1201" t="s">
        <v>529</v>
      </c>
      <c r="B13" s="1202" t="str">
        <f>'预评函-1'!A18</f>
        <v>本次估价的“房地产价值”是指在正常市场情况下，在价值时点2023年10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223.26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5" t="s">
        <v>2584</v>
      </c>
      <c r="J2" s="3495"/>
      <c r="K2" s="3495"/>
      <c r="L2" s="3495"/>
      <c r="M2" s="3495"/>
      <c r="N2" s="3495"/>
      <c r="O2" s="3495"/>
      <c r="P2" s="3495"/>
      <c r="Q2" s="3495"/>
      <c r="R2" s="3495"/>
    </row>
    <row r="3" spans="1:18">
      <c r="A3" s="3020" t="s">
        <v>2505</v>
      </c>
      <c r="B3" s="3021">
        <f>项目基本情况!D3</f>
        <v>45209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3.19</v>
      </c>
      <c r="D5" s="3025">
        <f>IF(ISERROR(ROUND(POWER(1+E5,A5-C5)*(POWER(1+E5,C5)-1)/(POWER(1+E5,A5)-1),3)),0,ROUND(POWER(1+E5,A5-C5)*(POWER(1+E5,C5)-1)/(POWER(1+E5,A5)-1),4))</f>
        <v>0.14849999999999999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v>
      </c>
      <c r="D6" s="3025">
        <f>IF(ISERROR(ROUND(POWER(1+E6,A6-C6)*(POWER(1+E6,C6)-1)/(POWER(1+E6,A6)-1),3)),0,ROUND(POWER(1+E6,A6-C6)*(POWER(1+E6,C6)-1)/(POWER(1+E6,A6)-1),4))</f>
        <v>0.4703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33.21</v>
      </c>
      <c r="D7" s="3025">
        <f>IF(ISERROR(ROUND(POWER(1+E7,A7-C7)*(POWER(1+E7,C7)-1)/(POWER(1+E7,A7)-1),3)),0,ROUND(POWER(1+E7,A7-C7)*(POWER(1+E7,C7)-1)/(POWER(1+E7,A7)-1),4))</f>
        <v>0.77810000000000001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45209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9"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500"/>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59445</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223.26</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223.26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223.26</v>
      </c>
      <c r="H5" s="13">
        <f t="shared" ref="H5:AT5" si="0">SUM(H13:H656)</f>
        <v>223.26</v>
      </c>
      <c r="I5" s="13">
        <f t="shared" si="0"/>
        <v>223.26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223.26</v>
      </c>
      <c r="BA5" s="15">
        <f t="shared" si="1"/>
        <v>223.26</v>
      </c>
      <c r="BB5" s="15">
        <f t="shared" si="1"/>
        <v>223.26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223.26</v>
      </c>
      <c r="H13" s="17">
        <f>SUMIF(I$12:AB$12,"总值",I13:AB13)</f>
        <v>223.26</v>
      </c>
      <c r="I13" s="1626">
        <v>223.26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223.26</v>
      </c>
      <c r="BA13" s="13">
        <f>SUM(BB13:BK13)</f>
        <v>223.26</v>
      </c>
      <c r="BB13" s="13">
        <f>IF($D13="是",I13-J13,0)</f>
        <v>223.26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223.26</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223.26</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223.26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223.26</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223.26</v>
      </c>
      <c r="F19" s="2795">
        <f>'数据-基础表'!I13</f>
        <v>223.26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223.26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223.26</v>
      </c>
      <c r="F27" s="1140">
        <f>IF(SUM(F19:F26)=E8,SUM(F19:F26),"地上面积有误")</f>
        <v>223.26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223.26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223.26</v>
      </c>
      <c r="F31" s="677">
        <f>F27+F30</f>
        <v>223.26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45209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林肯B区</v>
      </c>
      <c r="B6" s="1713" t="str">
        <f>IF(A6=0,"","经营性")</f>
        <v>经营性</v>
      </c>
      <c r="C6" s="1714" t="s">
        <v>21</v>
      </c>
      <c r="D6" s="858">
        <f>SUMIF(项目基本情况!C$12:I$12,C6,项目基本情况!C$14:I$14)</f>
        <v>50</v>
      </c>
      <c r="E6" s="857">
        <f>IF(B6="","",SUMIF(项目基本情况!C$12:I$12,C6,项目基本情况!C$13:I$13))</f>
        <v>59445</v>
      </c>
      <c r="F6" s="64">
        <f>SUMIF(项目基本情况!C$12:I$12,C6,项目基本情况!C$15:I$15)</f>
        <v>39</v>
      </c>
      <c r="G6" s="65">
        <f>IF(ISERROR(ROUND(POWER(1+H6,D6-F6)*(POWER(1+H6,F6)-1)/(POWER(1+H6,D6)-1),3)),0,ROUND(POWER(1+H6,D6-F6)*(POWER(1+H6,F6)-1)/(POWER(1+H6,D6)-1),3))</f>
        <v>0.93200000000000005</v>
      </c>
      <c r="H6" s="732">
        <v>0.05</v>
      </c>
      <c r="I6" s="732">
        <v>5.5E-2</v>
      </c>
      <c r="J6" s="66">
        <v>7.0000000000000007E-2</v>
      </c>
      <c r="K6" s="1030">
        <f>SUMIF('数据-汇总表'!C$19:C$33,A6,'数据-汇总表'!E$19:E$33)</f>
        <v>223.26</v>
      </c>
      <c r="L6" s="733">
        <v>3500</v>
      </c>
      <c r="M6" s="67">
        <f t="shared" ref="M6:M14" si="0">ROUND(K6*L6/10000,0)</f>
        <v>78</v>
      </c>
      <c r="N6" s="731">
        <f>N19</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v>
      </c>
      <c r="X6" s="1040"/>
      <c r="Y6" s="71">
        <f>N6</f>
        <v>0.85</v>
      </c>
      <c r="Z6" s="72"/>
      <c r="AA6" s="66"/>
      <c r="AB6" s="66"/>
      <c r="AC6" s="1040"/>
      <c r="AD6" s="73"/>
      <c r="AE6" s="1041">
        <f ca="1">IF(AN6="",0,SUMIF(INDIRECT("'"&amp;AN6&amp;"'"&amp;"!E:E"),$AE$5,INDIRECT("'"&amp;AN6&amp;"'"&amp;"!F:F")))</f>
        <v>39</v>
      </c>
      <c r="AF6" s="1348"/>
      <c r="AG6" s="138">
        <f>IF(AF6="",0,AE6-AF6)</f>
        <v>0</v>
      </c>
      <c r="AH6" s="74"/>
      <c r="AI6" s="76">
        <v>365</v>
      </c>
      <c r="AJ6" s="77"/>
      <c r="AK6" s="78">
        <v>3.0000000000000001E-3</v>
      </c>
      <c r="AL6" s="79">
        <v>1E-3</v>
      </c>
      <c r="AM6" s="80">
        <v>5.0000000000000001E-3</v>
      </c>
      <c r="AN6" s="1715" t="s">
        <v>3414</v>
      </c>
      <c r="AO6" s="52">
        <f ca="1">SUMIF(INDIRECT("'"&amp;AN6&amp;"'"&amp;"!A:A"),"总价",INDIRECT("'"&amp;AN6&amp;"'"&amp;"!B:B"))</f>
        <v>529.97580000000005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0.05</v>
      </c>
      <c r="I16" s="91"/>
      <c r="J16" s="91"/>
      <c r="K16" s="92">
        <f>SUM(K6:K15)</f>
        <v>223.26</v>
      </c>
      <c r="L16" s="93">
        <f>ROUND(M16*10000/SUM(K6:K14),0)</f>
        <v>3494</v>
      </c>
      <c r="M16" s="93">
        <f>SUM(M6:M14)</f>
        <v>78</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2014</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0.85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7" sqref="H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223.26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45209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873</v>
      </c>
      <c r="C5" s="2512">
        <f ca="1">IF(B5=D14,结果表!H102,ROUND(B5*10000/$B$1,0))</f>
        <v>0</v>
      </c>
      <c r="D5" s="2512" t="e">
        <f ca="1">ROUND(B5*10000/$B$2,0)</f>
        <v>#DIV/0!</v>
      </c>
      <c r="E5" s="2686"/>
      <c r="F5" s="2687"/>
      <c r="G5" s="2687"/>
      <c r="H5" s="2688"/>
      <c r="I5" s="2688"/>
      <c r="J5" s="2688"/>
      <c r="K5" s="2688"/>
    </row>
    <row r="6" spans="1:11" ht="16.5">
      <c r="A6" s="2512" t="s">
        <v>656</v>
      </c>
      <c r="B6" s="2512">
        <f ca="1">SUM(G14:G23)</f>
        <v>873</v>
      </c>
      <c r="C6" s="2512">
        <f ca="1">IF(B6=G14,结果表!H108,ROUND(B6*10000/$B$1,0))</f>
        <v>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223.26</v>
      </c>
      <c r="C14" s="2518"/>
      <c r="D14" s="2518">
        <f ca="1">ROUND(B14*E14/10000,0)</f>
        <v>873</v>
      </c>
      <c r="E14" s="2518">
        <f ca="1">结果表!G20</f>
        <v>39103</v>
      </c>
      <c r="F14" s="2518" t="e">
        <f ca="1">ROUND(D14*10000/C14,0)</f>
        <v>#DIV/0!</v>
      </c>
      <c r="G14" s="2518">
        <f ca="1">D14</f>
        <v>873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3413</v>
      </c>
      <c r="D4" s="1756" t="s">
        <v>3414</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v>7</v>
      </c>
      <c r="D14" s="3604">
        <v>3</v>
      </c>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5" t="s">
        <v>2131</v>
      </c>
      <c r="F18" s="3636"/>
      <c r="G18" s="3636"/>
      <c r="H18" s="3636"/>
      <c r="I18" s="3636"/>
      <c r="K18" s="302" t="s">
        <v>1289</v>
      </c>
      <c r="L18" s="302">
        <f>IF(C1="",'数据-汇总表'!E3,SUMIF(项目类型,C1,'数据-汇总表'!E17:E26)+SUMIF(项目类型,C1,'数据-汇总表'!I17:I26))</f>
        <v>223.26</v>
      </c>
      <c r="M18" s="302">
        <f>IF(C1="",'数据-汇总表'!E3,SUMIF(项目类型,C1,'数据-汇总表'!E17:E26))</f>
        <v>223.26</v>
      </c>
    </row>
    <row r="19" spans="1:36" ht="15">
      <c r="A19" s="1761" t="s">
        <v>1290</v>
      </c>
      <c r="B19" s="1762" t="s">
        <v>1291</v>
      </c>
      <c r="C19" s="134">
        <f ca="1">SUMIF(INDIRECT("'"&amp;C4&amp;"'"&amp;"!A:A"),结果表!B19,INDIRECT("'"&amp;C4&amp;"'"&amp;"!B:B"))</f>
        <v>1020.0303</v>
      </c>
      <c r="D19" s="135">
        <f ca="1">SUMIF(INDIRECT("'"&amp;D4&amp;"'"&amp;"!A:A"),结果表!B19,INDIRECT("'"&amp;D4&amp;"'"&amp;"!B:B"))</f>
        <v>529.97580000000005</v>
      </c>
      <c r="E19" s="1761" t="s">
        <v>1292</v>
      </c>
      <c r="F19" s="1762" t="s">
        <v>1291</v>
      </c>
      <c r="G19" s="136">
        <f ca="1">ROUND(C19*$C$18+D19*$D$18,0)</f>
        <v>873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45688</v>
      </c>
      <c r="D20" s="138">
        <f ca="1">SUMIF(INDIRECT("'"&amp;D4&amp;"'"&amp;"!A:A"),结果表!B20,INDIRECT("'"&amp;D4&amp;"'"&amp;"!B:B"))</f>
        <v>23738</v>
      </c>
      <c r="E20" s="1764"/>
      <c r="F20" s="1026" t="s">
        <v>1295</v>
      </c>
      <c r="G20" s="139">
        <f ca="1">ROUND(C20*$C$18+D20*$D$18,0)</f>
        <v>39103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0.92467335300970332</v>
      </c>
      <c r="E22" s="129"/>
      <c r="F22" s="129"/>
      <c r="G22" s="129"/>
      <c r="H22" s="129"/>
      <c r="I22" s="129"/>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39103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t="e">
        <f ca="1">ROUND(H101*F45,0)</f>
        <v>#REF!</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45209</v>
      </c>
      <c r="N47" s="3548"/>
      <c r="O47" s="3548"/>
    </row>
    <row r="48" spans="1:15" ht="25.5">
      <c r="A48" s="3608" t="s">
        <v>1338</v>
      </c>
      <c r="B48" s="3609"/>
      <c r="C48" s="360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6" t="s">
        <v>1340</v>
      </c>
      <c r="L48" s="3546"/>
      <c r="M48" s="3549" t="e">
        <f ca="1">H101</f>
        <v>#REF!</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房地产抵押价值</v>
      </c>
      <c r="L49" s="3546"/>
      <c r="M49" s="3549" t="str">
        <f ca="1">IF(项目基本情况!E8="房地产抵押价值",H107,H109)</f>
        <v>——</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45"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t="e">
        <f ca="1">ROUND(D45*'数据-取费表'!B41/(1+'数据-取费表'!C42),0)</f>
        <v>#REF!</v>
      </c>
      <c r="E52" s="2334" t="s">
        <v>1354</v>
      </c>
      <c r="F52" s="2554">
        <f>'数据-取费表'!B41</f>
        <v>5.5000000000000007E-2</v>
      </c>
      <c r="G52" s="2555"/>
      <c r="H52" s="2544"/>
      <c r="I52" s="1807"/>
      <c r="J52" s="2523">
        <v>1</v>
      </c>
      <c r="K52" s="3571" t="s">
        <v>1355</v>
      </c>
      <c r="L52" s="3571"/>
      <c r="M52" s="2525" t="b">
        <f>D48</f>
        <v>0</v>
      </c>
      <c r="N52" s="2523" t="str">
        <f>E48</f>
        <v>销售额×税（费）率</v>
      </c>
      <c r="O52" s="2526">
        <f>F48</f>
        <v>5.5000000000000007E-2</v>
      </c>
    </row>
    <row r="53" spans="1:35" ht="12" customHeight="1">
      <c r="A53" s="2335" t="s">
        <v>1356</v>
      </c>
      <c r="B53" s="3595" t="s">
        <v>2291</v>
      </c>
      <c r="C53" s="3596"/>
      <c r="D53" s="1087" t="e">
        <f ca="1">ROUND(D45*'数据-取费表'!B41/(1+'数据-取费表'!C42),0)</f>
        <v>#REF!</v>
      </c>
      <c r="E53" s="2334" t="s">
        <v>1354</v>
      </c>
      <c r="F53" s="2554">
        <f>'数据-取费表'!B41</f>
        <v>5.5000000000000007E-2</v>
      </c>
      <c r="G53" s="2555"/>
      <c r="H53" s="2544"/>
      <c r="I53" s="1807"/>
      <c r="J53" s="2523">
        <v>2</v>
      </c>
      <c r="K53" s="3571" t="s">
        <v>1357</v>
      </c>
      <c r="L53" s="3571"/>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5.5000000000000007E-2</v>
      </c>
      <c r="G54" s="2555"/>
      <c r="H54" s="2556"/>
      <c r="I54" s="1807"/>
      <c r="J54" s="2523">
        <v>3</v>
      </c>
      <c r="K54" s="3571" t="s">
        <v>1360</v>
      </c>
      <c r="L54" s="3571"/>
      <c r="M54" s="2525" t="e">
        <f t="shared" ca="1" si="0"/>
        <v>#REF!</v>
      </c>
      <c r="N54" s="2523" t="str">
        <f t="shared" si="0"/>
        <v>增值额×税（费）率</v>
      </c>
      <c r="O54" s="2527" t="str">
        <f t="shared" si="0"/>
        <v>免征</v>
      </c>
    </row>
    <row r="55" spans="1:35" ht="24" customHeight="1">
      <c r="A55" s="3631" t="s">
        <v>1361</v>
      </c>
      <c r="B55" s="3609"/>
      <c r="C55" s="3609"/>
      <c r="D55" s="2324" t="e">
        <f ca="1">IF(H55="个人住宅",0,ROUND(D45*I55,0))</f>
        <v>#REF!</v>
      </c>
      <c r="E55" s="2334" t="s">
        <v>1362</v>
      </c>
      <c r="F55" s="2554" t="str">
        <f>IF(H55="正常",I55,"免征")</f>
        <v>免征</v>
      </c>
      <c r="G55" s="2555"/>
      <c r="H55" s="2550"/>
      <c r="I55" s="165">
        <f>'数据-取费表'!B49</f>
        <v>5.0000000000000001E-4</v>
      </c>
      <c r="J55" s="2523">
        <f>IF(H59="非个人房产","",4)</f>
        <v>4</v>
      </c>
      <c r="K55" s="3571" t="str">
        <f>IF(H59="非个人房产","——","个人所得税")</f>
        <v>个人所得税</v>
      </c>
      <c r="L55" s="3571"/>
      <c r="M55" s="2528" t="e">
        <f ca="1">D59</f>
        <v>#REF!</v>
      </c>
      <c r="N55" s="2040" t="str">
        <f>E59</f>
        <v>差额计税</v>
      </c>
      <c r="O55" s="2529">
        <f>F59</f>
        <v>0.01</v>
      </c>
    </row>
    <row r="56" spans="1:35" ht="24.75">
      <c r="A56" s="3631" t="s">
        <v>1363</v>
      </c>
      <c r="B56" s="3609"/>
      <c r="C56" s="3609"/>
      <c r="D56" s="2324" t="e">
        <f ca="1">IF(H56="个人住宅",D57,D58)</f>
        <v>#REF!</v>
      </c>
      <c r="E56" s="2334" t="s">
        <v>1364</v>
      </c>
      <c r="F56" s="2554" t="str">
        <f>IF(H56="正常",F58,"免征")</f>
        <v>免征</v>
      </c>
      <c r="G56" s="2557" t="s">
        <v>1365</v>
      </c>
      <c r="H56" s="2558"/>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5</v>
      </c>
      <c r="K57" s="3571" t="s">
        <v>1367</v>
      </c>
      <c r="L57" s="2530" t="s">
        <v>1368</v>
      </c>
      <c r="M57" s="2531"/>
      <c r="N57" s="2532">
        <f ca="1">SUMIF(M52:M56,"&lt;9e307")</f>
        <v>0</v>
      </c>
      <c r="O57" s="2533"/>
      <c r="P57" s="2690" t="e">
        <f ca="1">N57/M49</f>
        <v>#VALUE!</v>
      </c>
    </row>
    <row r="58" spans="1:35" ht="24.75">
      <c r="A58" s="2335" t="s">
        <v>1352</v>
      </c>
      <c r="B58" s="3595" t="s">
        <v>1369</v>
      </c>
      <c r="C58" s="3594"/>
      <c r="D58" s="2324" t="e">
        <f ca="1">IF(H58="转让取得",C81,C97)</f>
        <v>#REF!</v>
      </c>
      <c r="E58" s="2334" t="s">
        <v>1364</v>
      </c>
      <c r="F58" s="302" t="s">
        <v>28</v>
      </c>
      <c r="G58" s="2555"/>
      <c r="H58" s="2558"/>
      <c r="I58" s="1808"/>
      <c r="J58" s="3571"/>
      <c r="K58" s="3571"/>
      <c r="L58" s="2530" t="s">
        <v>1370</v>
      </c>
      <c r="M58" s="2534"/>
      <c r="N58" s="2535" t="str">
        <f ca="1">NUMBERSTRING(INT(N57*10000),2)&amp;"元整"</f>
        <v>零元整</v>
      </c>
      <c r="O58" s="2536"/>
    </row>
    <row r="59" spans="1:35" ht="24.75" thickBot="1">
      <c r="A59" s="3575" t="s">
        <v>1371</v>
      </c>
      <c r="B59" s="3576"/>
      <c r="C59" s="357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3">
        <f>J57+1</f>
        <v>6</v>
      </c>
      <c r="K59" s="3571" t="s">
        <v>1372</v>
      </c>
      <c r="L59" s="2523" t="s">
        <v>1368</v>
      </c>
      <c r="M59" s="2537"/>
      <c r="N59" s="2538" t="e">
        <f ca="1">M49-N57</f>
        <v>#VALUE!</v>
      </c>
      <c r="O59" s="2539"/>
    </row>
    <row r="60" spans="1:35" ht="12" customHeight="1">
      <c r="A60" s="1809"/>
      <c r="B60" s="1747"/>
      <c r="C60" s="1747"/>
      <c r="D60" s="1747"/>
      <c r="E60" s="1578"/>
      <c r="F60" s="1808"/>
      <c r="G60" s="1808"/>
      <c r="H60" s="1810"/>
      <c r="I60" s="129"/>
      <c r="J60" s="3574"/>
      <c r="K60" s="3571"/>
      <c r="L60" s="2530" t="s">
        <v>1370</v>
      </c>
      <c r="M60" s="2534"/>
      <c r="N60" s="2535" t="e">
        <f ca="1">NUMBERSTRING(INT(N59*10000),2)&amp;"元整"</f>
        <v>#VALUE!</v>
      </c>
      <c r="O60" s="2536"/>
    </row>
    <row r="61" spans="1:35" ht="13.5" thickBot="1">
      <c r="A61" s="3630" t="s">
        <v>1373</v>
      </c>
      <c r="B61" s="3630"/>
      <c r="C61" s="3630"/>
      <c r="D61" s="3630"/>
      <c r="E61" s="3630"/>
      <c r="F61" s="1808"/>
      <c r="G61" s="1808"/>
      <c r="H61" s="1810"/>
      <c r="I61" s="129"/>
      <c r="J61" s="2523">
        <f>J59+1</f>
        <v>7</v>
      </c>
      <c r="K61" s="3571" t="s">
        <v>1374</v>
      </c>
      <c r="L61" s="3571"/>
      <c r="M61" s="2540"/>
      <c r="N61" s="2541" t="e">
        <f ca="1">ROUND(N59*10000/'数据-汇总表'!E3,0)</f>
        <v>#VALUE!</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4"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4"/>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54"/>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4"/>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54"/>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比较法-办公</v>
      </c>
      <c r="D101" s="2586" t="str">
        <f>D4</f>
        <v>收益法 (元)</v>
      </c>
      <c r="E101" s="3550" t="s">
        <v>1431</v>
      </c>
      <c r="F101" s="3551"/>
      <c r="G101" s="1827" t="s">
        <v>1432</v>
      </c>
      <c r="H101" s="2595" t="e">
        <f ca="1">H118</f>
        <v>#REF!</v>
      </c>
      <c r="I101" s="129"/>
    </row>
    <row r="102" spans="1:35" ht="18.75" customHeight="1">
      <c r="A102" s="3582" t="s">
        <v>1433</v>
      </c>
      <c r="B102" s="2584" t="s">
        <v>1432</v>
      </c>
      <c r="C102" s="2585">
        <f ca="1">IF(D32="楼面单价",ROUND(C19,0),C19)</f>
        <v>1020.0303</v>
      </c>
      <c r="D102" s="2586">
        <f ca="1">IF(D32="楼面单价",ROUND(D19,0),D19)</f>
        <v>529.97580000000005</v>
      </c>
      <c r="E102" s="3550"/>
      <c r="F102" s="3551"/>
      <c r="G102" s="1827" t="s">
        <v>1434</v>
      </c>
      <c r="H102" s="2555" t="e">
        <f ca="1">I118</f>
        <v>#REF!</v>
      </c>
      <c r="I102" s="129"/>
    </row>
    <row r="103" spans="1:35" ht="42.75" customHeight="1">
      <c r="A103" s="3582"/>
      <c r="B103" s="2584" t="s">
        <v>1434</v>
      </c>
      <c r="C103" s="2587">
        <f ca="1">C20</f>
        <v>45688</v>
      </c>
      <c r="D103" s="2588">
        <f ca="1">D20</f>
        <v>23738</v>
      </c>
      <c r="E103" s="3543" t="s">
        <v>1435</v>
      </c>
      <c r="F103" s="3544"/>
      <c r="G103" s="1828" t="s">
        <v>1436</v>
      </c>
      <c r="H103" s="2595">
        <f>IF(D36="正常操作",H104+H105+H106,H105+H106)</f>
        <v>0</v>
      </c>
      <c r="I103" s="129"/>
    </row>
    <row r="104" spans="1:35" ht="18.75" customHeight="1">
      <c r="A104" s="358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t="e">
        <f ca="1">IF(E107="——","——",H101-H103)</f>
        <v>#REF!</v>
      </c>
      <c r="I107" s="129"/>
    </row>
    <row r="108" spans="1:35" ht="18.75" customHeight="1">
      <c r="A108" s="129"/>
      <c r="B108" s="129"/>
      <c r="C108" s="129"/>
      <c r="D108" s="129"/>
      <c r="E108" s="3583"/>
      <c r="F108" s="3551"/>
      <c r="G108" s="1827" t="s">
        <v>1434</v>
      </c>
      <c r="H108" s="2555">
        <f ca="1">IF(H107=H101,H102,ROUND(H107*10000/'数据-汇总表'!E3,0))</f>
        <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1432</v>
      </c>
      <c r="H111" s="2595" t="str">
        <f>IF(E111="——","——",N59)</f>
        <v>——</v>
      </c>
      <c r="I111" s="129"/>
    </row>
    <row r="112" spans="1:35" ht="18.75" customHeight="1" thickBot="1">
      <c r="A112" s="129"/>
      <c r="B112" s="129"/>
      <c r="C112" s="129"/>
      <c r="D112" s="129"/>
      <c r="E112" s="3585"/>
      <c r="F112" s="3586"/>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223.26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8" t="s">
        <v>1452</v>
      </c>
      <c r="B119" s="3558"/>
      <c r="C119" s="3558"/>
      <c r="D119" s="3564" t="e">
        <f ca="1">NUMBERSTRING(INT(D118*10000),2)&amp;"元整"</f>
        <v>#REF!</v>
      </c>
      <c r="E119" s="3565"/>
      <c r="F119" s="3564" t="e">
        <f ca="1">NUMBERSTRING(INT(F118*10000),2)&amp;"元整"</f>
        <v>#REF!</v>
      </c>
      <c r="G119" s="3565"/>
      <c r="H119" s="3564" t="e">
        <f ca="1">NUMBERSTRING(INT(H118*10000),2)&amp;"元整"</f>
        <v>#REF!</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t="e">
        <f ca="1">H107</f>
        <v>#REF!</v>
      </c>
      <c r="E122" s="3560"/>
      <c r="F122" s="3560"/>
      <c r="G122" s="3560"/>
      <c r="H122" s="3560"/>
      <c r="I122" s="3561"/>
      <c r="AA122" s="725"/>
    </row>
    <row r="123" spans="1:27" ht="18.75" customHeight="1">
      <c r="A123" s="3558" t="s">
        <v>1452</v>
      </c>
      <c r="B123" s="3558"/>
      <c r="C123" s="3558"/>
      <c r="D123" s="3564" t="e">
        <f ca="1">NUMBERSTRING(INT(D122*10000),2)&amp;"元整"</f>
        <v>#REF!</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223.26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223.26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223.26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13</v>
      </c>
      <c r="D45" s="235">
        <f ca="1">C47</f>
        <v>3.0000000000000001E-3</v>
      </c>
      <c r="E45" s="236" t="s">
        <v>1539</v>
      </c>
      <c r="F45" s="246">
        <f ca="1">F27</f>
        <v>0.15</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114</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97</v>
      </c>
      <c r="D51" s="232"/>
      <c r="E51" s="232"/>
      <c r="F51" s="264"/>
      <c r="G51" s="234" t="s">
        <v>1560</v>
      </c>
    </row>
    <row r="52" spans="1:7" s="208" customFormat="1" ht="16.5" thickBot="1">
      <c r="A52" s="265" t="s">
        <v>1561</v>
      </c>
      <c r="B52" s="266"/>
      <c r="C52" s="267">
        <f ca="1">C31+C51</f>
        <v>102</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109.4901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44652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44652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44652</v>
      </c>
      <c r="D10" s="845">
        <f ca="1">IF(B1="",'数据-汇总表'!E6,IF(INDIRECT("'数据-取费表'!c"&amp;$G$1)="住宅",INDIRECT("'数据-取费表'!s"&amp;$G$1),INDIRECT("'数据-取费表'!k"&amp;$G$1)+INDIRECT("'数据-取费表'!s"&amp;$G$1)))</f>
        <v>223.26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44652</v>
      </c>
      <c r="D19" s="849">
        <f ca="1">D9+D10</f>
        <v>223.26</v>
      </c>
      <c r="E19" s="211">
        <f>'数据-取费表'!B31</f>
        <v>200</v>
      </c>
      <c r="F19" s="231"/>
      <c r="G19" s="1856"/>
    </row>
    <row r="20" spans="1:7" s="214" customFormat="1" ht="13.5" customHeight="1">
      <c r="A20" s="255" t="s">
        <v>1574</v>
      </c>
      <c r="B20" s="210" t="s">
        <v>1575</v>
      </c>
      <c r="C20" s="232">
        <f ca="1">ROUND((C5+C19)*F20,0)</f>
        <v>1786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6330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3134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3134</v>
      </c>
      <c r="D24" s="238"/>
      <c r="E24" s="238"/>
      <c r="F24" s="239"/>
      <c r="G24" s="240" t="s">
        <v>1586</v>
      </c>
    </row>
    <row r="25" spans="1:7" s="214" customFormat="1" ht="24">
      <c r="A25" s="780" t="s">
        <v>1476</v>
      </c>
      <c r="B25" s="215" t="s">
        <v>1587</v>
      </c>
      <c r="C25" s="1128">
        <f ca="1">ROUND(IF('数据-取费表'!B22&lt;=1,C20*F22*'数据-取费表'!B22/2,C20*(POWER((1+F22),'数据-取费表'!B22/2)-1)),0)</f>
        <v>62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13664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13664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120234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876854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781410</v>
      </c>
      <c r="D34" s="217"/>
      <c r="E34" s="220"/>
      <c r="F34" s="257"/>
      <c r="G34" s="219"/>
    </row>
    <row r="35" spans="1:7" ht="13.5" customHeight="1">
      <c r="A35" s="780" t="s">
        <v>351</v>
      </c>
      <c r="B35" s="215" t="s">
        <v>1527</v>
      </c>
      <c r="C35" s="220">
        <f ca="1">ROUND(C34*F35,0)</f>
        <v>39071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44652</v>
      </c>
      <c r="D37" s="217">
        <f ca="1">D19</f>
        <v>223.26</v>
      </c>
      <c r="E37" s="249">
        <f>'数据-取费表'!B35</f>
        <v>200</v>
      </c>
      <c r="F37" s="259"/>
      <c r="G37" s="261"/>
    </row>
    <row r="38" spans="1:7" ht="13.5" customHeight="1">
      <c r="A38" s="780" t="s">
        <v>354</v>
      </c>
      <c r="B38" s="215" t="s">
        <v>1533</v>
      </c>
      <c r="C38" s="220">
        <f ca="1">ROUND(C34*F38,0)</f>
        <v>11721</v>
      </c>
      <c r="D38" s="220"/>
      <c r="E38" s="220"/>
      <c r="F38" s="259">
        <f>'数据-取费表'!B36</f>
        <v>1.4999999999999999E-2</v>
      </c>
      <c r="G38" s="219" t="s">
        <v>1528</v>
      </c>
    </row>
    <row r="39" spans="1:7" s="214" customFormat="1" ht="13.5" customHeight="1">
      <c r="A39" s="255" t="s">
        <v>1534</v>
      </c>
      <c r="B39" s="210" t="s">
        <v>1535</v>
      </c>
      <c r="C39" s="232">
        <f ca="1">ROUND(C33*F20,0)</f>
        <v>17537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30856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30251</v>
      </c>
      <c r="D42" s="238"/>
      <c r="E42" s="238"/>
      <c r="F42" s="239"/>
      <c r="G42" s="3637" t="s">
        <v>1591</v>
      </c>
    </row>
    <row r="43" spans="1:7" ht="13.5" customHeight="1">
      <c r="A43" s="780" t="s">
        <v>347</v>
      </c>
      <c r="B43" s="215" t="s">
        <v>1545</v>
      </c>
      <c r="C43" s="238">
        <f ca="1">ROUND(IF('数据-取费表'!B22&lt;=1,C39*F22*'数据-取费表'!B20/2,C39*(POWER((1+F22),'数据-取费表'!B20/2)-1)),0)</f>
        <v>605</v>
      </c>
      <c r="D43" s="238"/>
      <c r="E43" s="238"/>
      <c r="F43" s="239"/>
      <c r="G43" s="3638"/>
    </row>
    <row r="44" spans="1:7" ht="13.5" customHeight="1">
      <c r="A44" s="780"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134159</v>
      </c>
      <c r="D45" s="235">
        <f ca="1">C47</f>
        <v>3.0000000000000001E-3</v>
      </c>
      <c r="E45" s="236" t="s">
        <v>1539</v>
      </c>
      <c r="F45" s="246">
        <f ca="1">F27</f>
        <v>0.15</v>
      </c>
      <c r="G45" s="247" t="s">
        <v>1548</v>
      </c>
    </row>
    <row r="46" spans="1:7" s="214" customFormat="1" ht="13.5" customHeight="1">
      <c r="A46" s="780" t="s">
        <v>346</v>
      </c>
      <c r="B46" s="248" t="s">
        <v>1549</v>
      </c>
      <c r="C46" s="249">
        <f ca="1">ROUND((C33+C39)*F27,0)</f>
        <v>134159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1146667</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974667</v>
      </c>
      <c r="D51" s="232"/>
      <c r="E51" s="232"/>
      <c r="F51" s="264"/>
      <c r="G51" s="234" t="s">
        <v>1560</v>
      </c>
    </row>
    <row r="52" spans="1:7" s="208" customFormat="1" ht="16.5" thickBot="1">
      <c r="A52" s="265" t="s">
        <v>1561</v>
      </c>
      <c r="B52" s="266"/>
      <c r="C52" s="267">
        <f ca="1">C31+C51</f>
        <v>1094901</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-224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223.26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223.26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223.26</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5" t="s">
        <v>2321</v>
      </c>
      <c r="K2" s="3646"/>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7" t="s">
        <v>2331</v>
      </c>
      <c r="K3" s="3648"/>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7" t="s">
        <v>2333</v>
      </c>
      <c r="K4" s="3648"/>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9" t="s">
        <v>2337</v>
      </c>
      <c r="B6" s="3650"/>
      <c r="C6" s="3651"/>
      <c r="D6" s="2870"/>
      <c r="E6" s="2871"/>
      <c r="F6" s="2872"/>
      <c r="G6" s="2873"/>
      <c r="H6" s="2848"/>
      <c r="I6" s="2849"/>
      <c r="J6" s="3652">
        <v>1</v>
      </c>
      <c r="K6" s="365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2"/>
      <c r="K7" s="365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6" t="s">
        <v>2351</v>
      </c>
      <c r="C8" s="3657"/>
      <c r="D8" s="2889" t="s">
        <v>2352</v>
      </c>
      <c r="E8" s="2890" t="s">
        <v>2353</v>
      </c>
      <c r="F8" s="2891" t="s">
        <v>2354</v>
      </c>
      <c r="G8" s="2892"/>
      <c r="H8" s="2848"/>
      <c r="I8" s="2849"/>
      <c r="J8" s="3652"/>
      <c r="K8" s="365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6" t="s">
        <v>2357</v>
      </c>
      <c r="C9" s="3657"/>
      <c r="D9" s="2889">
        <f>ROUND(D6*E9,0)</f>
        <v>0</v>
      </c>
      <c r="E9" s="2893"/>
      <c r="F9" s="2894" t="s">
        <v>2358</v>
      </c>
      <c r="G9" s="2873"/>
      <c r="H9" s="2848"/>
      <c r="I9" s="2849"/>
      <c r="J9" s="3652"/>
      <c r="K9" s="3654"/>
      <c r="L9" s="2883" t="s">
        <v>2359</v>
      </c>
      <c r="M9" s="2884"/>
      <c r="N9" s="2860"/>
      <c r="O9" s="2885"/>
      <c r="P9" s="2885"/>
      <c r="Q9" s="2886">
        <v>365</v>
      </c>
      <c r="R9" s="2887">
        <f t="shared" si="0"/>
        <v>0</v>
      </c>
      <c r="S9" s="2841"/>
      <c r="T9" s="2841"/>
      <c r="U9" s="2841"/>
      <c r="V9" s="2849"/>
    </row>
    <row r="10" spans="1:22" s="2853" customFormat="1" ht="13.15" customHeight="1">
      <c r="A10" s="2888">
        <v>2</v>
      </c>
      <c r="B10" s="3656" t="s">
        <v>2360</v>
      </c>
      <c r="C10" s="3657"/>
      <c r="D10" s="2889">
        <f>ROUND(D6*E10,0)</f>
        <v>0</v>
      </c>
      <c r="E10" s="2893"/>
      <c r="F10" s="2894" t="s">
        <v>2361</v>
      </c>
      <c r="G10" s="2873"/>
      <c r="H10" s="2848"/>
      <c r="I10" s="2849"/>
      <c r="J10" s="3652"/>
      <c r="K10" s="3654"/>
      <c r="L10" s="2883" t="s">
        <v>2362</v>
      </c>
      <c r="M10" s="2884"/>
      <c r="N10" s="2860"/>
      <c r="O10" s="2885"/>
      <c r="P10" s="2885"/>
      <c r="Q10" s="2886">
        <v>365</v>
      </c>
      <c r="R10" s="2887">
        <f t="shared" si="0"/>
        <v>0</v>
      </c>
      <c r="S10" s="2841"/>
      <c r="T10" s="2841"/>
      <c r="U10" s="2841"/>
      <c r="V10" s="2849"/>
    </row>
    <row r="11" spans="1:22" s="2853" customFormat="1" ht="13.15" customHeight="1">
      <c r="A11" s="2888">
        <v>3</v>
      </c>
      <c r="B11" s="3656" t="s">
        <v>2363</v>
      </c>
      <c r="C11" s="3657"/>
      <c r="D11" s="2889">
        <f>D12+D14+D15+D16</f>
        <v>0</v>
      </c>
      <c r="E11" s="2895" t="e">
        <f>D11/D6</f>
        <v>#DIV/0!</v>
      </c>
      <c r="F11" s="2891"/>
      <c r="G11" s="2892"/>
      <c r="H11" s="2848"/>
      <c r="I11" s="2849"/>
      <c r="J11" s="3652"/>
      <c r="K11" s="365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8" t="s">
        <v>2366</v>
      </c>
      <c r="C12" s="3659"/>
      <c r="D12" s="2897">
        <f>ROUND(D13*1.2%*(1-30%),0)</f>
        <v>0</v>
      </c>
      <c r="E12" s="2898">
        <v>1.2E-2</v>
      </c>
      <c r="F12" s="2891" t="s">
        <v>2367</v>
      </c>
      <c r="G12" s="2892"/>
      <c r="H12" s="2848"/>
      <c r="I12" s="2849"/>
      <c r="J12" s="3652"/>
      <c r="K12" s="365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2"/>
      <c r="K13" s="365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8" t="s">
        <v>2372</v>
      </c>
      <c r="C14" s="3659"/>
      <c r="D14" s="2897">
        <f>ROUND(E14*B5/10000,0)</f>
        <v>0</v>
      </c>
      <c r="E14" s="2886"/>
      <c r="F14" s="2891" t="s">
        <v>2373</v>
      </c>
      <c r="G14" s="2892"/>
      <c r="H14" s="2848"/>
      <c r="I14" s="2849"/>
      <c r="J14" s="3652"/>
      <c r="K14" s="365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8" t="s">
        <v>2376</v>
      </c>
      <c r="C15" s="3659"/>
      <c r="D15" s="2897">
        <f>ROUND(D6*E15,0)</f>
        <v>0</v>
      </c>
      <c r="E15" s="2898">
        <v>5.5E-2</v>
      </c>
      <c r="F15" s="2891" t="s">
        <v>2377</v>
      </c>
      <c r="G15" s="2873"/>
      <c r="H15" s="2848"/>
      <c r="I15" s="2849"/>
      <c r="J15" s="3652">
        <v>2</v>
      </c>
      <c r="K15" s="365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8" t="s">
        <v>2385</v>
      </c>
      <c r="C16" s="3659"/>
      <c r="D16" s="2908">
        <f>D6*E16</f>
        <v>0</v>
      </c>
      <c r="E16" s="2909"/>
      <c r="F16" s="2894" t="s">
        <v>2386</v>
      </c>
      <c r="G16" s="2873"/>
      <c r="H16" s="2848"/>
      <c r="I16" s="2849"/>
      <c r="J16" s="3652"/>
      <c r="K16" s="365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0" t="s">
        <v>2388</v>
      </c>
      <c r="C17" s="3661"/>
      <c r="D17" s="2911">
        <f>ROUND(D6*E17,0)</f>
        <v>0</v>
      </c>
      <c r="E17" s="2912"/>
      <c r="F17" s="2913" t="s">
        <v>2389</v>
      </c>
      <c r="G17" s="2873"/>
      <c r="H17" s="2848"/>
      <c r="I17" s="2849"/>
      <c r="J17" s="3652"/>
      <c r="K17" s="365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2"/>
      <c r="K18" s="365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2"/>
      <c r="K19" s="365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2">
        <v>3</v>
      </c>
      <c r="K20" s="365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2"/>
      <c r="K21" s="365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2"/>
      <c r="K22" s="365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2"/>
      <c r="K23" s="365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2"/>
      <c r="K24" s="365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2">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5" t="s">
        <v>2321</v>
      </c>
      <c r="K32" s="3646"/>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7" t="s">
        <v>2331</v>
      </c>
      <c r="K33" s="3648"/>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7" t="s">
        <v>2333</v>
      </c>
      <c r="K34" s="364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2">
        <v>1</v>
      </c>
      <c r="K36" s="365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2"/>
      <c r="K37" s="365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2"/>
      <c r="K38" s="365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2"/>
      <c r="K39" s="365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2"/>
      <c r="K40" s="365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529.97580000000005</v>
      </c>
      <c r="C2" s="1872" t="s">
        <v>1651</v>
      </c>
      <c r="D2" s="1873" t="s">
        <v>1652</v>
      </c>
      <c r="E2" s="2607">
        <f>SUM(E6:E13)</f>
        <v>223.26</v>
      </c>
      <c r="F2" s="2707"/>
      <c r="G2" s="1489"/>
      <c r="H2" s="1489"/>
      <c r="I2" s="1489"/>
      <c r="J2" s="1489"/>
      <c r="K2" s="1489"/>
      <c r="L2" s="1489"/>
      <c r="M2" s="1489"/>
      <c r="N2" s="1489"/>
      <c r="O2" s="1489"/>
      <c r="P2" s="1489"/>
      <c r="Q2" s="1489"/>
      <c r="R2" s="1489"/>
      <c r="S2" s="1489"/>
    </row>
    <row r="3" spans="1:22" ht="15.75">
      <c r="A3" s="1870" t="s">
        <v>686</v>
      </c>
      <c r="B3" s="2601">
        <f ca="1">ROUND(B2*10000/E2,0)</f>
        <v>23738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529.97580000000005</v>
      </c>
      <c r="C6" s="1872" t="s">
        <v>1651</v>
      </c>
      <c r="D6" s="2709"/>
      <c r="E6" s="2606">
        <f>IF(OR(A6=0,F6="否"),0,'数据-取费表'!K6+'数据-取费表'!S6)</f>
        <v>223.26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223.26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71" t="s">
        <v>1668</v>
      </c>
      <c r="S4" s="3672"/>
      <c r="T4" s="3671" t="s">
        <v>1669</v>
      </c>
      <c r="U4" s="3672"/>
      <c r="V4" s="3696" t="s">
        <v>1670</v>
      </c>
      <c r="W4" s="3696"/>
      <c r="X4" s="1355"/>
      <c r="Y4" s="3671" t="s">
        <v>1672</v>
      </c>
      <c r="Z4" s="3672"/>
      <c r="AA4" s="3666" t="s">
        <v>1668</v>
      </c>
      <c r="AB4" s="3666" t="s">
        <v>1669</v>
      </c>
      <c r="AC4" s="3666" t="s">
        <v>1670</v>
      </c>
    </row>
    <row r="5" spans="1:29" ht="15">
      <c r="A5" s="358"/>
      <c r="B5" s="359"/>
      <c r="C5" s="3677" t="s">
        <v>1673</v>
      </c>
      <c r="D5" s="3678"/>
      <c r="E5" s="3675" t="s">
        <v>1674</v>
      </c>
      <c r="F5" s="3676"/>
      <c r="G5" s="3677" t="s">
        <v>1675</v>
      </c>
      <c r="H5" s="3678"/>
      <c r="I5" s="3677" t="s">
        <v>1676</v>
      </c>
      <c r="J5" s="3678"/>
      <c r="K5" s="1890"/>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1890"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45209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9" t="s">
        <v>1680</v>
      </c>
      <c r="Q7" s="3697"/>
      <c r="R7" s="701" t="s">
        <v>20</v>
      </c>
      <c r="S7" s="702">
        <f t="shared" ref="S7:S15" si="0">F7</f>
        <v>0</v>
      </c>
      <c r="T7" s="701" t="s">
        <v>20</v>
      </c>
      <c r="U7" s="702">
        <f t="shared" ref="U7:U15" si="1">H7</f>
        <v>0</v>
      </c>
      <c r="V7" s="701" t="s">
        <v>20</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9" t="s">
        <v>1683</v>
      </c>
      <c r="Q8" s="3670"/>
      <c r="R8" s="701" t="s">
        <v>20</v>
      </c>
      <c r="S8" s="702">
        <f t="shared" si="0"/>
        <v>100</v>
      </c>
      <c r="T8" s="701" t="s">
        <v>20</v>
      </c>
      <c r="U8" s="702">
        <f t="shared" si="1"/>
        <v>100</v>
      </c>
      <c r="V8" s="701" t="s">
        <v>20</v>
      </c>
      <c r="W8" s="702">
        <f t="shared" si="2"/>
        <v>100</v>
      </c>
      <c r="X8" s="703"/>
      <c r="Y8" s="3669" t="s">
        <v>1683</v>
      </c>
      <c r="Z8" s="367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0" t="s">
        <v>1691</v>
      </c>
      <c r="Q15" s="1352" t="str">
        <f t="shared" si="6"/>
        <v>居住社区成熟度</v>
      </c>
      <c r="R15" s="705" t="s">
        <v>18</v>
      </c>
      <c r="S15" s="706">
        <f t="shared" si="0"/>
        <v>100</v>
      </c>
      <c r="T15" s="705" t="s">
        <v>18</v>
      </c>
      <c r="U15" s="706">
        <f t="shared" si="1"/>
        <v>100</v>
      </c>
      <c r="V15" s="705" t="s">
        <v>18</v>
      </c>
      <c r="W15" s="706">
        <f t="shared" si="2"/>
        <v>100</v>
      </c>
      <c r="X15" s="1355"/>
      <c r="Y15" s="370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1"/>
      <c r="Q16" s="1352"/>
      <c r="R16" s="705"/>
      <c r="S16" s="706"/>
      <c r="T16" s="705"/>
      <c r="U16" s="706"/>
      <c r="V16" s="705"/>
      <c r="W16" s="706"/>
      <c r="X16" s="1355"/>
      <c r="Y16" s="370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1"/>
      <c r="Q22" s="1352"/>
      <c r="R22" s="705"/>
      <c r="S22" s="706"/>
      <c r="T22" s="705"/>
      <c r="U22" s="706"/>
      <c r="V22" s="705"/>
      <c r="W22" s="706"/>
      <c r="X22" s="1355"/>
      <c r="Y22" s="370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1696</v>
      </c>
      <c r="Q32" s="1352" t="str">
        <f t="shared" si="11"/>
        <v>建筑类型</v>
      </c>
      <c r="R32" s="705" t="s">
        <v>18</v>
      </c>
      <c r="S32" s="706">
        <f t="shared" si="12"/>
        <v>100</v>
      </c>
      <c r="T32" s="705" t="s">
        <v>18</v>
      </c>
      <c r="U32" s="706">
        <f t="shared" si="13"/>
        <v>100</v>
      </c>
      <c r="V32" s="705" t="s">
        <v>18</v>
      </c>
      <c r="W32" s="706">
        <f t="shared" si="14"/>
        <v>100</v>
      </c>
      <c r="X32" s="1355"/>
      <c r="Y32" s="370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1696</v>
      </c>
      <c r="Q38" s="1352" t="str">
        <f t="shared" si="11"/>
        <v>物业管理</v>
      </c>
      <c r="R38" s="705" t="s">
        <v>18</v>
      </c>
      <c r="S38" s="706">
        <f t="shared" si="12"/>
        <v>100</v>
      </c>
      <c r="T38" s="705" t="s">
        <v>18</v>
      </c>
      <c r="U38" s="706">
        <f t="shared" si="13"/>
        <v>100</v>
      </c>
      <c r="V38" s="705" t="s">
        <v>18</v>
      </c>
      <c r="W38" s="706">
        <f t="shared" si="14"/>
        <v>100</v>
      </c>
      <c r="X38" s="1355"/>
      <c r="Y38" s="370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223.26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96"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96"/>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96"/>
      <c r="AC6" s="3668"/>
    </row>
    <row r="7" spans="1:29" s="108" customFormat="1" ht="15.75" thickBot="1">
      <c r="A7" s="362" t="s">
        <v>1679</v>
      </c>
      <c r="B7" s="363"/>
      <c r="C7" s="364">
        <f>'数据-取费表'!B2</f>
        <v>45209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3"/>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0" t="s">
        <v>1691</v>
      </c>
      <c r="Q15" s="1352" t="str">
        <f t="shared" si="6"/>
        <v>商业繁华度</v>
      </c>
      <c r="R15" s="705" t="s">
        <v>14</v>
      </c>
      <c r="S15" s="706">
        <f t="shared" si="0"/>
        <v>100</v>
      </c>
      <c r="T15" s="705" t="s">
        <v>14</v>
      </c>
      <c r="U15" s="706">
        <f t="shared" si="1"/>
        <v>100</v>
      </c>
      <c r="V15" s="705" t="s">
        <v>14</v>
      </c>
      <c r="W15" s="706">
        <f t="shared" si="2"/>
        <v>100</v>
      </c>
      <c r="X15" s="1355"/>
      <c r="Y15" s="370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1"/>
      <c r="Q22" s="1352"/>
      <c r="R22" s="705"/>
      <c r="S22" s="706"/>
      <c r="T22" s="705"/>
      <c r="U22" s="706"/>
      <c r="V22" s="705"/>
      <c r="W22" s="706"/>
      <c r="X22" s="1355"/>
      <c r="Y22" s="370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1696</v>
      </c>
      <c r="Q32" s="1352" t="str">
        <f t="shared" si="11"/>
        <v>商业类型</v>
      </c>
      <c r="R32" s="705" t="s">
        <v>14</v>
      </c>
      <c r="S32" s="706">
        <f t="shared" si="12"/>
        <v>100</v>
      </c>
      <c r="T32" s="705" t="s">
        <v>14</v>
      </c>
      <c r="U32" s="706">
        <f t="shared" si="13"/>
        <v>100</v>
      </c>
      <c r="V32" s="705" t="s">
        <v>14</v>
      </c>
      <c r="W32" s="706">
        <f t="shared" si="14"/>
        <v>100</v>
      </c>
      <c r="X32" s="1355"/>
      <c r="Y32" s="370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1696</v>
      </c>
      <c r="Q38" s="1352" t="str">
        <f t="shared" si="11"/>
        <v>业态</v>
      </c>
      <c r="R38" s="705" t="s">
        <v>14</v>
      </c>
      <c r="S38" s="706">
        <f t="shared" si="12"/>
        <v>100</v>
      </c>
      <c r="T38" s="705" t="s">
        <v>14</v>
      </c>
      <c r="U38" s="706">
        <f t="shared" si="13"/>
        <v>100</v>
      </c>
      <c r="V38" s="705" t="s">
        <v>14</v>
      </c>
      <c r="W38" s="706">
        <f t="shared" si="14"/>
        <v>100</v>
      </c>
      <c r="X38" s="1355"/>
      <c r="Y38" s="370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3388</v>
      </c>
      <c r="E1" s="3433" t="s">
        <v>3389</v>
      </c>
      <c r="F1" s="1879" t="s">
        <v>3390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1020.0303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45688</v>
      </c>
      <c r="C3" s="354" t="s">
        <v>1768</v>
      </c>
      <c r="D3" s="353">
        <f>IF(D1="",'数据-汇总表'!E3,SUMIF('数据-汇总表'!$C19:$C33,D1,'数据-汇总表'!$E19:$E33))</f>
        <v>223.26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13" t="s">
        <v>1771</v>
      </c>
      <c r="S4" s="3714"/>
      <c r="T4" s="3713" t="s">
        <v>1772</v>
      </c>
      <c r="U4" s="3714"/>
      <c r="V4" s="3722" t="s">
        <v>1773</v>
      </c>
      <c r="W4" s="3722"/>
      <c r="X4" s="1958"/>
      <c r="Y4" s="3713" t="s">
        <v>1775</v>
      </c>
      <c r="Z4" s="3714"/>
      <c r="AA4" s="3712" t="s">
        <v>1771</v>
      </c>
      <c r="AB4" s="3712" t="s">
        <v>1772</v>
      </c>
      <c r="AC4" s="3715" t="s">
        <v>1773</v>
      </c>
    </row>
    <row r="5" spans="1:29" ht="15">
      <c r="A5" s="358"/>
      <c r="B5" s="359"/>
      <c r="C5" s="3677" t="s">
        <v>1673</v>
      </c>
      <c r="D5" s="3678"/>
      <c r="E5" s="3675" t="s">
        <v>1674</v>
      </c>
      <c r="F5" s="3676"/>
      <c r="G5" s="3677" t="s">
        <v>1675</v>
      </c>
      <c r="H5" s="3678"/>
      <c r="I5" s="3677" t="s">
        <v>1676</v>
      </c>
      <c r="J5" s="3678"/>
      <c r="K5" s="559"/>
      <c r="L5" s="2715"/>
      <c r="M5" s="2716"/>
      <c r="N5" s="2716"/>
      <c r="O5" s="2716"/>
      <c r="P5" s="3720"/>
      <c r="Q5" s="3691"/>
      <c r="R5" s="3673"/>
      <c r="S5" s="3674"/>
      <c r="T5" s="3673"/>
      <c r="U5" s="3674"/>
      <c r="V5" s="3696"/>
      <c r="W5" s="3696"/>
      <c r="X5" s="1355"/>
      <c r="Y5" s="3673"/>
      <c r="Z5" s="3674"/>
      <c r="AA5" s="3667"/>
      <c r="AB5" s="3667"/>
      <c r="AC5" s="3716"/>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721"/>
      <c r="Q6" s="3693"/>
      <c r="R6" s="3673"/>
      <c r="S6" s="3674"/>
      <c r="T6" s="3694"/>
      <c r="U6" s="3695"/>
      <c r="V6" s="3696"/>
      <c r="W6" s="3696"/>
      <c r="X6" s="1355"/>
      <c r="Y6" s="3694"/>
      <c r="Z6" s="3695"/>
      <c r="AA6" s="3668"/>
      <c r="AB6" s="3668"/>
      <c r="AC6" s="3717"/>
    </row>
    <row r="7" spans="1:29" s="108" customFormat="1" ht="15.75" thickBot="1">
      <c r="A7" s="362" t="s">
        <v>1679</v>
      </c>
      <c r="B7" s="363"/>
      <c r="C7" s="364">
        <f>'数据-取费表'!B2</f>
        <v>45209</v>
      </c>
      <c r="D7" s="365">
        <v>100</v>
      </c>
      <c r="E7" s="366">
        <f>C7</f>
        <v>45209</v>
      </c>
      <c r="F7" s="367">
        <f>SUMIF(59:59,YEAR(E7)&amp;"-"&amp;MONTH(E7),60:60)</f>
        <v>100</v>
      </c>
      <c r="G7" s="366">
        <f>C7</f>
        <v>45209</v>
      </c>
      <c r="H7" s="365">
        <f>SUMIF(59:59,YEAR(G7)&amp;"-"&amp;MONTH(G7),60:60)</f>
        <v>100</v>
      </c>
      <c r="I7" s="366">
        <f>C7</f>
        <v>45209</v>
      </c>
      <c r="J7" s="365">
        <f>SUMIF(59:59,YEAR(I7)&amp;"-"&amp;MONTH(I7),60:60)</f>
        <v>100</v>
      </c>
      <c r="K7" s="560"/>
      <c r="L7" s="2717"/>
      <c r="M7" s="2718"/>
      <c r="N7" s="2718"/>
      <c r="O7" s="2718"/>
      <c r="P7" s="3723" t="s">
        <v>1680</v>
      </c>
      <c r="Q7" s="3697"/>
      <c r="R7" s="701" t="s">
        <v>14</v>
      </c>
      <c r="S7" s="702">
        <f t="shared" ref="S7:S15" si="0">F7</f>
        <v>100</v>
      </c>
      <c r="T7" s="701" t="s">
        <v>14</v>
      </c>
      <c r="U7" s="702">
        <f t="shared" ref="U7:U15" si="1">H7</f>
        <v>100</v>
      </c>
      <c r="V7" s="701" t="s">
        <v>14</v>
      </c>
      <c r="W7" s="702">
        <f t="shared" ref="W7:W15" si="2">J7</f>
        <v>100</v>
      </c>
      <c r="X7" s="703"/>
      <c r="Y7" s="3669" t="s">
        <v>1680</v>
      </c>
      <c r="Z7" s="3670"/>
      <c r="AA7" s="704">
        <f>D7/F7</f>
        <v>1</v>
      </c>
      <c r="AB7" s="704">
        <f>D7/H7</f>
        <v>1</v>
      </c>
      <c r="AC7" s="1959">
        <f>D7/J7</f>
        <v>1</v>
      </c>
    </row>
    <row r="8" spans="1:29" s="108" customFormat="1" ht="15.75" thickBot="1">
      <c r="A8" s="362" t="s">
        <v>1681</v>
      </c>
      <c r="B8" s="363"/>
      <c r="C8" s="368" t="s">
        <v>3391</v>
      </c>
      <c r="D8" s="365">
        <v>100</v>
      </c>
      <c r="E8" s="368" t="s">
        <v>3391</v>
      </c>
      <c r="F8" s="367">
        <f>SUMIF(62:62,E8,63:63)-SUMIF(62:62,C8,63:63)+100</f>
        <v>100</v>
      </c>
      <c r="G8" s="368" t="s">
        <v>3391</v>
      </c>
      <c r="H8" s="365">
        <f>SUMIF(62:62,G8,63:63)-SUMIF(62:62,C8,63:63)+100</f>
        <v>100</v>
      </c>
      <c r="I8" s="368" t="s">
        <v>3391</v>
      </c>
      <c r="J8" s="365">
        <f>SUMIF(62:62,I8,63:63)-SUMIF(62:62,C8,63:63)+100</f>
        <v>100</v>
      </c>
      <c r="K8" s="560"/>
      <c r="L8" s="2717"/>
      <c r="M8" s="2718"/>
      <c r="N8" s="2718"/>
      <c r="O8" s="2718"/>
      <c r="P8" s="3723"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9">
        <f t="shared" ref="AC8:AC47" si="5">D8/J8</f>
        <v>1</v>
      </c>
    </row>
    <row r="9" spans="1:29" s="108" customFormat="1">
      <c r="A9" s="369" t="s">
        <v>1684</v>
      </c>
      <c r="B9" s="63" t="s">
        <v>1685</v>
      </c>
      <c r="C9" s="3450" t="s">
        <v>3392</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t="s">
        <v>3393</v>
      </c>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10" t="s">
        <v>1691</v>
      </c>
      <c r="Q15" s="1352" t="str">
        <f t="shared" si="6"/>
        <v>办公集聚程度</v>
      </c>
      <c r="R15" s="705" t="s">
        <v>14</v>
      </c>
      <c r="S15" s="706">
        <f t="shared" si="0"/>
        <v>100</v>
      </c>
      <c r="T15" s="705" t="s">
        <v>14</v>
      </c>
      <c r="U15" s="706">
        <f t="shared" si="1"/>
        <v>100</v>
      </c>
      <c r="V15" s="705" t="s">
        <v>14</v>
      </c>
      <c r="W15" s="706">
        <f t="shared" si="2"/>
        <v>100</v>
      </c>
      <c r="X15" s="1355"/>
      <c r="Y15" s="3703" t="s">
        <v>1691</v>
      </c>
      <c r="Z15" s="1356" t="str">
        <f t="shared" si="7"/>
        <v>办公集聚程度</v>
      </c>
      <c r="AA15" s="1353">
        <f t="shared" si="3"/>
        <v>1</v>
      </c>
      <c r="AB15" s="1353">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711"/>
      <c r="Q16" s="1352"/>
      <c r="R16" s="705"/>
      <c r="S16" s="706"/>
      <c r="T16" s="705"/>
      <c r="U16" s="706"/>
      <c r="V16" s="705"/>
      <c r="W16" s="706"/>
      <c r="X16" s="1355"/>
      <c r="Y16" s="370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t="s">
        <v>3394</v>
      </c>
      <c r="D18" s="401"/>
      <c r="E18" s="1964" t="s">
        <v>3394</v>
      </c>
      <c r="F18" s="401"/>
      <c r="G18" s="1964" t="s">
        <v>3394</v>
      </c>
      <c r="H18" s="399"/>
      <c r="I18" s="1964" t="s">
        <v>3394</v>
      </c>
      <c r="J18" s="399"/>
      <c r="K18" s="564"/>
      <c r="L18" s="2722"/>
      <c r="M18" s="2716"/>
      <c r="N18" s="2716"/>
      <c r="O18" s="2716"/>
      <c r="P18" s="3711"/>
      <c r="Q18" s="1352"/>
      <c r="R18" s="705"/>
      <c r="S18" s="706"/>
      <c r="T18" s="705"/>
      <c r="U18" s="706"/>
      <c r="V18" s="705"/>
      <c r="W18" s="706"/>
      <c r="X18" s="1355"/>
      <c r="Y18" s="370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711"/>
      <c r="Q20" s="1352"/>
      <c r="R20" s="705"/>
      <c r="S20" s="706"/>
      <c r="T20" s="705"/>
      <c r="U20" s="706"/>
      <c r="V20" s="705"/>
      <c r="W20" s="706"/>
      <c r="X20" s="1355"/>
      <c r="Y20" s="370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t="s">
        <v>3396</v>
      </c>
      <c r="D22" s="399"/>
      <c r="E22" s="1964" t="s">
        <v>3396</v>
      </c>
      <c r="F22" s="399"/>
      <c r="G22" s="1964" t="s">
        <v>3396</v>
      </c>
      <c r="H22" s="399"/>
      <c r="I22" s="1964" t="s">
        <v>3396</v>
      </c>
      <c r="J22" s="399"/>
      <c r="K22" s="1130"/>
      <c r="L22" s="2722"/>
      <c r="M22" s="2716"/>
      <c r="N22" s="2716"/>
      <c r="O22" s="2716"/>
      <c r="P22" s="3711"/>
      <c r="Q22" s="1352"/>
      <c r="R22" s="705"/>
      <c r="S22" s="706"/>
      <c r="T22" s="705"/>
      <c r="U22" s="706"/>
      <c r="V22" s="705"/>
      <c r="W22" s="706"/>
      <c r="X22" s="1355"/>
      <c r="Y22" s="370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1</v>
      </c>
      <c r="L23" s="2722"/>
      <c r="M23" s="2716"/>
      <c r="N23" s="2716"/>
      <c r="O23" s="2716"/>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711"/>
      <c r="Q24" s="1352"/>
      <c r="R24" s="705"/>
      <c r="S24" s="706"/>
      <c r="T24" s="705"/>
      <c r="U24" s="706"/>
      <c r="V24" s="705"/>
      <c r="W24" s="706"/>
      <c r="X24" s="1355"/>
      <c r="Y24" s="370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1"/>
      <c r="Q26" s="1352"/>
      <c r="R26" s="705"/>
      <c r="S26" s="706"/>
      <c r="T26" s="705"/>
      <c r="U26" s="706"/>
      <c r="V26" s="705"/>
      <c r="W26" s="706"/>
      <c r="X26" s="1355"/>
      <c r="Y26" s="3704"/>
      <c r="Z26" s="1356"/>
      <c r="AA26" s="1353">
        <v>1</v>
      </c>
      <c r="AB26" s="1353">
        <v>1</v>
      </c>
      <c r="AC26" s="1962">
        <v>1</v>
      </c>
    </row>
    <row r="27" spans="1:29" ht="15">
      <c r="A27" s="379"/>
      <c r="B27" s="580" t="s">
        <v>1783</v>
      </c>
      <c r="C27" s="582" t="s">
        <v>3397</v>
      </c>
      <c r="D27" s="386">
        <v>100</v>
      </c>
      <c r="E27" s="565" t="s">
        <v>3399</v>
      </c>
      <c r="F27" s="386">
        <f>SUMIF(89:89,E27,90:90)-SUMIF(89:89,C27,90:90)+100</f>
        <v>97.5</v>
      </c>
      <c r="G27" s="582" t="s">
        <v>3401</v>
      </c>
      <c r="H27" s="386">
        <f>SUMIF(89:89,G27,90:90)-SUMIF(89:89,C27,90:90)+100</f>
        <v>95</v>
      </c>
      <c r="I27" s="582" t="s">
        <v>3401</v>
      </c>
      <c r="J27" s="386">
        <f>SUMIF(89:89,I27,90:90)-SUMIF(89:89,C27,90:90)+100</f>
        <v>95</v>
      </c>
      <c r="K27" s="561">
        <v>2.5</v>
      </c>
      <c r="L27" s="2722"/>
      <c r="M27" s="2716"/>
      <c r="N27" s="2716"/>
      <c r="O27" s="2716"/>
      <c r="P27" s="3711"/>
      <c r="Q27" s="1352" t="str">
        <f t="shared" ref="Q27:Q47" si="11">B27</f>
        <v>楼层</v>
      </c>
      <c r="R27" s="705" t="s">
        <v>14</v>
      </c>
      <c r="S27" s="706">
        <f>F27</f>
        <v>97.5</v>
      </c>
      <c r="T27" s="705" t="s">
        <v>14</v>
      </c>
      <c r="U27" s="706">
        <f>H27</f>
        <v>95</v>
      </c>
      <c r="V27" s="705" t="s">
        <v>14</v>
      </c>
      <c r="W27" s="706">
        <f>J27</f>
        <v>95</v>
      </c>
      <c r="X27" s="1355"/>
      <c r="Y27" s="3704"/>
      <c r="Z27" s="1356" t="str">
        <f>Q27</f>
        <v>楼层</v>
      </c>
      <c r="AA27" s="1353">
        <f t="shared" si="3"/>
        <v>1.0256410256410255</v>
      </c>
      <c r="AB27" s="1353">
        <f t="shared" si="4"/>
        <v>1.0526315789473684</v>
      </c>
      <c r="AC27" s="1962">
        <f t="shared" si="5"/>
        <v>1.0526315789473684</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5" t="s">
        <v>1696</v>
      </c>
      <c r="Q33" s="1352" t="str">
        <f t="shared" si="11"/>
        <v>建筑类型</v>
      </c>
      <c r="R33" s="705" t="s">
        <v>14</v>
      </c>
      <c r="S33" s="706">
        <f t="shared" si="12"/>
        <v>100</v>
      </c>
      <c r="T33" s="705" t="s">
        <v>14</v>
      </c>
      <c r="U33" s="706">
        <f t="shared" si="13"/>
        <v>100</v>
      </c>
      <c r="V33" s="705" t="s">
        <v>14</v>
      </c>
      <c r="W33" s="706">
        <f t="shared" si="14"/>
        <v>100</v>
      </c>
      <c r="X33" s="1355"/>
      <c r="Y33" s="3708"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223.26</v>
      </c>
      <c r="D34" s="127">
        <v>100</v>
      </c>
      <c r="E34" s="381">
        <v>268.77999999999997</v>
      </c>
      <c r="F34" s="376">
        <f>LOOKUP(E34,104:104,105:105)-LOOKUP(C34,104:104,105:105)+100</f>
        <v>100</v>
      </c>
      <c r="G34" s="380">
        <v>207.95</v>
      </c>
      <c r="H34" s="127">
        <f>LOOKUP(G34,104:104,105:105)-LOOKUP(C34,104:104,105:105)+100</f>
        <v>100</v>
      </c>
      <c r="I34" s="380">
        <v>238.79</v>
      </c>
      <c r="J34" s="127">
        <f>LOOKUP(I34,104:104,105:105)-LOOKUP(C34,104:104,105:105)+100</f>
        <v>100</v>
      </c>
      <c r="K34" s="562"/>
      <c r="L34" s="2721"/>
      <c r="M34" s="2723"/>
      <c r="N34" s="2723"/>
      <c r="O34" s="2723"/>
      <c r="P34" s="3706"/>
      <c r="Q34" s="707" t="str">
        <f t="shared" si="11"/>
        <v>项目建筑规模</v>
      </c>
      <c r="R34" s="708" t="s">
        <v>14</v>
      </c>
      <c r="S34" s="709">
        <f t="shared" si="12"/>
        <v>100</v>
      </c>
      <c r="T34" s="708" t="s">
        <v>14</v>
      </c>
      <c r="U34" s="709">
        <f t="shared" si="13"/>
        <v>100</v>
      </c>
      <c r="V34" s="708" t="s">
        <v>14</v>
      </c>
      <c r="W34" s="709">
        <f t="shared" si="14"/>
        <v>100</v>
      </c>
      <c r="X34" s="710"/>
      <c r="Y34" s="3708"/>
      <c r="Z34" s="711" t="str">
        <f t="shared" si="15"/>
        <v>项目建筑规模</v>
      </c>
      <c r="AA34" s="1353">
        <f t="shared" si="3"/>
        <v>1</v>
      </c>
      <c r="AB34" s="1353">
        <f t="shared" si="4"/>
        <v>1</v>
      </c>
      <c r="AC34" s="1962">
        <f t="shared" si="5"/>
        <v>1</v>
      </c>
    </row>
    <row r="35" spans="1:29" ht="15">
      <c r="A35" s="423"/>
      <c r="B35" s="375" t="s">
        <v>1698</v>
      </c>
      <c r="C35" s="411" t="s">
        <v>3404</v>
      </c>
      <c r="D35" s="386">
        <v>100</v>
      </c>
      <c r="E35" s="411" t="s">
        <v>3404</v>
      </c>
      <c r="F35" s="412">
        <f>SUMIF(106:106,E35,107:107)-SUMIF(106:106,C35,107:107)+100</f>
        <v>100</v>
      </c>
      <c r="G35" s="411" t="s">
        <v>3404</v>
      </c>
      <c r="H35" s="386">
        <f>SUMIF(106:106,G35,107:107)-SUMIF(106:106,C35,107:107)+100</f>
        <v>100</v>
      </c>
      <c r="I35" s="411" t="s">
        <v>3404</v>
      </c>
      <c r="J35" s="386">
        <f>SUMIF(106:106,I35,107:107)-SUMIF(106:106,C35,107:107)+100</f>
        <v>100</v>
      </c>
      <c r="K35" s="561">
        <v>2</v>
      </c>
      <c r="L35" s="2722"/>
      <c r="M35" s="2716"/>
      <c r="N35" s="2716"/>
      <c r="O35" s="2716"/>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1785</v>
      </c>
      <c r="C36" s="411" t="s">
        <v>3406</v>
      </c>
      <c r="D36" s="386">
        <v>100</v>
      </c>
      <c r="E36" s="411" t="s">
        <v>3406</v>
      </c>
      <c r="F36" s="412">
        <f>SUMIF(108:108,E36,109:109)-SUMIF(108:108,C36,109:109)+100</f>
        <v>100</v>
      </c>
      <c r="G36" s="411" t="s">
        <v>3406</v>
      </c>
      <c r="H36" s="386">
        <f>SUMIF(108:108,G36,109:109)-SUMIF(108:108,C36,109:109)+100</f>
        <v>100</v>
      </c>
      <c r="I36" s="411" t="s">
        <v>3406</v>
      </c>
      <c r="J36" s="386">
        <f>SUMIF(108:108,I36,109:109)-SUMIF(108:108,C36,109:109)+100</f>
        <v>100</v>
      </c>
      <c r="K36" s="561">
        <v>2</v>
      </c>
      <c r="L36" s="2722"/>
      <c r="M36" s="2716"/>
      <c r="N36" s="2716"/>
      <c r="O36" s="2716"/>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1786</v>
      </c>
      <c r="C37" s="425">
        <v>0.85</v>
      </c>
      <c r="D37" s="386">
        <v>100</v>
      </c>
      <c r="E37" s="425">
        <v>0.85</v>
      </c>
      <c r="F37" s="412">
        <f>LOOKUP(E37,111:111,112:112)-LOOKUP(C37,111:111,112:112)+100</f>
        <v>100</v>
      </c>
      <c r="G37" s="425">
        <v>0.85</v>
      </c>
      <c r="H37" s="412">
        <f>LOOKUP(G37,111:111,112:112)-LOOKUP(C37,111:111,112:112)+100</f>
        <v>100</v>
      </c>
      <c r="I37" s="425">
        <v>0.85</v>
      </c>
      <c r="J37" s="386">
        <f>LOOKUP(I37,111:111,112:112)-LOOKUP(C37,111:111,112:112)+100</f>
        <v>100</v>
      </c>
      <c r="K37" s="561">
        <v>2</v>
      </c>
      <c r="L37" s="2722"/>
      <c r="M37" s="2716"/>
      <c r="N37" s="2716"/>
      <c r="O37" s="2716"/>
      <c r="P37" s="3706"/>
      <c r="Q37" s="1352" t="str">
        <f t="shared" si="11"/>
        <v>成新度</v>
      </c>
      <c r="R37" s="705" t="s">
        <v>14</v>
      </c>
      <c r="S37" s="706">
        <f t="shared" si="12"/>
        <v>100</v>
      </c>
      <c r="T37" s="705" t="s">
        <v>14</v>
      </c>
      <c r="U37" s="706">
        <f t="shared" si="13"/>
        <v>100</v>
      </c>
      <c r="V37" s="705" t="s">
        <v>14</v>
      </c>
      <c r="W37" s="706">
        <f t="shared" si="14"/>
        <v>100</v>
      </c>
      <c r="X37" s="1355"/>
      <c r="Y37" s="3708"/>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6" t="s">
        <v>1696</v>
      </c>
      <c r="Q39" s="1352" t="str">
        <f t="shared" si="11"/>
        <v>物业管理</v>
      </c>
      <c r="R39" s="705" t="s">
        <v>14</v>
      </c>
      <c r="S39" s="706">
        <f t="shared" si="12"/>
        <v>100</v>
      </c>
      <c r="T39" s="705" t="s">
        <v>14</v>
      </c>
      <c r="U39" s="706">
        <f t="shared" si="13"/>
        <v>100</v>
      </c>
      <c r="V39" s="705" t="s">
        <v>14</v>
      </c>
      <c r="W39" s="706">
        <f t="shared" si="14"/>
        <v>100</v>
      </c>
      <c r="X39" s="1355"/>
      <c r="Y39" s="370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1789</v>
      </c>
      <c r="C41" s="565" t="s">
        <v>3408</v>
      </c>
      <c r="D41" s="386">
        <v>100</v>
      </c>
      <c r="E41" s="565" t="s">
        <v>3408</v>
      </c>
      <c r="F41" s="412">
        <f>SUMIF(119:119,E41,120:120)-SUMIF(119:119,C41,120:120)+100</f>
        <v>100</v>
      </c>
      <c r="G41" s="565" t="s">
        <v>3408</v>
      </c>
      <c r="H41" s="386">
        <f>SUMIF(119:119,G41,120:120)-SUMIF(119:119,C41,120:120)+100</f>
        <v>100</v>
      </c>
      <c r="I41" s="565" t="s">
        <v>3408</v>
      </c>
      <c r="J41" s="386">
        <f>SUMIF(119:119,I41,120:120)-SUMIF(119:119,C41,120:120)+100</f>
        <v>100</v>
      </c>
      <c r="K41" s="561">
        <v>10</v>
      </c>
      <c r="L41" s="2722"/>
      <c r="M41" s="2716"/>
      <c r="N41" s="2716"/>
      <c r="O41" s="2716"/>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1707</v>
      </c>
      <c r="C44" s="411" t="s">
        <v>3394</v>
      </c>
      <c r="D44" s="386">
        <v>100</v>
      </c>
      <c r="E44" s="411" t="s">
        <v>3394</v>
      </c>
      <c r="F44" s="412">
        <f>SUMIF(125:125,E44,126:126)-SUMIF(125:125,C44,126:126)+100</f>
        <v>100</v>
      </c>
      <c r="G44" s="411" t="s">
        <v>3394</v>
      </c>
      <c r="H44" s="386">
        <f>SUMIF(125:125,G44,126:126)-SUMIF(125:125,C44,126:126)+100</f>
        <v>100</v>
      </c>
      <c r="I44" s="411" t="s">
        <v>3394</v>
      </c>
      <c r="J44" s="386">
        <f>SUMIF(125:125,I44,126:126)-SUMIF(125:125,C44,126:126)+100</f>
        <v>100</v>
      </c>
      <c r="K44" s="561">
        <v>2</v>
      </c>
      <c r="L44" s="2722"/>
      <c r="M44" s="2716"/>
      <c r="N44" s="2716"/>
      <c r="O44" s="2716"/>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1708</v>
      </c>
      <c r="B48" s="431"/>
      <c r="C48" s="1154" t="s">
        <v>0</v>
      </c>
      <c r="D48" s="1155"/>
      <c r="E48" s="1156">
        <v>44647</v>
      </c>
      <c r="F48" s="1157"/>
      <c r="G48" s="1158">
        <v>42318</v>
      </c>
      <c r="H48" s="1159"/>
      <c r="I48" s="1156">
        <v>44391</v>
      </c>
      <c r="J48" s="436"/>
      <c r="K48" s="714"/>
      <c r="L48" s="2724"/>
      <c r="M48" s="2716"/>
      <c r="N48" s="2716"/>
      <c r="O48" s="2716"/>
      <c r="P48" s="3683" t="str">
        <f>A48</f>
        <v>成交单价（元/平方米）</v>
      </c>
      <c r="Q48" s="3701"/>
      <c r="R48" s="3702">
        <f>E48</f>
        <v>44647</v>
      </c>
      <c r="S48" s="3702"/>
      <c r="T48" s="3702">
        <f>G48</f>
        <v>42318</v>
      </c>
      <c r="U48" s="3702"/>
      <c r="V48" s="3702">
        <f>I48</f>
        <v>44391</v>
      </c>
      <c r="W48" s="3702"/>
      <c r="X48" s="397"/>
      <c r="Y48" s="712"/>
      <c r="Z48" s="397"/>
      <c r="AA48" s="397"/>
      <c r="AB48" s="397"/>
      <c r="AC48" s="578"/>
    </row>
    <row r="49" spans="1:29" ht="15.75" thickBot="1">
      <c r="A49" s="437" t="s">
        <v>1793</v>
      </c>
      <c r="B49" s="438"/>
      <c r="C49" s="1160">
        <f>R50</f>
        <v>45688</v>
      </c>
      <c r="D49" s="2317" t="s">
        <v>2138</v>
      </c>
      <c r="E49" s="1161">
        <f>R49</f>
        <v>45792</v>
      </c>
      <c r="F49" s="2318"/>
      <c r="G49" s="1160">
        <f>T49</f>
        <v>44545</v>
      </c>
      <c r="H49" s="2318"/>
      <c r="I49" s="1161">
        <f>V49</f>
        <v>46727</v>
      </c>
      <c r="J49" s="2318"/>
      <c r="K49" s="2320">
        <f>F49+H49+J49</f>
        <v>0</v>
      </c>
      <c r="L49" s="2724"/>
      <c r="M49" s="2716"/>
      <c r="N49" s="2716"/>
      <c r="O49" s="2716"/>
      <c r="P49" s="3683" t="str">
        <f>A49</f>
        <v>比较价值（元/平方米）</v>
      </c>
      <c r="Q49" s="3701"/>
      <c r="R49" s="3702">
        <f>IF(F1="售价",ROUND(PRODUCT(R48,AA7:AA47),0),ROUND(PRODUCT(R48,AA7:AA47),1))</f>
        <v>45792</v>
      </c>
      <c r="S49" s="3702"/>
      <c r="T49" s="3702">
        <f>IF(F1="售价",ROUND(PRODUCT(T48,AB7:AB47),0),ROUND(PRODUCT(T48,AB7:AB47),1))</f>
        <v>44545</v>
      </c>
      <c r="U49" s="3702"/>
      <c r="V49" s="3702">
        <f>IF(F1="售价",ROUND(PRODUCT(V48,AC7:AC47),0),ROUND(PRODUCT(V48,AC7:AC47),1))</f>
        <v>46727</v>
      </c>
      <c r="W49" s="3702"/>
      <c r="X49" s="397"/>
      <c r="Y49" s="397"/>
      <c r="Z49" s="397"/>
      <c r="AA49" s="397"/>
      <c r="AB49" s="397"/>
      <c r="AC49" s="578"/>
    </row>
    <row r="50" spans="1:29" ht="15.75" thickBot="1">
      <c r="A50" s="441" t="s">
        <v>1794</v>
      </c>
      <c r="B50" s="442"/>
      <c r="C50" s="1163">
        <f>R50</f>
        <v>45688</v>
      </c>
      <c r="D50" s="1163"/>
      <c r="E50" s="1163"/>
      <c r="F50" s="1163"/>
      <c r="G50" s="1163"/>
      <c r="H50" s="1163"/>
      <c r="I50" s="1163"/>
      <c r="J50" s="443"/>
      <c r="K50" s="715"/>
      <c r="L50" s="2724"/>
      <c r="M50" s="2716"/>
      <c r="N50" s="2716"/>
      <c r="O50" s="2716"/>
      <c r="P50" s="3724" t="str">
        <f>A50</f>
        <v>估价对象XX用房的比较价值（楼面单价，元/平方米）</v>
      </c>
      <c r="Q50" s="3725"/>
      <c r="R50" s="3726">
        <f>IF(F1="售价",ROUND(IF(D49="简单平均",AVERAGE(R49:V49),R49*F49+T49*H49+V49*J49),0),ROUND(IF(D49="简单平均",AVERAGE(R49:V49),R49*F49+T49*H49+V49*J49),1))</f>
        <v>45688</v>
      </c>
      <c r="S50" s="3726"/>
      <c r="T50" s="3726"/>
      <c r="U50" s="3726"/>
      <c r="V50" s="3726"/>
      <c r="W50" s="372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2.5645620086455878E-2</v>
      </c>
      <c r="F53" s="449" t="str">
        <f>IF(OR(E53&gt;=0.3,E53&lt;=-0.3),"超过30%","")</f>
        <v/>
      </c>
      <c r="G53" s="448">
        <f>IF(G48&lt;G49,G49/G48-1,G48/G49-1)</f>
        <v>5.2625360366747032E-2</v>
      </c>
      <c r="H53" s="449" t="str">
        <f>IF(OR(G53&gt;=0.3,G53&lt;=-0.3),"超过30%","")</f>
        <v/>
      </c>
      <c r="I53" s="448">
        <f>IF(I48&lt;I49,I49/I48-1,I48/I49-1)</f>
        <v>5.2623279493591024E-2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2.7994163205746991E-2</v>
      </c>
      <c r="F54" s="449" t="str">
        <f>IF(OR(E54&gt;=0.2,E54&lt;=-0.2),"超过20%","")</f>
        <v/>
      </c>
      <c r="G54" s="448">
        <f>IF(G49&lt;I49,I49/G49-1,G49/I49-1)</f>
        <v>4.8984173307890844E-2</v>
      </c>
      <c r="H54" s="449" t="str">
        <f>IF(OR(G54&gt;=0.2,G54&lt;=-0.2),"超过20%","")</f>
        <v/>
      </c>
      <c r="I54" s="448">
        <f>IF(I49&lt;E49,E49/I49-1,I49/E49-1)</f>
        <v>2.0418413696715598E-2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5.503568221560573E-2</v>
      </c>
      <c r="F55" s="449" t="str">
        <f>IF(OR(E55&gt;=0.3,E55&lt;=-0.3),"超过30%","")</f>
        <v/>
      </c>
      <c r="G55" s="448">
        <f>IF(G48&lt;I48,I48/G48-1,G48/I48-1)</f>
        <v>4.8986246987097637E-2</v>
      </c>
      <c r="H55" s="449" t="str">
        <f>IF(OR(G55&gt;=0.3,G55&lt;=-0.3),"超过30%","")</f>
        <v/>
      </c>
      <c r="I55" s="448">
        <f>IF(I48&lt;E48,E48/I48-1,I48/E48-1)</f>
        <v>5.7669347390236769E-3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99</v>
      </c>
      <c r="E86" s="493">
        <f>D86-$K23</f>
        <v>98</v>
      </c>
      <c r="F86" s="493">
        <f>E86-$K23</f>
        <v>97</v>
      </c>
      <c r="G86" s="493">
        <f>F86-$K23</f>
        <v>96</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3398</v>
      </c>
      <c r="D89" s="3451" t="s">
        <v>3400</v>
      </c>
      <c r="E89" s="3451" t="s">
        <v>3402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97.5</v>
      </c>
      <c r="E90" s="493">
        <f t="shared" ref="E90:M90" si="20">D90-$K27</f>
        <v>95</v>
      </c>
      <c r="F90" s="493">
        <f t="shared" si="20"/>
        <v>92.5</v>
      </c>
      <c r="G90" s="493">
        <f t="shared" si="20"/>
        <v>90</v>
      </c>
      <c r="H90" s="493">
        <f t="shared" si="20"/>
        <v>87.5</v>
      </c>
      <c r="I90" s="493">
        <f t="shared" si="20"/>
        <v>85</v>
      </c>
      <c r="J90" s="493">
        <f t="shared" si="20"/>
        <v>82.5</v>
      </c>
      <c r="K90" s="493">
        <f t="shared" si="20"/>
        <v>80</v>
      </c>
      <c r="L90" s="493">
        <f t="shared" si="20"/>
        <v>77.5</v>
      </c>
      <c r="M90" s="493">
        <f t="shared" si="20"/>
        <v>75</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2" t="s">
        <v>3403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1" t="s">
        <v>3405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1" t="s">
        <v>3407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3" t="s">
        <v>3409</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90</v>
      </c>
      <c r="E120" s="493">
        <f t="shared" ref="E120:M120" si="29">D120-$K41</f>
        <v>80</v>
      </c>
      <c r="F120" s="493">
        <f t="shared" si="29"/>
        <v>70</v>
      </c>
      <c r="G120" s="493">
        <f t="shared" si="29"/>
        <v>60</v>
      </c>
      <c r="H120" s="493">
        <f t="shared" si="29"/>
        <v>50</v>
      </c>
      <c r="I120" s="493">
        <f t="shared" si="29"/>
        <v>40</v>
      </c>
      <c r="J120" s="493">
        <f t="shared" si="29"/>
        <v>30</v>
      </c>
      <c r="K120" s="493">
        <f t="shared" si="29"/>
        <v>20</v>
      </c>
      <c r="L120" s="493">
        <f t="shared" si="29"/>
        <v>10</v>
      </c>
      <c r="M120" s="493">
        <f t="shared" si="29"/>
        <v>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3407</v>
      </c>
      <c r="D123" s="3451" t="s">
        <v>3410</v>
      </c>
      <c r="E123" s="3451" t="s">
        <v>3411</v>
      </c>
      <c r="F123" s="3453" t="s">
        <v>3412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223.26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913"/>
      <c r="M5" s="914"/>
      <c r="N5" s="914"/>
      <c r="O5" s="914"/>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913"/>
      <c r="M6" s="914"/>
      <c r="N6" s="914"/>
      <c r="O6" s="914"/>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45209</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1683</v>
      </c>
      <c r="Q8" s="3670"/>
      <c r="R8" s="701" t="s">
        <v>14</v>
      </c>
      <c r="S8" s="702">
        <f t="shared" si="0"/>
        <v>100</v>
      </c>
      <c r="T8" s="701" t="s">
        <v>14</v>
      </c>
      <c r="U8" s="702">
        <f t="shared" si="1"/>
        <v>100</v>
      </c>
      <c r="V8" s="701" t="s">
        <v>14</v>
      </c>
      <c r="W8" s="702">
        <f t="shared" si="2"/>
        <v>100</v>
      </c>
      <c r="X8" s="703"/>
      <c r="Y8" s="3669" t="s">
        <v>1683</v>
      </c>
      <c r="Z8" s="367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70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2" t="str">
        <f t="shared" si="11"/>
        <v>市政基础设施</v>
      </c>
      <c r="R35" s="705" t="s">
        <v>14</v>
      </c>
      <c r="S35" s="706">
        <f t="shared" si="12"/>
        <v>100</v>
      </c>
      <c r="T35" s="705" t="s">
        <v>14</v>
      </c>
      <c r="U35" s="706">
        <f t="shared" si="13"/>
        <v>100</v>
      </c>
      <c r="V35" s="705" t="s">
        <v>14</v>
      </c>
      <c r="W35" s="706">
        <f t="shared" si="14"/>
        <v>100</v>
      </c>
      <c r="X35" s="1355"/>
      <c r="Y35" s="370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45209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1696</v>
      </c>
      <c r="Q32" s="1352" t="str">
        <f t="shared" si="11"/>
        <v>车位类型</v>
      </c>
      <c r="R32" s="705" t="s">
        <v>14</v>
      </c>
      <c r="S32" s="706">
        <f t="shared" si="12"/>
        <v>100</v>
      </c>
      <c r="T32" s="705" t="s">
        <v>14</v>
      </c>
      <c r="U32" s="706">
        <f t="shared" si="13"/>
        <v>100</v>
      </c>
      <c r="V32" s="705" t="s">
        <v>14</v>
      </c>
      <c r="W32" s="706">
        <f t="shared" si="14"/>
        <v>100</v>
      </c>
      <c r="X32" s="1355"/>
      <c r="Y32" s="370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估价对象为北京市房地产，为所有。根据《国有土地使用证》[]，估价对象（分摊）出让国有建设用地使用权面积为0平方米，建筑面积为223.26平方米。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估价对象为北京市房地产,属开发建设的，该项目尚在开发建设中。根据《国有土地使用证》[]，估价对象（分摊）出让国有建设用地使用权面积为0平方米，规划建筑面积为223.26平方米。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2023年10月10日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45209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1696</v>
      </c>
      <c r="Q32" s="1352">
        <f t="shared" si="11"/>
        <v>111</v>
      </c>
      <c r="R32" s="705" t="s">
        <v>14</v>
      </c>
      <c r="S32" s="706">
        <f t="shared" si="12"/>
        <v>100</v>
      </c>
      <c r="T32" s="705" t="s">
        <v>14</v>
      </c>
      <c r="U32" s="706">
        <f t="shared" si="13"/>
        <v>100</v>
      </c>
      <c r="V32" s="705" t="s">
        <v>14</v>
      </c>
      <c r="W32" s="706">
        <f t="shared" si="14"/>
        <v>100</v>
      </c>
      <c r="X32" s="1355"/>
      <c r="Y32" s="370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30"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30"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30" s="108" customFormat="1" ht="15.75" thickBot="1">
      <c r="A7" s="362" t="s">
        <v>1679</v>
      </c>
      <c r="B7" s="363"/>
      <c r="C7" s="364">
        <f>'数据-取费表'!B2</f>
        <v>45209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701"/>
      <c r="Q10" s="1343" t="str">
        <f t="shared" si="6"/>
        <v>土地使用年限（年）</v>
      </c>
      <c r="R10" s="701" t="s">
        <v>14</v>
      </c>
      <c r="S10" s="702">
        <f t="shared" si="0"/>
        <v>107</v>
      </c>
      <c r="T10" s="701" t="s">
        <v>14</v>
      </c>
      <c r="U10" s="702">
        <f t="shared" si="1"/>
        <v>107</v>
      </c>
      <c r="V10" s="701" t="s">
        <v>14</v>
      </c>
      <c r="W10" s="702">
        <f t="shared" si="2"/>
        <v>107</v>
      </c>
      <c r="X10" s="703"/>
      <c r="Y10" s="3613"/>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1691</v>
      </c>
      <c r="Q15" s="1352" t="str">
        <f t="shared" si="6"/>
        <v>居住社区成熟度</v>
      </c>
      <c r="R15" s="705" t="s">
        <v>14</v>
      </c>
      <c r="S15" s="706">
        <f t="shared" si="0"/>
        <v>100</v>
      </c>
      <c r="T15" s="705" t="s">
        <v>14</v>
      </c>
      <c r="U15" s="706">
        <f t="shared" si="1"/>
        <v>100</v>
      </c>
      <c r="V15" s="705" t="s">
        <v>14</v>
      </c>
      <c r="W15" s="706">
        <f t="shared" si="2"/>
        <v>100</v>
      </c>
      <c r="X15" s="1355"/>
      <c r="Y15" s="370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70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8" t="s">
        <v>1696</v>
      </c>
      <c r="Q42" s="1352" t="str">
        <f t="shared" si="14"/>
        <v>工程地质条件</v>
      </c>
      <c r="R42" s="705" t="s">
        <v>14</v>
      </c>
      <c r="S42" s="706">
        <f t="shared" si="10"/>
        <v>100</v>
      </c>
      <c r="T42" s="705" t="s">
        <v>14</v>
      </c>
      <c r="U42" s="706">
        <f t="shared" si="11"/>
        <v>100</v>
      </c>
      <c r="V42" s="705" t="s">
        <v>14</v>
      </c>
      <c r="W42" s="706">
        <f t="shared" si="12"/>
        <v>100</v>
      </c>
      <c r="X42" s="1355"/>
      <c r="Y42" s="370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223.26</v>
      </c>
      <c r="F56" s="886" t="e">
        <f t="shared" ref="F56:F64" si="15">ROUND(B56*E56/10000,0)</f>
        <v>#DIV/0!</v>
      </c>
      <c r="G56" s="3683"/>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223.26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45209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701"/>
      <c r="Q10" s="1343" t="str">
        <f t="shared" si="6"/>
        <v>土地使用年限（年）</v>
      </c>
      <c r="R10" s="701" t="s">
        <v>14</v>
      </c>
      <c r="S10" s="702">
        <f t="shared" si="0"/>
        <v>107</v>
      </c>
      <c r="T10" s="701" t="s">
        <v>14</v>
      </c>
      <c r="U10" s="702">
        <f t="shared" si="1"/>
        <v>107</v>
      </c>
      <c r="V10" s="701" t="s">
        <v>14</v>
      </c>
      <c r="W10" s="702">
        <f t="shared" si="2"/>
        <v>107</v>
      </c>
      <c r="X10" s="703"/>
      <c r="Y10" s="3613"/>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70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1696</v>
      </c>
      <c r="Q37" s="1352" t="str">
        <f t="shared" si="14"/>
        <v>工程地质条件</v>
      </c>
      <c r="R37" s="705" t="s">
        <v>14</v>
      </c>
      <c r="S37" s="706">
        <f t="shared" si="10"/>
        <v>100</v>
      </c>
      <c r="T37" s="705" t="s">
        <v>14</v>
      </c>
      <c r="U37" s="706">
        <f t="shared" si="11"/>
        <v>100</v>
      </c>
      <c r="V37" s="705" t="s">
        <v>14</v>
      </c>
      <c r="W37" s="706">
        <f t="shared" si="12"/>
        <v>100</v>
      </c>
      <c r="X37" s="1355"/>
      <c r="Y37" s="370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223.26</v>
      </c>
      <c r="F51" s="639" t="e">
        <f t="shared" ref="F51:F60" si="15">ROUND(B51*E51/10000,0)</f>
        <v>#DIV/0!</v>
      </c>
      <c r="G51" s="3683"/>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8"/>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3260</v>
      </c>
      <c r="B20" s="167" t="s">
        <v>1994</v>
      </c>
      <c r="C20" s="3325" t="e">
        <f>ROUND(IF(F21="与级别开发程度一致",0,(G21-E21)/C21),0)</f>
        <v>#DIV/0!</v>
      </c>
      <c r="D20" s="3341" t="s">
        <v>1998</v>
      </c>
      <c r="E20" s="3342"/>
      <c r="F20" s="3759" t="s">
        <v>1995</v>
      </c>
      <c r="G20" s="376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45209</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3300</v>
      </c>
      <c r="B103" s="3755"/>
      <c r="C103" s="3755"/>
      <c r="D103" s="3755"/>
      <c r="E103" s="3755"/>
      <c r="F103" s="3755"/>
      <c r="G103" s="3755"/>
      <c r="H103" s="3755"/>
      <c r="I103" s="3755"/>
      <c r="J103" s="3755"/>
      <c r="K103" s="3390"/>
      <c r="L103" s="3390"/>
      <c r="M103" s="3390"/>
      <c r="N103" s="3390"/>
    </row>
    <row r="104" spans="1:14">
      <c r="A104" s="3756" t="s">
        <v>3301</v>
      </c>
      <c r="B104" s="3756" t="s">
        <v>3302</v>
      </c>
      <c r="C104" s="3391" t="s">
        <v>3303</v>
      </c>
      <c r="D104" s="3392"/>
      <c r="E104" s="3392"/>
      <c r="F104" s="3392"/>
      <c r="G104" s="3392"/>
      <c r="H104" s="3392"/>
      <c r="I104" s="3392"/>
      <c r="J104" s="3393"/>
      <c r="K104" s="3394"/>
      <c r="L104" s="3394"/>
      <c r="M104" s="3394"/>
      <c r="N104" s="3394"/>
    </row>
    <row r="105" spans="1:14">
      <c r="A105" s="3756"/>
      <c r="B105" s="3756"/>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2"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3317</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8" t="s">
        <v>2611</v>
      </c>
      <c r="B20" s="3761" t="s">
        <v>2632</v>
      </c>
      <c r="C20" s="3103" t="s">
        <v>2443</v>
      </c>
      <c r="D20" s="3104"/>
      <c r="E20" s="3105">
        <v>1</v>
      </c>
      <c r="F20" s="3106" t="s">
        <v>2444</v>
      </c>
      <c r="G20" s="3106"/>
    </row>
    <row r="21" spans="1:13" ht="19.5" customHeight="1">
      <c r="A21" s="3769"/>
      <c r="B21" s="3762"/>
      <c r="C21" s="3107" t="s">
        <v>2445</v>
      </c>
      <c r="D21" s="3108"/>
      <c r="E21" s="3109">
        <v>1</v>
      </c>
      <c r="F21" s="3106" t="s">
        <v>2446</v>
      </c>
      <c r="G21" s="3106"/>
    </row>
    <row r="22" spans="1:13" ht="19.5" customHeight="1">
      <c r="A22" s="3769"/>
      <c r="B22" s="3762"/>
      <c r="C22" s="3107" t="s">
        <v>2447</v>
      </c>
      <c r="D22" s="3108"/>
      <c r="E22" s="3109">
        <v>0.9</v>
      </c>
      <c r="F22" s="3106" t="s">
        <v>2448</v>
      </c>
      <c r="G22" s="3106"/>
    </row>
    <row r="23" spans="1:13" ht="19.5" customHeight="1">
      <c r="A23" s="3769"/>
      <c r="B23" s="3762"/>
      <c r="C23" s="3107" t="s">
        <v>2449</v>
      </c>
      <c r="D23" s="3108"/>
      <c r="E23" s="3109">
        <v>0.9</v>
      </c>
      <c r="F23" s="3106" t="s">
        <v>2450</v>
      </c>
      <c r="G23" s="3106"/>
    </row>
    <row r="24" spans="1:13" ht="19.5" customHeight="1">
      <c r="A24" s="3769"/>
      <c r="B24" s="3762"/>
      <c r="C24" s="3107" t="s">
        <v>2451</v>
      </c>
      <c r="D24" s="3108"/>
      <c r="E24" s="3109">
        <v>0.8</v>
      </c>
      <c r="F24" s="3106" t="s">
        <v>2452</v>
      </c>
      <c r="G24" s="3106"/>
    </row>
    <row r="25" spans="1:13" ht="19.5" customHeight="1" thickBot="1">
      <c r="A25" s="3770"/>
      <c r="B25" s="376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4" t="s">
        <v>2635</v>
      </c>
      <c r="B27" s="3761" t="s">
        <v>2616</v>
      </c>
      <c r="C27" s="3103" t="s">
        <v>2456</v>
      </c>
      <c r="D27" s="3104"/>
      <c r="E27" s="3105">
        <v>1</v>
      </c>
      <c r="F27" s="3106" t="s">
        <v>2457</v>
      </c>
      <c r="G27" s="3106"/>
    </row>
    <row r="28" spans="1:13" ht="19.5" customHeight="1">
      <c r="A28" s="3765"/>
      <c r="B28" s="3762"/>
      <c r="C28" s="3107" t="s">
        <v>2458</v>
      </c>
      <c r="D28" s="3108"/>
      <c r="E28" s="3109">
        <v>1</v>
      </c>
      <c r="F28" s="3106" t="s">
        <v>2459</v>
      </c>
      <c r="G28" s="3106"/>
    </row>
    <row r="29" spans="1:13" ht="19.5" customHeight="1">
      <c r="A29" s="3765"/>
      <c r="B29" s="3762"/>
      <c r="C29" s="3107" t="s">
        <v>2460</v>
      </c>
      <c r="D29" s="3108"/>
      <c r="E29" s="3109">
        <v>0.8</v>
      </c>
      <c r="F29" s="3106" t="s">
        <v>2461</v>
      </c>
      <c r="G29" s="3106"/>
    </row>
    <row r="30" spans="1:13" ht="19.5" customHeight="1">
      <c r="A30" s="3765"/>
      <c r="B30" s="3762"/>
      <c r="C30" s="3107" t="s">
        <v>2462</v>
      </c>
      <c r="D30" s="3108"/>
      <c r="E30" s="3109">
        <v>0.8</v>
      </c>
      <c r="F30" s="3106" t="s">
        <v>2463</v>
      </c>
      <c r="G30" s="3106"/>
    </row>
    <row r="31" spans="1:13" ht="19.5" customHeight="1">
      <c r="A31" s="3765"/>
      <c r="B31" s="3762"/>
      <c r="C31" s="3107" t="s">
        <v>2464</v>
      </c>
      <c r="D31" s="3108"/>
      <c r="E31" s="3109">
        <v>0.8</v>
      </c>
      <c r="F31" s="3106" t="s">
        <v>2465</v>
      </c>
      <c r="G31" s="3106"/>
    </row>
    <row r="32" spans="1:13" ht="19.5" customHeight="1">
      <c r="A32" s="3765"/>
      <c r="B32" s="3762"/>
      <c r="C32" s="3107" t="s">
        <v>2466</v>
      </c>
      <c r="D32" s="3108"/>
      <c r="E32" s="3109">
        <v>0.7</v>
      </c>
      <c r="F32" s="3106" t="s">
        <v>2467</v>
      </c>
      <c r="G32" s="3106"/>
    </row>
    <row r="33" spans="1:7" ht="19.5" customHeight="1">
      <c r="A33" s="3765"/>
      <c r="B33" s="3762"/>
      <c r="C33" s="3107" t="s">
        <v>2468</v>
      </c>
      <c r="D33" s="3108"/>
      <c r="E33" s="3109">
        <v>0.8</v>
      </c>
      <c r="F33" s="3106" t="s">
        <v>2469</v>
      </c>
      <c r="G33" s="3106"/>
    </row>
    <row r="34" spans="1:7" ht="19.5" customHeight="1">
      <c r="A34" s="3765"/>
      <c r="B34" s="3762"/>
      <c r="C34" s="3107" t="s">
        <v>2470</v>
      </c>
      <c r="D34" s="3108"/>
      <c r="E34" s="3109">
        <v>0.6</v>
      </c>
      <c r="F34" s="3106" t="s">
        <v>2471</v>
      </c>
      <c r="G34" s="3106"/>
    </row>
    <row r="35" spans="1:7" ht="19.5" customHeight="1">
      <c r="A35" s="3765"/>
      <c r="B35" s="3762"/>
      <c r="C35" s="3107" t="s">
        <v>2472</v>
      </c>
      <c r="D35" s="3108"/>
      <c r="E35" s="3109">
        <v>0.2</v>
      </c>
      <c r="F35" s="3106" t="s">
        <v>2473</v>
      </c>
      <c r="G35" s="3106"/>
    </row>
    <row r="36" spans="1:7" ht="19.5" customHeight="1">
      <c r="A36" s="3765"/>
      <c r="B36" s="3762"/>
      <c r="C36" s="3107" t="s">
        <v>2474</v>
      </c>
      <c r="D36" s="3108"/>
      <c r="E36" s="3109">
        <v>0.2</v>
      </c>
      <c r="F36" s="3106" t="s">
        <v>2475</v>
      </c>
      <c r="G36" s="3106"/>
    </row>
    <row r="37" spans="1:7" ht="19.5" customHeight="1">
      <c r="A37" s="3765"/>
      <c r="B37" s="3767" t="s">
        <v>2636</v>
      </c>
      <c r="C37" s="3107" t="s">
        <v>2476</v>
      </c>
      <c r="D37" s="3108"/>
      <c r="E37" s="3109">
        <v>0.6</v>
      </c>
      <c r="F37" s="3106" t="s">
        <v>2477</v>
      </c>
      <c r="G37" s="3106"/>
    </row>
    <row r="38" spans="1:7" ht="19.5" customHeight="1">
      <c r="A38" s="3765"/>
      <c r="B38" s="3762"/>
      <c r="C38" s="3107" t="s">
        <v>2478</v>
      </c>
      <c r="D38" s="3108"/>
      <c r="E38" s="3109">
        <v>0.6</v>
      </c>
      <c r="F38" s="3106" t="s">
        <v>2479</v>
      </c>
      <c r="G38" s="3106"/>
    </row>
    <row r="39" spans="1:7" ht="19.5" customHeight="1" thickBot="1">
      <c r="A39" s="3766"/>
      <c r="B39" s="376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8" t="s">
        <v>2614</v>
      </c>
      <c r="B41" s="3761" t="s">
        <v>2638</v>
      </c>
      <c r="C41" s="3103" t="s">
        <v>2483</v>
      </c>
      <c r="D41" s="3104"/>
      <c r="E41" s="3105">
        <v>1</v>
      </c>
      <c r="F41" s="3106" t="s">
        <v>2484</v>
      </c>
      <c r="G41" s="3106"/>
    </row>
    <row r="42" spans="1:7" ht="19.5" customHeight="1">
      <c r="A42" s="3769"/>
      <c r="B42" s="3762"/>
      <c r="C42" s="3107" t="s">
        <v>2485</v>
      </c>
      <c r="D42" s="3108"/>
      <c r="E42" s="3109">
        <v>1</v>
      </c>
      <c r="F42" s="3106" t="s">
        <v>2486</v>
      </c>
      <c r="G42" s="3106"/>
    </row>
    <row r="43" spans="1:7" ht="19.5" customHeight="1">
      <c r="A43" s="3769"/>
      <c r="B43" s="3771"/>
      <c r="C43" s="3107" t="s">
        <v>2487</v>
      </c>
      <c r="D43" s="3108"/>
      <c r="E43" s="3109">
        <v>1.5</v>
      </c>
      <c r="F43" s="3106" t="s">
        <v>2488</v>
      </c>
      <c r="G43" s="3106"/>
    </row>
    <row r="44" spans="1:7" ht="19.5" customHeight="1">
      <c r="A44" s="3769"/>
      <c r="B44" s="3118" t="s">
        <v>2639</v>
      </c>
      <c r="C44" s="3107" t="s">
        <v>2640</v>
      </c>
      <c r="D44" s="3108"/>
      <c r="E44" s="3109">
        <v>2</v>
      </c>
      <c r="F44" s="3106" t="s">
        <v>2489</v>
      </c>
      <c r="G44" s="3106"/>
    </row>
    <row r="45" spans="1:7" ht="19.5" customHeight="1">
      <c r="A45" s="3769"/>
      <c r="B45" s="3767" t="s">
        <v>2641</v>
      </c>
      <c r="C45" s="3107" t="s">
        <v>2490</v>
      </c>
      <c r="D45" s="3108"/>
      <c r="E45" s="3109">
        <v>1</v>
      </c>
      <c r="F45" s="3106" t="s">
        <v>2491</v>
      </c>
      <c r="G45" s="3106"/>
    </row>
    <row r="46" spans="1:7" ht="19.5" customHeight="1">
      <c r="A46" s="3769"/>
      <c r="B46" s="3762"/>
      <c r="C46" s="3107" t="s">
        <v>2492</v>
      </c>
      <c r="D46" s="3108"/>
      <c r="E46" s="3109">
        <v>1</v>
      </c>
      <c r="F46" s="3106" t="s">
        <v>2493</v>
      </c>
      <c r="G46" s="3106"/>
    </row>
    <row r="47" spans="1:7" ht="19.5" customHeight="1">
      <c r="A47" s="3769"/>
      <c r="B47" s="3762"/>
      <c r="C47" s="3107" t="s">
        <v>2494</v>
      </c>
      <c r="D47" s="3108"/>
      <c r="E47" s="3109">
        <v>1</v>
      </c>
      <c r="F47" s="3106" t="s">
        <v>2495</v>
      </c>
      <c r="G47" s="3106"/>
    </row>
    <row r="48" spans="1:7" ht="19.5" customHeight="1">
      <c r="A48" s="3769"/>
      <c r="B48" s="3762"/>
      <c r="C48" s="3107" t="s">
        <v>2496</v>
      </c>
      <c r="D48" s="3108"/>
      <c r="E48" s="3109">
        <v>1</v>
      </c>
      <c r="F48" s="3106" t="s">
        <v>2497</v>
      </c>
      <c r="G48" s="3106"/>
    </row>
    <row r="49" spans="1:7" ht="19.5" customHeight="1">
      <c r="A49" s="3769"/>
      <c r="B49" s="3762"/>
      <c r="C49" s="3107" t="s">
        <v>2498</v>
      </c>
      <c r="D49" s="3108"/>
      <c r="E49" s="3109">
        <v>1</v>
      </c>
      <c r="F49" s="3106" t="s">
        <v>2499</v>
      </c>
      <c r="G49" s="3106"/>
    </row>
    <row r="50" spans="1:7" ht="19.5" customHeight="1">
      <c r="A50" s="3769"/>
      <c r="B50" s="3762"/>
      <c r="C50" s="3107" t="s">
        <v>2500</v>
      </c>
      <c r="D50" s="3108"/>
      <c r="E50" s="3109">
        <v>1</v>
      </c>
      <c r="F50" s="3106" t="s">
        <v>2501</v>
      </c>
      <c r="G50" s="3106"/>
    </row>
    <row r="51" spans="1:7" ht="19.5" customHeight="1" thickBot="1">
      <c r="A51" s="3770"/>
      <c r="B51" s="376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7" t="s">
        <v>2655</v>
      </c>
      <c r="C73" s="3092" t="s">
        <v>2656</v>
      </c>
      <c r="D73" s="3092" t="s">
        <v>2657</v>
      </c>
      <c r="E73" s="3118">
        <v>0.2</v>
      </c>
      <c r="F73" s="3118">
        <v>25</v>
      </c>
    </row>
    <row r="74" spans="1:7" ht="24">
      <c r="A74" s="3118">
        <v>2</v>
      </c>
      <c r="B74" s="3762"/>
      <c r="C74" s="3092" t="s">
        <v>2658</v>
      </c>
      <c r="D74" s="3092" t="s">
        <v>2659</v>
      </c>
      <c r="E74" s="3118">
        <v>0.2</v>
      </c>
      <c r="F74" s="3118">
        <v>25</v>
      </c>
    </row>
    <row r="75" spans="1:7" ht="24">
      <c r="A75" s="3118">
        <v>3</v>
      </c>
      <c r="B75" s="3762"/>
      <c r="C75" s="3092" t="s">
        <v>2660</v>
      </c>
      <c r="D75" s="3092" t="s">
        <v>2661</v>
      </c>
      <c r="E75" s="3118">
        <v>0.2</v>
      </c>
      <c r="F75" s="3118">
        <v>25</v>
      </c>
    </row>
    <row r="76" spans="1:7" ht="13.5">
      <c r="A76" s="3118">
        <v>4</v>
      </c>
      <c r="B76" s="3762"/>
      <c r="C76" s="3092" t="s">
        <v>2662</v>
      </c>
      <c r="D76" s="3092" t="s">
        <v>2663</v>
      </c>
      <c r="E76" s="3118">
        <v>0.15</v>
      </c>
      <c r="F76" s="3118">
        <v>20</v>
      </c>
    </row>
    <row r="77" spans="1:7" ht="24">
      <c r="A77" s="3118">
        <v>5</v>
      </c>
      <c r="B77" s="3762"/>
      <c r="C77" s="3092" t="s">
        <v>2664</v>
      </c>
      <c r="D77" s="3092" t="s">
        <v>2665</v>
      </c>
      <c r="E77" s="3118">
        <v>0.15</v>
      </c>
      <c r="F77" s="3118">
        <v>20</v>
      </c>
    </row>
    <row r="78" spans="1:7" ht="24">
      <c r="A78" s="3118">
        <v>6</v>
      </c>
      <c r="B78" s="3762"/>
      <c r="C78" s="3092" t="s">
        <v>2666</v>
      </c>
      <c r="D78" s="3092" t="s">
        <v>2667</v>
      </c>
      <c r="E78" s="3118">
        <v>0.15</v>
      </c>
      <c r="F78" s="3118">
        <v>20</v>
      </c>
    </row>
    <row r="79" spans="1:7" ht="24">
      <c r="A79" s="3118">
        <v>7</v>
      </c>
      <c r="B79" s="3762"/>
      <c r="C79" s="3092" t="s">
        <v>2668</v>
      </c>
      <c r="D79" s="3092" t="s">
        <v>2669</v>
      </c>
      <c r="E79" s="3118">
        <v>0.15</v>
      </c>
      <c r="F79" s="3118">
        <v>20</v>
      </c>
    </row>
    <row r="80" spans="1:7" ht="24">
      <c r="A80" s="3118">
        <v>8</v>
      </c>
      <c r="B80" s="3762"/>
      <c r="C80" s="3092" t="s">
        <v>2670</v>
      </c>
      <c r="D80" s="3092" t="s">
        <v>2671</v>
      </c>
      <c r="E80" s="3118">
        <v>0.1</v>
      </c>
      <c r="F80" s="3118">
        <v>15</v>
      </c>
    </row>
    <row r="81" spans="1:6" ht="24">
      <c r="A81" s="3118">
        <v>9</v>
      </c>
      <c r="B81" s="3762"/>
      <c r="C81" s="3092" t="s">
        <v>2672</v>
      </c>
      <c r="D81" s="3092" t="s">
        <v>2673</v>
      </c>
      <c r="E81" s="3118">
        <v>0.1</v>
      </c>
      <c r="F81" s="3118">
        <v>15</v>
      </c>
    </row>
    <row r="82" spans="1:6" ht="24">
      <c r="A82" s="3118">
        <v>10</v>
      </c>
      <c r="B82" s="3762"/>
      <c r="C82" s="3092" t="s">
        <v>2674</v>
      </c>
      <c r="D82" s="3092" t="s">
        <v>2675</v>
      </c>
      <c r="E82" s="3118">
        <v>0.1</v>
      </c>
      <c r="F82" s="3118">
        <v>15</v>
      </c>
    </row>
    <row r="83" spans="1:6" ht="24">
      <c r="A83" s="3118">
        <v>11</v>
      </c>
      <c r="B83" s="3762"/>
      <c r="C83" s="3092" t="s">
        <v>2676</v>
      </c>
      <c r="D83" s="3092" t="s">
        <v>2677</v>
      </c>
      <c r="E83" s="3118">
        <v>0.1</v>
      </c>
      <c r="F83" s="3118">
        <v>15</v>
      </c>
    </row>
    <row r="84" spans="1:6" ht="24">
      <c r="A84" s="3118">
        <v>12</v>
      </c>
      <c r="B84" s="3762"/>
      <c r="C84" s="3092" t="s">
        <v>2678</v>
      </c>
      <c r="D84" s="3092" t="s">
        <v>2679</v>
      </c>
      <c r="E84" s="3118">
        <v>0.1</v>
      </c>
      <c r="F84" s="3118">
        <v>15</v>
      </c>
    </row>
    <row r="85" spans="1:6" ht="13.5">
      <c r="A85" s="3118">
        <v>13</v>
      </c>
      <c r="B85" s="3762"/>
      <c r="C85" s="3092" t="s">
        <v>2680</v>
      </c>
      <c r="D85" s="3092" t="s">
        <v>2681</v>
      </c>
      <c r="E85" s="3118">
        <v>0.1</v>
      </c>
      <c r="F85" s="3118">
        <v>15</v>
      </c>
    </row>
    <row r="86" spans="1:6" ht="13.5">
      <c r="A86" s="3118">
        <v>14</v>
      </c>
      <c r="B86" s="3762"/>
      <c r="C86" s="3092" t="s">
        <v>2682</v>
      </c>
      <c r="D86" s="3092" t="s">
        <v>2683</v>
      </c>
      <c r="E86" s="3118">
        <v>0.1</v>
      </c>
      <c r="F86" s="3118">
        <v>15</v>
      </c>
    </row>
    <row r="87" spans="1:6" ht="13.5">
      <c r="A87" s="3118">
        <v>15</v>
      </c>
      <c r="B87" s="3762"/>
      <c r="C87" s="3092" t="s">
        <v>2684</v>
      </c>
      <c r="D87" s="3092" t="s">
        <v>2685</v>
      </c>
      <c r="E87" s="3118">
        <v>0.1</v>
      </c>
      <c r="F87" s="3118">
        <v>15</v>
      </c>
    </row>
    <row r="88" spans="1:6" ht="24">
      <c r="A88" s="3118">
        <v>16</v>
      </c>
      <c r="B88" s="3762"/>
      <c r="C88" s="3092" t="s">
        <v>2686</v>
      </c>
      <c r="D88" s="3092" t="s">
        <v>2687</v>
      </c>
      <c r="E88" s="3118">
        <v>0.1</v>
      </c>
      <c r="F88" s="3118">
        <v>15</v>
      </c>
    </row>
    <row r="89" spans="1:6" ht="24">
      <c r="A89" s="3118">
        <v>17</v>
      </c>
      <c r="B89" s="3771"/>
      <c r="C89" s="3092" t="s">
        <v>2688</v>
      </c>
      <c r="D89" s="3092" t="s">
        <v>2689</v>
      </c>
      <c r="E89" s="3118">
        <v>0.1</v>
      </c>
      <c r="F89" s="3118">
        <v>15</v>
      </c>
    </row>
    <row r="90" spans="1:6" ht="13.5">
      <c r="A90" s="3118">
        <v>18</v>
      </c>
      <c r="B90" s="3767" t="s">
        <v>2690</v>
      </c>
      <c r="C90" s="3092" t="s">
        <v>2691</v>
      </c>
      <c r="D90" s="3092" t="s">
        <v>2692</v>
      </c>
      <c r="E90" s="3118">
        <v>0.2</v>
      </c>
      <c r="F90" s="3118">
        <v>25</v>
      </c>
    </row>
    <row r="91" spans="1:6" ht="24">
      <c r="A91" s="3118">
        <v>19</v>
      </c>
      <c r="B91" s="3762"/>
      <c r="C91" s="3092" t="s">
        <v>2693</v>
      </c>
      <c r="D91" s="3092" t="s">
        <v>2694</v>
      </c>
      <c r="E91" s="3118">
        <v>0.2</v>
      </c>
      <c r="F91" s="3118">
        <v>25</v>
      </c>
    </row>
    <row r="92" spans="1:6" ht="13.5">
      <c r="A92" s="3118">
        <v>20</v>
      </c>
      <c r="B92" s="3762"/>
      <c r="C92" s="3092" t="s">
        <v>2695</v>
      </c>
      <c r="D92" s="3092" t="s">
        <v>2696</v>
      </c>
      <c r="E92" s="3118">
        <v>0.15</v>
      </c>
      <c r="F92" s="3118">
        <v>20</v>
      </c>
    </row>
    <row r="93" spans="1:6" ht="13.5">
      <c r="A93" s="3118">
        <v>21</v>
      </c>
      <c r="B93" s="3762"/>
      <c r="C93" s="3092" t="s">
        <v>2697</v>
      </c>
      <c r="D93" s="3092" t="s">
        <v>2698</v>
      </c>
      <c r="E93" s="3118">
        <v>0.15</v>
      </c>
      <c r="F93" s="3118">
        <v>20</v>
      </c>
    </row>
    <row r="94" spans="1:6" ht="13.5">
      <c r="A94" s="3118">
        <v>22</v>
      </c>
      <c r="B94" s="3762"/>
      <c r="C94" s="3092" t="s">
        <v>2699</v>
      </c>
      <c r="D94" s="3092" t="s">
        <v>2700</v>
      </c>
      <c r="E94" s="3118">
        <v>0.15</v>
      </c>
      <c r="F94" s="3118">
        <v>20</v>
      </c>
    </row>
    <row r="95" spans="1:6" ht="36">
      <c r="A95" s="3118">
        <v>23</v>
      </c>
      <c r="B95" s="3762"/>
      <c r="C95" s="3092" t="s">
        <v>2701</v>
      </c>
      <c r="D95" s="3092" t="s">
        <v>2702</v>
      </c>
      <c r="E95" s="3118">
        <v>0.15</v>
      </c>
      <c r="F95" s="3118">
        <v>20</v>
      </c>
    </row>
    <row r="96" spans="1:6" ht="13.5">
      <c r="A96" s="3118">
        <v>24</v>
      </c>
      <c r="B96" s="3762"/>
      <c r="C96" s="3092" t="s">
        <v>2703</v>
      </c>
      <c r="D96" s="3092" t="s">
        <v>2704</v>
      </c>
      <c r="E96" s="3118">
        <v>0.1</v>
      </c>
      <c r="F96" s="3118">
        <v>15</v>
      </c>
    </row>
    <row r="97" spans="1:6" ht="13.5">
      <c r="A97" s="3118">
        <v>25</v>
      </c>
      <c r="B97" s="3762"/>
      <c r="C97" s="3092" t="s">
        <v>2705</v>
      </c>
      <c r="D97" s="3092" t="s">
        <v>2706</v>
      </c>
      <c r="E97" s="3118">
        <v>0.1</v>
      </c>
      <c r="F97" s="3118">
        <v>15</v>
      </c>
    </row>
    <row r="98" spans="1:6" ht="24">
      <c r="A98" s="3118">
        <v>26</v>
      </c>
      <c r="B98" s="3762"/>
      <c r="C98" s="3092" t="s">
        <v>2707</v>
      </c>
      <c r="D98" s="3092" t="s">
        <v>2708</v>
      </c>
      <c r="E98" s="3118">
        <v>0.1</v>
      </c>
      <c r="F98" s="3118">
        <v>15</v>
      </c>
    </row>
    <row r="99" spans="1:6" ht="24">
      <c r="A99" s="3118">
        <v>27</v>
      </c>
      <c r="B99" s="3762"/>
      <c r="C99" s="3092" t="s">
        <v>2709</v>
      </c>
      <c r="D99" s="3092" t="s">
        <v>2710</v>
      </c>
      <c r="E99" s="3118">
        <v>0.1</v>
      </c>
      <c r="F99" s="3118">
        <v>15</v>
      </c>
    </row>
    <row r="100" spans="1:6" ht="13.5">
      <c r="A100" s="3118">
        <v>28</v>
      </c>
      <c r="B100" s="3762"/>
      <c r="C100" s="3092" t="s">
        <v>2711</v>
      </c>
      <c r="D100" s="3092" t="s">
        <v>2712</v>
      </c>
      <c r="E100" s="3118">
        <v>0.1</v>
      </c>
      <c r="F100" s="3118">
        <v>15</v>
      </c>
    </row>
    <row r="101" spans="1:6" ht="13.5">
      <c r="A101" s="3118">
        <v>29</v>
      </c>
      <c r="B101" s="3762"/>
      <c r="C101" s="3092" t="s">
        <v>2713</v>
      </c>
      <c r="D101" s="3092" t="s">
        <v>2714</v>
      </c>
      <c r="E101" s="3118">
        <v>0.1</v>
      </c>
      <c r="F101" s="3118">
        <v>15</v>
      </c>
    </row>
    <row r="102" spans="1:6" ht="13.5">
      <c r="A102" s="3118">
        <v>30</v>
      </c>
      <c r="B102" s="3762"/>
      <c r="C102" s="3092" t="s">
        <v>2715</v>
      </c>
      <c r="D102" s="3092" t="s">
        <v>2716</v>
      </c>
      <c r="E102" s="3118">
        <v>0.1</v>
      </c>
      <c r="F102" s="3118">
        <v>15</v>
      </c>
    </row>
    <row r="103" spans="1:6" ht="24">
      <c r="A103" s="3118">
        <v>31</v>
      </c>
      <c r="B103" s="3762"/>
      <c r="C103" s="3092" t="s">
        <v>2717</v>
      </c>
      <c r="D103" s="3092" t="s">
        <v>2718</v>
      </c>
      <c r="E103" s="3118">
        <v>0.1</v>
      </c>
      <c r="F103" s="3118">
        <v>15</v>
      </c>
    </row>
    <row r="104" spans="1:6" ht="24">
      <c r="A104" s="3118">
        <v>32</v>
      </c>
      <c r="B104" s="3762"/>
      <c r="C104" s="3092" t="s">
        <v>2719</v>
      </c>
      <c r="D104" s="3092" t="s">
        <v>2720</v>
      </c>
      <c r="E104" s="3118">
        <v>0.1</v>
      </c>
      <c r="F104" s="3118">
        <v>15</v>
      </c>
    </row>
    <row r="105" spans="1:6" ht="24">
      <c r="A105" s="3118">
        <v>33</v>
      </c>
      <c r="B105" s="3762"/>
      <c r="C105" s="3092" t="s">
        <v>2721</v>
      </c>
      <c r="D105" s="3092" t="s">
        <v>2722</v>
      </c>
      <c r="E105" s="3118">
        <v>0.1</v>
      </c>
      <c r="F105" s="3118">
        <v>15</v>
      </c>
    </row>
    <row r="106" spans="1:6" ht="24">
      <c r="A106" s="3118">
        <v>34</v>
      </c>
      <c r="B106" s="3771"/>
      <c r="C106" s="3092" t="s">
        <v>2723</v>
      </c>
      <c r="D106" s="3092" t="s">
        <v>2724</v>
      </c>
      <c r="E106" s="3118">
        <v>0.1</v>
      </c>
      <c r="F106" s="3118">
        <v>15</v>
      </c>
    </row>
    <row r="107" spans="1:6" ht="24">
      <c r="A107" s="3118">
        <v>35</v>
      </c>
      <c r="B107" s="3767" t="s">
        <v>2725</v>
      </c>
      <c r="C107" s="3118" t="s">
        <v>2726</v>
      </c>
      <c r="D107" s="3092" t="s">
        <v>2727</v>
      </c>
      <c r="E107" s="3118">
        <v>0.15</v>
      </c>
      <c r="F107" s="3118">
        <v>20</v>
      </c>
    </row>
    <row r="108" spans="1:6" ht="13.5">
      <c r="A108" s="3118">
        <v>36</v>
      </c>
      <c r="B108" s="3762"/>
      <c r="C108" s="3118" t="s">
        <v>2728</v>
      </c>
      <c r="D108" s="3092" t="s">
        <v>2729</v>
      </c>
      <c r="E108" s="3118">
        <v>0.15</v>
      </c>
      <c r="F108" s="3118">
        <v>20</v>
      </c>
    </row>
    <row r="109" spans="1:6" ht="13.5">
      <c r="A109" s="3118">
        <v>37</v>
      </c>
      <c r="B109" s="3762"/>
      <c r="C109" s="3118" t="s">
        <v>2730</v>
      </c>
      <c r="D109" s="3092" t="s">
        <v>2731</v>
      </c>
      <c r="E109" s="3118">
        <v>0.15</v>
      </c>
      <c r="F109" s="3118">
        <v>20</v>
      </c>
    </row>
    <row r="110" spans="1:6" ht="13.5">
      <c r="A110" s="3118">
        <v>38</v>
      </c>
      <c r="B110" s="3762"/>
      <c r="C110" s="3118" t="s">
        <v>2732</v>
      </c>
      <c r="D110" s="3092" t="s">
        <v>2733</v>
      </c>
      <c r="E110" s="3118">
        <v>0.1</v>
      </c>
      <c r="F110" s="3118">
        <v>15</v>
      </c>
    </row>
    <row r="111" spans="1:6" ht="24">
      <c r="A111" s="3118">
        <v>39</v>
      </c>
      <c r="B111" s="3762"/>
      <c r="C111" s="3118" t="s">
        <v>2734</v>
      </c>
      <c r="D111" s="3092" t="s">
        <v>2735</v>
      </c>
      <c r="E111" s="3118">
        <v>0.1</v>
      </c>
      <c r="F111" s="3118">
        <v>15</v>
      </c>
    </row>
    <row r="112" spans="1:6" ht="24">
      <c r="A112" s="3118">
        <v>40</v>
      </c>
      <c r="B112" s="3771"/>
      <c r="C112" s="3118" t="s">
        <v>2736</v>
      </c>
      <c r="D112" s="3092" t="s">
        <v>2737</v>
      </c>
      <c r="E112" s="3118">
        <v>0.1</v>
      </c>
      <c r="F112" s="3118">
        <v>15</v>
      </c>
    </row>
    <row r="113" spans="1:6" ht="13.5">
      <c r="A113" s="3118">
        <v>41</v>
      </c>
      <c r="B113" s="3772" t="s">
        <v>2738</v>
      </c>
      <c r="C113" s="3118" t="s">
        <v>2739</v>
      </c>
      <c r="D113" s="3092" t="s">
        <v>2740</v>
      </c>
      <c r="E113" s="3118">
        <v>0.1</v>
      </c>
      <c r="F113" s="3118">
        <v>15</v>
      </c>
    </row>
    <row r="114" spans="1:6" ht="13.5">
      <c r="A114" s="3118">
        <v>42</v>
      </c>
      <c r="B114" s="3772"/>
      <c r="C114" s="3118" t="s">
        <v>2741</v>
      </c>
      <c r="D114" s="3092" t="s">
        <v>2742</v>
      </c>
      <c r="E114" s="3118">
        <v>0.1</v>
      </c>
      <c r="F114" s="3118">
        <v>15</v>
      </c>
    </row>
    <row r="115" spans="1:6" ht="24">
      <c r="A115" s="3118">
        <v>43</v>
      </c>
      <c r="B115" s="3772"/>
      <c r="C115" s="3118" t="s">
        <v>2743</v>
      </c>
      <c r="D115" s="3092" t="s">
        <v>2744</v>
      </c>
      <c r="E115" s="3118">
        <v>0.1</v>
      </c>
      <c r="F115" s="3118">
        <v>15</v>
      </c>
    </row>
    <row r="116" spans="1:6" ht="13.5">
      <c r="A116" s="3118">
        <v>44</v>
      </c>
      <c r="B116" s="3767" t="s">
        <v>2745</v>
      </c>
      <c r="C116" s="3118" t="s">
        <v>2746</v>
      </c>
      <c r="D116" s="3092" t="s">
        <v>2747</v>
      </c>
      <c r="E116" s="3118">
        <v>0.1</v>
      </c>
      <c r="F116" s="3118">
        <v>15</v>
      </c>
    </row>
    <row r="117" spans="1:6" ht="24">
      <c r="A117" s="3118">
        <v>45</v>
      </c>
      <c r="B117" s="3771"/>
      <c r="C117" s="3092" t="s">
        <v>2748</v>
      </c>
      <c r="D117" s="3092" t="s">
        <v>2749</v>
      </c>
      <c r="E117" s="3118">
        <v>0.1</v>
      </c>
      <c r="F117" s="3118">
        <v>15</v>
      </c>
    </row>
    <row r="118" spans="1:6" ht="24">
      <c r="A118" s="3118">
        <v>46</v>
      </c>
      <c r="B118" s="3767" t="s">
        <v>2750</v>
      </c>
      <c r="C118" s="3118" t="s">
        <v>2751</v>
      </c>
      <c r="D118" s="3092" t="s">
        <v>2752</v>
      </c>
      <c r="E118" s="3118">
        <v>0.1</v>
      </c>
      <c r="F118" s="3118">
        <v>15</v>
      </c>
    </row>
    <row r="119" spans="1:6" ht="24">
      <c r="A119" s="3118">
        <v>47</v>
      </c>
      <c r="B119" s="3771"/>
      <c r="C119" s="3118" t="s">
        <v>2753</v>
      </c>
      <c r="D119" s="3092" t="s">
        <v>2754</v>
      </c>
      <c r="E119" s="3118">
        <v>0.1</v>
      </c>
      <c r="F119" s="3118">
        <v>15</v>
      </c>
    </row>
    <row r="120" spans="1:6" ht="13.5">
      <c r="A120" s="3118">
        <v>48</v>
      </c>
      <c r="B120" s="3767" t="s">
        <v>2755</v>
      </c>
      <c r="C120" s="3118" t="s">
        <v>2756</v>
      </c>
      <c r="D120" s="3092" t="s">
        <v>2757</v>
      </c>
      <c r="E120" s="3118">
        <v>0.1</v>
      </c>
      <c r="F120" s="3118">
        <v>15</v>
      </c>
    </row>
    <row r="121" spans="1:6" ht="13.5">
      <c r="A121" s="3118">
        <v>49</v>
      </c>
      <c r="B121" s="3771"/>
      <c r="C121" s="3118" t="s">
        <v>2758</v>
      </c>
      <c r="D121" s="3092" t="s">
        <v>2759</v>
      </c>
      <c r="E121" s="3118">
        <v>0.1</v>
      </c>
      <c r="F121" s="3118">
        <v>15</v>
      </c>
    </row>
    <row r="122" spans="1:6" ht="24">
      <c r="A122" s="3118">
        <v>50</v>
      </c>
      <c r="B122" s="3772" t="s">
        <v>2760</v>
      </c>
      <c r="C122" s="3118" t="s">
        <v>2761</v>
      </c>
      <c r="D122" s="3092" t="s">
        <v>2762</v>
      </c>
      <c r="E122" s="3118">
        <v>0.1</v>
      </c>
      <c r="F122" s="3118">
        <v>15</v>
      </c>
    </row>
    <row r="123" spans="1:6" ht="24">
      <c r="A123" s="3118">
        <v>51</v>
      </c>
      <c r="B123" s="3772"/>
      <c r="C123" s="3118" t="s">
        <v>2763</v>
      </c>
      <c r="D123" s="3092" t="s">
        <v>2764</v>
      </c>
      <c r="E123" s="3118">
        <v>0.1</v>
      </c>
      <c r="F123" s="3118">
        <v>15</v>
      </c>
    </row>
    <row r="124" spans="1:6" ht="24">
      <c r="A124" s="3118">
        <v>52</v>
      </c>
      <c r="B124" s="3772" t="s">
        <v>2765</v>
      </c>
      <c r="C124" s="3118" t="s">
        <v>2766</v>
      </c>
      <c r="D124" s="3092" t="s">
        <v>2767</v>
      </c>
      <c r="E124" s="3118">
        <v>0.1</v>
      </c>
      <c r="F124" s="3118">
        <v>15</v>
      </c>
    </row>
    <row r="125" spans="1:6" ht="24">
      <c r="A125" s="3118">
        <v>53</v>
      </c>
      <c r="B125" s="3772"/>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2" t="s">
        <v>2773</v>
      </c>
      <c r="C127" s="3118" t="s">
        <v>2774</v>
      </c>
      <c r="D127" s="3092" t="s">
        <v>2775</v>
      </c>
      <c r="E127" s="3118">
        <v>0.1</v>
      </c>
      <c r="F127" s="3118">
        <v>15</v>
      </c>
    </row>
    <row r="128" spans="1:6" ht="13.5">
      <c r="A128" s="3118">
        <v>56</v>
      </c>
      <c r="B128" s="3772"/>
      <c r="C128" s="3118" t="s">
        <v>2776</v>
      </c>
      <c r="D128" s="3092" t="s">
        <v>2777</v>
      </c>
      <c r="E128" s="3118">
        <v>0.1</v>
      </c>
      <c r="F128" s="3118">
        <v>15</v>
      </c>
    </row>
    <row r="129" spans="1:6" ht="24">
      <c r="A129" s="3118">
        <v>57</v>
      </c>
      <c r="B129" s="3772"/>
      <c r="C129" s="3118" t="s">
        <v>2778</v>
      </c>
      <c r="D129" s="3092" t="s">
        <v>2779</v>
      </c>
      <c r="E129" s="3118">
        <v>0.1</v>
      </c>
      <c r="F129" s="3118">
        <v>15</v>
      </c>
    </row>
    <row r="130" spans="1:6" ht="24">
      <c r="A130" s="3118">
        <v>58</v>
      </c>
      <c r="B130" s="3772" t="s">
        <v>2780</v>
      </c>
      <c r="C130" s="3118" t="s">
        <v>2781</v>
      </c>
      <c r="D130" s="3092" t="s">
        <v>2782</v>
      </c>
      <c r="E130" s="3118">
        <v>0.1</v>
      </c>
      <c r="F130" s="3118">
        <v>15</v>
      </c>
    </row>
    <row r="131" spans="1:6" ht="13.5">
      <c r="A131" s="3118">
        <v>59</v>
      </c>
      <c r="B131" s="3772"/>
      <c r="C131" s="3118" t="s">
        <v>2783</v>
      </c>
      <c r="D131" s="3092" t="s">
        <v>2784</v>
      </c>
      <c r="E131" s="3118">
        <v>0.1</v>
      </c>
      <c r="F131" s="3118">
        <v>15</v>
      </c>
    </row>
    <row r="132" spans="1:6" ht="13.5">
      <c r="A132" s="3118">
        <v>60</v>
      </c>
      <c r="B132" s="3767" t="s">
        <v>2785</v>
      </c>
      <c r="C132" s="3118" t="s">
        <v>2786</v>
      </c>
      <c r="D132" s="3092" t="s">
        <v>2787</v>
      </c>
      <c r="E132" s="3118">
        <v>0.1</v>
      </c>
      <c r="F132" s="3118">
        <v>15</v>
      </c>
    </row>
    <row r="133" spans="1:6" ht="13.5">
      <c r="A133" s="3118">
        <v>61</v>
      </c>
      <c r="B133" s="3771"/>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2" t="s">
        <v>2793</v>
      </c>
      <c r="C135" s="3118" t="s">
        <v>2794</v>
      </c>
      <c r="D135" s="3092" t="s">
        <v>2795</v>
      </c>
      <c r="E135" s="3118">
        <v>0.1</v>
      </c>
      <c r="F135" s="3118">
        <v>15</v>
      </c>
    </row>
    <row r="136" spans="1:6" ht="13.5">
      <c r="A136" s="3118">
        <v>64</v>
      </c>
      <c r="B136" s="3772"/>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27849</v>
      </c>
      <c r="C2" s="2" t="s">
        <v>106</v>
      </c>
      <c r="D2" s="199"/>
      <c r="E2" s="199"/>
      <c r="F2" s="199"/>
      <c r="G2" s="199"/>
    </row>
    <row r="3" spans="1:7" s="200" customFormat="1" ht="18" customHeight="1" thickBot="1">
      <c r="A3" s="203" t="s">
        <v>58</v>
      </c>
      <c r="B3" s="204">
        <f ca="1">ROUND(B2*10000/'数据-汇总表'!E3,0)</f>
        <v>1247380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223.26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223.26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223.26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7" t="s">
        <v>341</v>
      </c>
      <c r="B45" s="244" t="s">
        <v>85</v>
      </c>
      <c r="C45" s="245">
        <f>C46</f>
        <v>13</v>
      </c>
      <c r="D45" s="235">
        <f>C47</f>
        <v>3.0000000000000001E-3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114</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97</v>
      </c>
      <c r="D51" s="232"/>
      <c r="E51" s="232"/>
      <c r="F51" s="264"/>
      <c r="G51" s="234" t="s">
        <v>37</v>
      </c>
    </row>
    <row r="52" spans="1:7" s="208" customFormat="1" ht="16.5" thickBot="1">
      <c r="A52" s="265" t="s">
        <v>38</v>
      </c>
      <c r="B52" s="266"/>
      <c r="C52" s="267">
        <f ca="1">C31+C51</f>
        <v>27849</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2845</v>
      </c>
      <c r="B1" s="3775"/>
      <c r="C1" s="3775"/>
      <c r="D1" s="3775"/>
      <c r="E1" s="3775"/>
      <c r="F1" s="3775"/>
      <c r="G1" s="3776"/>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3"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4"/>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t="e">
        <f ca="1">结果表!H101</f>
        <v>#REF!</v>
      </c>
      <c r="E5" s="1491"/>
    </row>
    <row r="6" spans="1:5" ht="15.75">
      <c r="A6" s="1491"/>
      <c r="B6" s="3456"/>
      <c r="C6" s="1494" t="s">
        <v>911</v>
      </c>
      <c r="D6" s="850" t="e">
        <f ca="1">NUMBERSTRING(INT(D5*10000),2)&amp;"元整"</f>
        <v>#REF!</v>
      </c>
      <c r="E6" s="1491"/>
    </row>
    <row r="7" spans="1:5" ht="15.75">
      <c r="A7" s="1491"/>
      <c r="B7" s="3461"/>
      <c r="C7" s="1495" t="s">
        <v>912</v>
      </c>
      <c r="D7" s="851" t="e">
        <f ca="1">结果表!H102</f>
        <v>#REF!</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t="e">
        <f ca="1">结果表!H107</f>
        <v>#REF!</v>
      </c>
      <c r="E13" s="1491"/>
    </row>
    <row r="14" spans="1:5" ht="15.75">
      <c r="A14" s="1491"/>
      <c r="B14" s="3456"/>
      <c r="C14" s="1494" t="s">
        <v>911</v>
      </c>
      <c r="D14" s="850" t="e">
        <f ca="1">NUMBERSTRING(INT(D13*10000),2)&amp;"元整"</f>
        <v>#REF!</v>
      </c>
      <c r="E14" s="1491"/>
    </row>
    <row r="15" spans="1:5" ht="15">
      <c r="A15" s="1491"/>
      <c r="B15" s="3461"/>
      <c r="C15" s="1495" t="s">
        <v>921</v>
      </c>
      <c r="D15" s="859" t="e">
        <f ca="1">结果表!H108</f>
        <v>#REF!</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3187</v>
      </c>
      <c r="B1" s="3777"/>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8" t="s">
        <v>3238</v>
      </c>
      <c r="B1" s="3778"/>
      <c r="C1" s="3778"/>
      <c r="D1" s="3778"/>
      <c r="E1" s="3778"/>
      <c r="F1" s="3779"/>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45209</v>
      </c>
      <c r="B1" s="3210" t="s">
        <v>2844</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0" t="s">
        <v>2832</v>
      </c>
      <c r="S21" s="3781"/>
      <c r="T21" s="3781"/>
      <c r="U21" s="3781"/>
      <c r="V21" s="3781"/>
      <c r="W21" s="3781"/>
      <c r="X21" s="3165"/>
      <c r="Y21" s="3780" t="s">
        <v>2833</v>
      </c>
      <c r="Z21" s="3781"/>
      <c r="AA21" s="3781"/>
      <c r="AB21" s="3781"/>
      <c r="AC21" s="3781"/>
      <c r="AD21" s="3781"/>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45209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90" zoomScaleNormal="90" workbookViewId="0">
      <selection activeCell="G13" sqref="G1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3388</v>
      </c>
      <c r="D1" s="1362" t="s">
        <v>43</v>
      </c>
      <c r="E1" s="1363" t="s">
        <v>678</v>
      </c>
      <c r="F1" s="1062">
        <f ca="1">J53</f>
        <v>39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529.97580000000005</v>
      </c>
      <c r="C2" s="1387" t="s">
        <v>879</v>
      </c>
      <c r="D2" s="1471">
        <f ca="1">C40+J29+L46</f>
        <v>5299758</v>
      </c>
      <c r="E2" s="1388" t="s">
        <v>880</v>
      </c>
      <c r="F2" s="1389"/>
      <c r="G2" s="2706"/>
      <c r="H2" s="2695"/>
      <c r="I2" s="2695"/>
      <c r="J2" s="2695"/>
      <c r="K2" s="2696"/>
      <c r="L2" s="2695"/>
      <c r="M2" s="2695"/>
    </row>
    <row r="3" spans="1:37" ht="18" customHeight="1" thickBot="1">
      <c r="A3" s="1390" t="s">
        <v>881</v>
      </c>
      <c r="B3" s="1391">
        <f ca="1">IF(ISERROR(D2/F43),0,ROUND(D2/F43,0))</f>
        <v>23738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257014</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256693</v>
      </c>
      <c r="D6" s="155" t="s">
        <v>2106</v>
      </c>
      <c r="E6" s="302" t="s">
        <v>696</v>
      </c>
      <c r="F6" s="303">
        <f ca="1">INDIRECT("'数据-取费表'!u"&amp;$G$1)</f>
        <v>3.5</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223.26</v>
      </c>
      <c r="G7" s="1384"/>
      <c r="H7" s="304"/>
      <c r="I7" s="3643"/>
      <c r="J7" s="306"/>
      <c r="K7" s="307"/>
      <c r="L7" s="302" t="s">
        <v>697</v>
      </c>
      <c r="M7" s="303">
        <f ca="1">F7</f>
        <v>223.26</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321</v>
      </c>
      <c r="D10" s="1366" t="s">
        <v>2116</v>
      </c>
      <c r="E10" s="313" t="s">
        <v>701</v>
      </c>
      <c r="F10" s="1116" t="s">
        <v>3415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974667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781410</v>
      </c>
      <c r="D14" s="1345" t="s">
        <v>708</v>
      </c>
      <c r="E14" s="1342"/>
      <c r="F14" s="319"/>
      <c r="G14" s="1384"/>
      <c r="H14" s="982" t="s">
        <v>398</v>
      </c>
      <c r="I14" s="302" t="s">
        <v>709</v>
      </c>
      <c r="J14" s="21">
        <f ca="1">C29</f>
        <v>1146667</v>
      </c>
      <c r="K14" s="12"/>
      <c r="L14" s="807"/>
      <c r="M14" s="808"/>
    </row>
    <row r="15" spans="1:37" s="1397" customFormat="1" ht="18" customHeight="1" thickBot="1">
      <c r="A15" s="982" t="s">
        <v>399</v>
      </c>
      <c r="B15" s="302" t="s">
        <v>710</v>
      </c>
      <c r="C15" s="21">
        <f ca="1">ROUND(C14*F15,0)</f>
        <v>39071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3440</v>
      </c>
      <c r="K16" s="1087" t="s">
        <v>715</v>
      </c>
      <c r="L16" s="1088"/>
      <c r="M16" s="1072"/>
    </row>
    <row r="17" spans="1:37" s="1397" customFormat="1" ht="18" customHeight="1">
      <c r="A17" s="982" t="s">
        <v>681</v>
      </c>
      <c r="B17" s="302" t="s">
        <v>716</v>
      </c>
      <c r="C17" s="21">
        <f ca="1">ROUND(F17*(F43+INDIRECT("'数据-取费表'!S"&amp;$G$1)),0)</f>
        <v>44652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11721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876854</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17537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3440</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30856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-3440</v>
      </c>
      <c r="K25" s="1095" t="s">
        <v>753</v>
      </c>
      <c r="L25" s="1096"/>
      <c r="M25" s="1097"/>
    </row>
    <row r="26" spans="1:37" ht="18" customHeight="1">
      <c r="A26" s="982" t="s">
        <v>397</v>
      </c>
      <c r="B26" s="302" t="s">
        <v>754</v>
      </c>
      <c r="C26" s="21">
        <f ca="1">ROUND((C19+C20)*F26,0)</f>
        <v>134159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1146667</v>
      </c>
      <c r="D29" s="1092"/>
      <c r="E29" s="1090"/>
      <c r="F29" s="1093"/>
      <c r="G29" s="1396"/>
      <c r="H29" s="334" t="s">
        <v>396</v>
      </c>
      <c r="I29" s="335" t="s">
        <v>768</v>
      </c>
      <c r="J29" s="336">
        <f ca="1">ROUND(J26/(1+F40)^F41,0)</f>
        <v>0</v>
      </c>
      <c r="K29" s="337" t="s">
        <v>769</v>
      </c>
      <c r="L29" s="338"/>
      <c r="M29" s="339">
        <f ca="1">INDIRECT("'数据-取费表'!k"&amp;$G$1)</f>
        <v>223.26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22813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17113</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3440</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975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1285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234201</v>
      </c>
      <c r="D39" s="1095" t="s">
        <v>773</v>
      </c>
      <c r="E39" s="1096"/>
      <c r="F39" s="1097"/>
      <c r="G39" s="1384"/>
      <c r="H39" s="2700"/>
      <c r="I39" s="1398"/>
      <c r="J39" s="1399"/>
      <c r="K39" s="2704"/>
      <c r="L39" s="2700"/>
      <c r="M39" s="2700"/>
    </row>
    <row r="40" spans="1:18" ht="18" customHeight="1">
      <c r="A40" s="299" t="s">
        <v>395</v>
      </c>
      <c r="B40" s="300" t="s">
        <v>774</v>
      </c>
      <c r="C40" s="301">
        <f ca="1">ROUND(C39*(1-((1+F42)/(1+F40))^F41)/(F40-F42),0)</f>
        <v>5272433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23616</v>
      </c>
      <c r="D43" s="337" t="s">
        <v>777</v>
      </c>
      <c r="E43" s="338" t="s">
        <v>778</v>
      </c>
      <c r="F43" s="339">
        <f ca="1">INDIRECT("'数据-取费表'!k"&amp;$G$1)</f>
        <v>223.26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-534.2758</v>
      </c>
      <c r="D45" s="3432" t="s">
        <v>3359</v>
      </c>
      <c r="E45" s="1400"/>
      <c r="F45" s="1400"/>
      <c r="O45" s="1403" t="s">
        <v>808</v>
      </c>
      <c r="P45" s="1461"/>
      <c r="Q45" s="1461"/>
      <c r="R45" s="1461"/>
    </row>
    <row r="46" spans="1:18" s="1384" customFormat="1" ht="13.5" thickBot="1">
      <c r="A46" s="1404" t="s">
        <v>809</v>
      </c>
      <c r="C46" s="1405">
        <f ca="1">ROUND(C45,0)</f>
        <v>-534</v>
      </c>
      <c r="D46" s="1406" t="str">
        <f>C2</f>
        <v>万元</v>
      </c>
      <c r="I46" s="1407" t="s">
        <v>810</v>
      </c>
      <c r="J46" s="1408"/>
      <c r="K46" s="1409"/>
      <c r="L46" s="1410">
        <f ca="1">IF(M47="住宅",0,IF(L48&gt;J51,L60,J60))</f>
        <v>27325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5272433</v>
      </c>
      <c r="R47" s="1420" t="s">
        <v>818</v>
      </c>
    </row>
    <row r="48" spans="1:18" s="1384" customFormat="1" ht="28.5" thickBot="1">
      <c r="A48" s="1110" t="s">
        <v>438</v>
      </c>
      <c r="B48" s="300" t="s">
        <v>692</v>
      </c>
      <c r="C48" s="1359">
        <f ca="1">C49+C53+C55</f>
        <v>0</v>
      </c>
      <c r="D48" s="1112"/>
      <c r="E48" s="1113"/>
      <c r="F48" s="962"/>
      <c r="G48" s="722"/>
      <c r="H48" s="723"/>
      <c r="I48" s="1421" t="s">
        <v>819</v>
      </c>
      <c r="J48" s="1422" t="s">
        <v>3416</v>
      </c>
      <c r="K48" s="1423" t="s">
        <v>820</v>
      </c>
      <c r="L48" s="1424">
        <f ca="1">INDIRECT("'数据-取费表'!f"&amp;$G$1)</f>
        <v>39</v>
      </c>
      <c r="O48" s="1418" t="s">
        <v>404</v>
      </c>
      <c r="P48" s="1419" t="s">
        <v>821</v>
      </c>
      <c r="Q48" s="1420">
        <f ca="1">J60</f>
        <v>27325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2014</v>
      </c>
      <c r="K49" s="1423" t="s">
        <v>824</v>
      </c>
      <c r="L49" s="1427"/>
      <c r="O49" s="1428" t="s">
        <v>405</v>
      </c>
      <c r="P49" s="1419" t="s">
        <v>825</v>
      </c>
      <c r="Q49" s="1420">
        <f ca="1">C29</f>
        <v>1146667</v>
      </c>
      <c r="R49" s="1420" t="s">
        <v>818</v>
      </c>
    </row>
    <row r="50" spans="1:18" s="1384" customFormat="1" ht="13.5" thickBot="1">
      <c r="A50" s="976"/>
      <c r="B50" s="979"/>
      <c r="C50" s="980"/>
      <c r="D50" s="953"/>
      <c r="E50" s="1056" t="s">
        <v>697</v>
      </c>
      <c r="F50" s="1057">
        <f ca="1">F7</f>
        <v>223.26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3043799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40" t="s">
        <v>837</v>
      </c>
      <c r="L53" s="3641"/>
      <c r="O53" s="1418" t="s">
        <v>409</v>
      </c>
      <c r="P53" s="1419" t="s">
        <v>838</v>
      </c>
      <c r="Q53" s="1420">
        <f ca="1">Q47+Q48</f>
        <v>5299758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974667</v>
      </c>
      <c r="D56" s="1447"/>
      <c r="E56" s="1448"/>
      <c r="F56" s="1440"/>
      <c r="I56" s="1449" t="s">
        <v>842</v>
      </c>
      <c r="J56" s="1450" t="s">
        <v>3417</v>
      </c>
      <c r="K56" s="1421" t="s">
        <v>843</v>
      </c>
      <c r="L56" s="1424" t="str">
        <f ca="1">IF(L48&lt;J51,"——",L48-J51)</f>
        <v>——</v>
      </c>
      <c r="O56" s="1418" t="s">
        <v>403</v>
      </c>
      <c r="P56" s="1419" t="s">
        <v>817</v>
      </c>
      <c r="Q56" s="1420">
        <f ca="1">C40+J29</f>
        <v>5272433</v>
      </c>
      <c r="R56" s="1420" t="s">
        <v>818</v>
      </c>
    </row>
    <row r="57" spans="1:18" s="1384" customFormat="1" ht="24.75" thickBot="1">
      <c r="A57" s="1451"/>
      <c r="B57" s="950" t="s">
        <v>767</v>
      </c>
      <c r="C57" s="238">
        <f ca="1">C29</f>
        <v>1146667</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4415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458667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27325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5272433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3440</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975</v>
      </c>
      <c r="D65" s="964" t="s">
        <v>743</v>
      </c>
      <c r="E65" s="950" t="s">
        <v>744</v>
      </c>
      <c r="F65" s="330">
        <f t="shared" ca="1" si="0"/>
        <v>1E-3</v>
      </c>
      <c r="I65" s="1462" t="s">
        <v>867</v>
      </c>
      <c r="J65" s="1463">
        <v>40</v>
      </c>
      <c r="K65" s="1463">
        <v>30</v>
      </c>
      <c r="L65" s="1463">
        <v>50</v>
      </c>
      <c r="M65" s="1465">
        <v>0.02</v>
      </c>
      <c r="O65" s="1418" t="s">
        <v>403</v>
      </c>
      <c r="P65" s="1419" t="s">
        <v>868</v>
      </c>
      <c r="Q65" s="1420">
        <f ca="1">C40+J29</f>
        <v>5272433</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-4415</v>
      </c>
      <c r="D67" s="963" t="s">
        <v>753</v>
      </c>
      <c r="E67" s="968"/>
      <c r="F67" s="969"/>
      <c r="O67" s="1428" t="s">
        <v>405</v>
      </c>
      <c r="P67" s="1419" t="s">
        <v>850</v>
      </c>
      <c r="Q67" s="1466">
        <f ca="1">L51</f>
        <v>3043799</v>
      </c>
      <c r="R67" s="1420" t="s">
        <v>870</v>
      </c>
    </row>
    <row r="68" spans="1:18" s="1384" customFormat="1" ht="16.5" thickBot="1">
      <c r="A68" s="947" t="s">
        <v>395</v>
      </c>
      <c r="B68" s="948" t="s">
        <v>774</v>
      </c>
      <c r="C68" s="301">
        <f ca="1">ROUND(C67*(1-((1+F70)/(1+F68))^F69)/(F68-F70),0)</f>
        <v>-70325</v>
      </c>
      <c r="D68" s="965" t="s">
        <v>758</v>
      </c>
      <c r="E68" s="950" t="s">
        <v>759</v>
      </c>
      <c r="F68" s="312">
        <f ca="1">F40</f>
        <v>5.5E-2</v>
      </c>
      <c r="O68" s="1428" t="s">
        <v>406</v>
      </c>
      <c r="P68" s="1467" t="s">
        <v>871</v>
      </c>
      <c r="Q68" s="1420">
        <f ca="1">ROUND(Q69-Q70*Q71,0)</f>
        <v>165974</v>
      </c>
      <c r="R68" s="1420" t="s">
        <v>414</v>
      </c>
    </row>
    <row r="69" spans="1:18" s="1384" customFormat="1" ht="13.5" thickBot="1">
      <c r="A69" s="951"/>
      <c r="B69" s="952"/>
      <c r="C69" s="306"/>
      <c r="D69" s="970" t="s">
        <v>762</v>
      </c>
      <c r="E69" s="950" t="s">
        <v>763</v>
      </c>
      <c r="F69" s="333">
        <f ca="1">F41</f>
        <v>39</v>
      </c>
      <c r="O69" s="1428" t="s">
        <v>411</v>
      </c>
      <c r="P69" s="1467" t="s">
        <v>872</v>
      </c>
      <c r="Q69" s="1420">
        <f ca="1">C39</f>
        <v>234201</v>
      </c>
      <c r="R69" s="1420" t="s">
        <v>818</v>
      </c>
    </row>
    <row r="70" spans="1:18" s="1384" customFormat="1" ht="13.5" thickBot="1">
      <c r="A70" s="954"/>
      <c r="B70" s="955"/>
      <c r="C70" s="310"/>
      <c r="D70" s="966"/>
      <c r="E70" s="950" t="s">
        <v>766</v>
      </c>
      <c r="F70" s="1054"/>
      <c r="O70" s="1428" t="s">
        <v>412</v>
      </c>
      <c r="P70" s="1467" t="s">
        <v>873</v>
      </c>
      <c r="Q70" s="1420">
        <f ca="1">C13</f>
        <v>974667</v>
      </c>
      <c r="R70" s="1420" t="s">
        <v>818</v>
      </c>
    </row>
    <row r="71" spans="1:18" s="1384" customFormat="1" ht="13.5" thickBot="1">
      <c r="A71" s="971" t="s">
        <v>396</v>
      </c>
      <c r="B71" s="972" t="s">
        <v>776</v>
      </c>
      <c r="C71" s="336">
        <f ca="1">ROUND(C68/F71,0)</f>
        <v>-315</v>
      </c>
      <c r="D71" s="973" t="s">
        <v>777</v>
      </c>
      <c r="E71" s="974" t="s">
        <v>778</v>
      </c>
      <c r="F71" s="339">
        <f ca="1">F43</f>
        <v>223.26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68227</v>
      </c>
      <c r="D75" s="1384"/>
      <c r="E75" s="1384"/>
      <c r="F75" s="1384"/>
      <c r="K75" s="1402"/>
      <c r="L75" s="1384"/>
      <c r="O75" s="1418" t="s">
        <v>409</v>
      </c>
      <c r="P75" s="1419" t="s">
        <v>838</v>
      </c>
      <c r="Q75" s="1420">
        <f ca="1">Q65+Q66</f>
        <v>5272433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0.70900000000000007</v>
      </c>
    </row>
    <row r="80" spans="1:18">
      <c r="B80" s="340" t="s">
        <v>800</v>
      </c>
      <c r="C80" s="274">
        <f ca="1">ROUND(C75/C39,3)</f>
        <v>0.29099999999999998</v>
      </c>
    </row>
    <row r="81" spans="2:3">
      <c r="B81" s="270" t="s">
        <v>801</v>
      </c>
      <c r="C81" s="238"/>
    </row>
    <row r="82" spans="2:3">
      <c r="B82" s="273" t="s">
        <v>802</v>
      </c>
      <c r="C82" s="275">
        <f ca="1">1-C83</f>
        <v>0.81499999999999995</v>
      </c>
    </row>
    <row r="83" spans="2:3">
      <c r="B83" s="273" t="s">
        <v>803</v>
      </c>
      <c r="C83" s="274">
        <f ca="1">ROUND(C13/C40,3)</f>
        <v>0.185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P47"/>
  <sheetViews>
    <sheetView workbookViewId="0">
      <selection activeCell="P48" sqref="P48"/>
    </sheetView>
  </sheetViews>
  <sheetFormatPr defaultRowHeight="13.5"/>
  <sheetData>
    <row r="5" spans="16:16">
      <c r="P5">
        <f>33000/268.02/30</f>
        <v>4.1041713304977243</v>
      </c>
    </row>
    <row r="16" spans="16:16">
      <c r="P16">
        <f>25000/222.33/30</f>
        <v>3.7481821316661414</v>
      </c>
    </row>
    <row r="27" spans="16:16">
      <c r="P27">
        <f>25000/223/30</f>
        <v>3.7369207772795217</v>
      </c>
    </row>
    <row r="36" spans="16:16">
      <c r="P36">
        <f>26000/268.15/30</f>
        <v>3.2320218783019454</v>
      </c>
    </row>
    <row r="47" spans="16:16">
      <c r="P47">
        <f>28000/268.78/30</f>
        <v>3.4724805913138383</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223.26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7" t="s">
        <v>927</v>
      </c>
      <c r="B5" s="3467"/>
      <c r="C5" s="3467"/>
      <c r="D5" s="3467" t="e">
        <f ca="1">结果表!D119</f>
        <v>#REF!</v>
      </c>
      <c r="E5" s="3467"/>
      <c r="F5" s="3467" t="e">
        <f ca="1">结果表!F119</f>
        <v>#REF!</v>
      </c>
      <c r="G5" s="3467"/>
      <c r="H5" s="3467" t="e">
        <f ca="1">结果表!H119</f>
        <v>#REF!</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t="e">
        <f ca="1">结果表!D122</f>
        <v>#REF!</v>
      </c>
      <c r="E8" s="3468"/>
      <c r="F8" s="3468"/>
      <c r="G8" s="3468"/>
      <c r="H8" s="3468"/>
      <c r="I8" s="3468"/>
    </row>
    <row r="9" spans="1:9" ht="15">
      <c r="A9" s="3467" t="s">
        <v>927</v>
      </c>
      <c r="B9" s="3467"/>
      <c r="C9" s="3467"/>
      <c r="D9" s="3467" t="e">
        <f ca="1">结果表!D123</f>
        <v>#REF!</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比较案例</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2023-10-12T02:17:23Z</dcterms:modified>
</cp:coreProperties>
</file>