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205" tabRatio="899" firstSheet="20"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结果表 基准" sheetId="78" r:id="rId20"/>
    <sheet name="比较法-车位" sheetId="35" r:id="rId21"/>
    <sheet name="成本法 (元)" sheetId="69" state="hidden"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 name="Sheet3" sheetId="80" state="hidden" r:id="rId47"/>
    <sheet name="Sheet1" sheetId="81" r:id="rId48"/>
    <sheet name="Sheet4" sheetId="82" state="hidden" r:id="rId49"/>
    <sheet name="Sheet5" sheetId="83" r:id="rId50"/>
    <sheet name="Sheet6" sheetId="84" r:id="rId51"/>
  </sheets>
  <externalReferences>
    <externalReference r:id="rId52"/>
  </externalReferences>
  <definedNames>
    <definedName name="_xlnm._FilterDatabase" localSheetId="29" hidden="1">'比较法-办公'!$A$1:$L$50</definedName>
    <definedName name="_xlnm._FilterDatabase" localSheetId="31" hidden="1">'比较法-仓储'!$A$1:$L$37</definedName>
    <definedName name="_xlnm._FilterDatabase" localSheetId="20"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20">'比较法-车位'!$A$1:$K$44,'比较法-车位'!$A$47:$M$102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19">'结果表 基准'!$A$1:$I$127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27" i="31" l="1"/>
  <c r="D902" i="84"/>
  <c r="E2" i="84"/>
  <c r="E3" i="84"/>
  <c r="E4" i="84"/>
  <c r="E5" i="84"/>
  <c r="E6" i="84"/>
  <c r="E7" i="84"/>
  <c r="E8" i="84"/>
  <c r="E9" i="84"/>
  <c r="E10" i="84"/>
  <c r="E11" i="84"/>
  <c r="E12" i="84"/>
  <c r="E13" i="84"/>
  <c r="E14" i="84"/>
  <c r="E15" i="84"/>
  <c r="E16" i="84"/>
  <c r="E17" i="84"/>
  <c r="E18" i="84"/>
  <c r="E19" i="84"/>
  <c r="E20" i="84"/>
  <c r="E21" i="84"/>
  <c r="E22" i="84"/>
  <c r="E23" i="84"/>
  <c r="E24" i="84"/>
  <c r="E25" i="84"/>
  <c r="E26" i="84"/>
  <c r="E27" i="84"/>
  <c r="E28" i="84"/>
  <c r="E29" i="84"/>
  <c r="E30" i="84"/>
  <c r="E31" i="84"/>
  <c r="E32" i="84"/>
  <c r="E33" i="84"/>
  <c r="E34" i="84"/>
  <c r="E35" i="84"/>
  <c r="E36" i="84"/>
  <c r="E37" i="84"/>
  <c r="E38" i="84"/>
  <c r="E39" i="84"/>
  <c r="E40" i="84"/>
  <c r="E41" i="84"/>
  <c r="E42" i="84"/>
  <c r="E43" i="84"/>
  <c r="E44" i="84"/>
  <c r="E45" i="84"/>
  <c r="E46" i="84"/>
  <c r="E47" i="84"/>
  <c r="E48" i="84"/>
  <c r="E49" i="84"/>
  <c r="E50" i="84"/>
  <c r="E51" i="84"/>
  <c r="E52" i="84"/>
  <c r="E53" i="84"/>
  <c r="E54" i="84"/>
  <c r="E55" i="84"/>
  <c r="E56" i="84"/>
  <c r="E57" i="84"/>
  <c r="E58" i="84"/>
  <c r="E59" i="84"/>
  <c r="E60" i="84"/>
  <c r="E61" i="84"/>
  <c r="E62" i="84"/>
  <c r="E63" i="84"/>
  <c r="E64" i="84"/>
  <c r="E65" i="84"/>
  <c r="E66" i="84"/>
  <c r="E67" i="84"/>
  <c r="E68" i="84"/>
  <c r="E69" i="84"/>
  <c r="E70" i="84"/>
  <c r="E71" i="84"/>
  <c r="E72" i="84"/>
  <c r="E73" i="84"/>
  <c r="E74" i="84"/>
  <c r="E75" i="84"/>
  <c r="E76" i="84"/>
  <c r="E77" i="84"/>
  <c r="E78" i="84"/>
  <c r="E79" i="84"/>
  <c r="E80" i="84"/>
  <c r="E81" i="84"/>
  <c r="E82" i="84"/>
  <c r="E83"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E113" i="84"/>
  <c r="E114" i="84"/>
  <c r="E115" i="84"/>
  <c r="E116" i="84"/>
  <c r="E117" i="84"/>
  <c r="E118" i="84"/>
  <c r="E119" i="84"/>
  <c r="E120" i="84"/>
  <c r="E121" i="84"/>
  <c r="E122" i="84"/>
  <c r="E123" i="84"/>
  <c r="E124" i="84"/>
  <c r="E125" i="84"/>
  <c r="E126" i="84"/>
  <c r="E127" i="84"/>
  <c r="E128" i="84"/>
  <c r="E129" i="84"/>
  <c r="E130" i="84"/>
  <c r="E131" i="84"/>
  <c r="E132" i="84"/>
  <c r="E133" i="84"/>
  <c r="E134" i="84"/>
  <c r="E135" i="84"/>
  <c r="E136" i="84"/>
  <c r="E137" i="84"/>
  <c r="E138" i="84"/>
  <c r="E139" i="84"/>
  <c r="E140" i="84"/>
  <c r="E141" i="84"/>
  <c r="E142" i="84"/>
  <c r="E143" i="84"/>
  <c r="E144" i="84"/>
  <c r="E145" i="84"/>
  <c r="E146" i="84"/>
  <c r="E147" i="84"/>
  <c r="E148" i="84"/>
  <c r="E149" i="84"/>
  <c r="E150" i="84"/>
  <c r="E151" i="84"/>
  <c r="E152" i="84"/>
  <c r="E153" i="84"/>
  <c r="E154" i="84"/>
  <c r="E155" i="84"/>
  <c r="E156" i="84"/>
  <c r="E157" i="84"/>
  <c r="E158" i="84"/>
  <c r="E159" i="84"/>
  <c r="E160" i="84"/>
  <c r="E161" i="84"/>
  <c r="E162" i="84"/>
  <c r="E163" i="84"/>
  <c r="E164" i="84"/>
  <c r="E165" i="84"/>
  <c r="E166" i="84"/>
  <c r="E167" i="84"/>
  <c r="E168" i="84"/>
  <c r="E169" i="84"/>
  <c r="E170" i="84"/>
  <c r="E171" i="84"/>
  <c r="E172" i="84"/>
  <c r="E173" i="84"/>
  <c r="E174" i="84"/>
  <c r="E175" i="84"/>
  <c r="E176" i="84"/>
  <c r="E177" i="84"/>
  <c r="E178" i="84"/>
  <c r="E179" i="84"/>
  <c r="E180" i="84"/>
  <c r="E181" i="84"/>
  <c r="E182" i="84"/>
  <c r="E183" i="84"/>
  <c r="E184" i="84"/>
  <c r="E185" i="84"/>
  <c r="E186" i="84"/>
  <c r="E187" i="84"/>
  <c r="E188" i="84"/>
  <c r="E189" i="84"/>
  <c r="E190" i="84"/>
  <c r="E191" i="84"/>
  <c r="E192" i="84"/>
  <c r="E193" i="84"/>
  <c r="E194" i="84"/>
  <c r="E195" i="84"/>
  <c r="E196" i="84"/>
  <c r="E197" i="84"/>
  <c r="E198" i="84"/>
  <c r="E199" i="84"/>
  <c r="E200" i="84"/>
  <c r="E201" i="84"/>
  <c r="E202" i="84"/>
  <c r="E203" i="84"/>
  <c r="E204" i="84"/>
  <c r="E205" i="84"/>
  <c r="E206" i="84"/>
  <c r="E207" i="84"/>
  <c r="E208" i="84"/>
  <c r="E209" i="84"/>
  <c r="E210" i="84"/>
  <c r="E211" i="84"/>
  <c r="E212" i="84"/>
  <c r="E213" i="84"/>
  <c r="E214" i="84"/>
  <c r="E215" i="84"/>
  <c r="E216" i="84"/>
  <c r="E217" i="84"/>
  <c r="E218" i="84"/>
  <c r="E219" i="84"/>
  <c r="E220" i="84"/>
  <c r="E221" i="84"/>
  <c r="E222" i="84"/>
  <c r="E223" i="84"/>
  <c r="E224" i="84"/>
  <c r="E225" i="84"/>
  <c r="E226" i="84"/>
  <c r="E227" i="84"/>
  <c r="E228" i="84"/>
  <c r="E229" i="84"/>
  <c r="E230" i="84"/>
  <c r="E231" i="84"/>
  <c r="E232" i="84"/>
  <c r="E233" i="84"/>
  <c r="E234" i="84"/>
  <c r="E235" i="84"/>
  <c r="E236" i="84"/>
  <c r="E237" i="84"/>
  <c r="E238" i="84"/>
  <c r="E239" i="84"/>
  <c r="E240" i="84"/>
  <c r="E241" i="84"/>
  <c r="E242" i="84"/>
  <c r="E243" i="84"/>
  <c r="E244" i="84"/>
  <c r="E245" i="84"/>
  <c r="E246" i="84"/>
  <c r="E247" i="84"/>
  <c r="E248" i="84"/>
  <c r="E249" i="84"/>
  <c r="E250" i="84"/>
  <c r="E251" i="84"/>
  <c r="E252" i="84"/>
  <c r="E253" i="84"/>
  <c r="E254" i="84"/>
  <c r="E255" i="84"/>
  <c r="E256" i="84"/>
  <c r="E257" i="84"/>
  <c r="E258" i="84"/>
  <c r="E259" i="84"/>
  <c r="E260" i="84"/>
  <c r="E261" i="84"/>
  <c r="E262" i="84"/>
  <c r="E263" i="84"/>
  <c r="E264" i="84"/>
  <c r="E265" i="84"/>
  <c r="E266" i="84"/>
  <c r="E267" i="84"/>
  <c r="E268" i="84"/>
  <c r="E269" i="84"/>
  <c r="E270" i="84"/>
  <c r="E271" i="84"/>
  <c r="E272" i="84"/>
  <c r="E273" i="84"/>
  <c r="E274" i="84"/>
  <c r="E275" i="84"/>
  <c r="E276" i="84"/>
  <c r="E277" i="84"/>
  <c r="E278" i="84"/>
  <c r="E279" i="84"/>
  <c r="E280" i="84"/>
  <c r="E281" i="84"/>
  <c r="E282" i="84"/>
  <c r="E283" i="84"/>
  <c r="E284" i="84"/>
  <c r="E285" i="84"/>
  <c r="E286" i="84"/>
  <c r="E287" i="84"/>
  <c r="E288" i="84"/>
  <c r="E289" i="84"/>
  <c r="E290" i="84"/>
  <c r="E291" i="84"/>
  <c r="E292" i="84"/>
  <c r="E293" i="84"/>
  <c r="E294" i="84"/>
  <c r="E295" i="84"/>
  <c r="E296" i="84"/>
  <c r="E297" i="84"/>
  <c r="E298" i="84"/>
  <c r="E299" i="84"/>
  <c r="E300" i="84"/>
  <c r="E301" i="84"/>
  <c r="E302" i="84"/>
  <c r="E303" i="84"/>
  <c r="E304" i="84"/>
  <c r="E305" i="84"/>
  <c r="E306" i="84"/>
  <c r="E307" i="84"/>
  <c r="E308" i="84"/>
  <c r="E309" i="84"/>
  <c r="E310" i="84"/>
  <c r="E311" i="84"/>
  <c r="E312" i="84"/>
  <c r="E313" i="84"/>
  <c r="E314" i="84"/>
  <c r="E315" i="84"/>
  <c r="E316" i="84"/>
  <c r="E317" i="84"/>
  <c r="E318" i="84"/>
  <c r="E319" i="84"/>
  <c r="E320" i="84"/>
  <c r="E321" i="84"/>
  <c r="E322" i="84"/>
  <c r="E323" i="84"/>
  <c r="E324" i="84"/>
  <c r="E325" i="84"/>
  <c r="E326" i="84"/>
  <c r="E327" i="84"/>
  <c r="E328" i="84"/>
  <c r="E329" i="84"/>
  <c r="E330" i="84"/>
  <c r="E331" i="84"/>
  <c r="E332" i="84"/>
  <c r="E333" i="84"/>
  <c r="E334" i="84"/>
  <c r="E335" i="84"/>
  <c r="E336" i="84"/>
  <c r="E337" i="84"/>
  <c r="E338" i="84"/>
  <c r="E339" i="84"/>
  <c r="E340" i="84"/>
  <c r="E341" i="84"/>
  <c r="E342" i="84"/>
  <c r="E343" i="84"/>
  <c r="E344" i="84"/>
  <c r="E345" i="84"/>
  <c r="E346" i="84"/>
  <c r="E347" i="84"/>
  <c r="E348" i="84"/>
  <c r="E349" i="84"/>
  <c r="E350" i="84"/>
  <c r="E351" i="84"/>
  <c r="E352" i="84"/>
  <c r="E353" i="84"/>
  <c r="E354" i="84"/>
  <c r="E355" i="84"/>
  <c r="E356" i="84"/>
  <c r="E357" i="84"/>
  <c r="E358" i="84"/>
  <c r="E359" i="84"/>
  <c r="E360" i="84"/>
  <c r="E361" i="84"/>
  <c r="E362" i="84"/>
  <c r="E363" i="84"/>
  <c r="E364" i="84"/>
  <c r="E365" i="84"/>
  <c r="E366" i="84"/>
  <c r="E367" i="84"/>
  <c r="E368" i="84"/>
  <c r="E369" i="84"/>
  <c r="E370" i="84"/>
  <c r="E371" i="84"/>
  <c r="E372" i="84"/>
  <c r="E373" i="84"/>
  <c r="E374" i="84"/>
  <c r="E375" i="84"/>
  <c r="E376" i="84"/>
  <c r="E377" i="84"/>
  <c r="E378" i="84"/>
  <c r="E379" i="84"/>
  <c r="E380" i="84"/>
  <c r="E381" i="84"/>
  <c r="E382" i="84"/>
  <c r="E383" i="84"/>
  <c r="E384" i="84"/>
  <c r="E385" i="84"/>
  <c r="E386" i="84"/>
  <c r="E387" i="84"/>
  <c r="E388" i="84"/>
  <c r="E389" i="84"/>
  <c r="E390" i="84"/>
  <c r="E391" i="84"/>
  <c r="E392" i="84"/>
  <c r="E393" i="84"/>
  <c r="E394" i="84"/>
  <c r="E395" i="84"/>
  <c r="E396" i="84"/>
  <c r="E397" i="84"/>
  <c r="E398" i="84"/>
  <c r="E399" i="84"/>
  <c r="E400" i="84"/>
  <c r="E401" i="84"/>
  <c r="E402" i="84"/>
  <c r="E403" i="84"/>
  <c r="E404" i="84"/>
  <c r="E405" i="84"/>
  <c r="E406" i="84"/>
  <c r="E407" i="84"/>
  <c r="E408" i="84"/>
  <c r="E409" i="84"/>
  <c r="E410" i="84"/>
  <c r="E411" i="84"/>
  <c r="E412" i="84"/>
  <c r="E413" i="84"/>
  <c r="E414" i="84"/>
  <c r="E415" i="84"/>
  <c r="E416" i="84"/>
  <c r="E417" i="84"/>
  <c r="E418" i="84"/>
  <c r="E419" i="84"/>
  <c r="E420" i="84"/>
  <c r="E421" i="84"/>
  <c r="E422" i="84"/>
  <c r="E423" i="84"/>
  <c r="E424" i="84"/>
  <c r="E425" i="84"/>
  <c r="E426" i="84"/>
  <c r="E427" i="84"/>
  <c r="E428" i="84"/>
  <c r="E429" i="84"/>
  <c r="E430" i="84"/>
  <c r="E431" i="84"/>
  <c r="E432" i="84"/>
  <c r="E433" i="84"/>
  <c r="E434" i="84"/>
  <c r="E435" i="84"/>
  <c r="E436" i="84"/>
  <c r="E437" i="84"/>
  <c r="E438" i="84"/>
  <c r="E439" i="84"/>
  <c r="E440" i="84"/>
  <c r="E441" i="84"/>
  <c r="E442" i="84"/>
  <c r="E443" i="84"/>
  <c r="E444" i="84"/>
  <c r="E445" i="84"/>
  <c r="E446" i="84"/>
  <c r="E447" i="84"/>
  <c r="E448" i="84"/>
  <c r="E449" i="84"/>
  <c r="E450" i="84"/>
  <c r="E451" i="84"/>
  <c r="E452" i="84"/>
  <c r="E453" i="84"/>
  <c r="E454" i="84"/>
  <c r="E455" i="84"/>
  <c r="E456" i="84"/>
  <c r="E457" i="84"/>
  <c r="E458" i="84"/>
  <c r="E459" i="84"/>
  <c r="E460" i="84"/>
  <c r="E461" i="84"/>
  <c r="E462" i="84"/>
  <c r="E463" i="84"/>
  <c r="E464" i="84"/>
  <c r="E465" i="84"/>
  <c r="E466" i="84"/>
  <c r="E467" i="84"/>
  <c r="E468" i="84"/>
  <c r="E469" i="84"/>
  <c r="E470" i="84"/>
  <c r="E471" i="84"/>
  <c r="E472" i="84"/>
  <c r="E473" i="84"/>
  <c r="E474" i="84"/>
  <c r="E475" i="84"/>
  <c r="E476" i="84"/>
  <c r="E477" i="84"/>
  <c r="E478" i="84"/>
  <c r="E479" i="84"/>
  <c r="E480" i="84"/>
  <c r="E481" i="84"/>
  <c r="E482" i="84"/>
  <c r="E483" i="84"/>
  <c r="E484" i="84"/>
  <c r="E485" i="84"/>
  <c r="E486" i="84"/>
  <c r="E487" i="84"/>
  <c r="E488" i="84"/>
  <c r="E489" i="84"/>
  <c r="E490" i="84"/>
  <c r="E491" i="84"/>
  <c r="E492" i="84"/>
  <c r="E493" i="84"/>
  <c r="E494" i="84"/>
  <c r="E495" i="84"/>
  <c r="E496" i="84"/>
  <c r="E497" i="84"/>
  <c r="E498" i="84"/>
  <c r="E499" i="84"/>
  <c r="E500" i="84"/>
  <c r="E501" i="84"/>
  <c r="E502" i="84"/>
  <c r="E503" i="84"/>
  <c r="E504" i="84"/>
  <c r="E505" i="84"/>
  <c r="E506" i="84"/>
  <c r="E507" i="84"/>
  <c r="E508" i="84"/>
  <c r="E509" i="84"/>
  <c r="E510" i="84"/>
  <c r="E511" i="84"/>
  <c r="E512" i="84"/>
  <c r="E513" i="84"/>
  <c r="E514" i="84"/>
  <c r="E515" i="84"/>
  <c r="E516" i="84"/>
  <c r="E517" i="84"/>
  <c r="E518" i="84"/>
  <c r="E519" i="84"/>
  <c r="E520" i="84"/>
  <c r="E521" i="84"/>
  <c r="E522" i="84"/>
  <c r="E523" i="84"/>
  <c r="E524" i="84"/>
  <c r="E525" i="84"/>
  <c r="E526" i="84"/>
  <c r="E527" i="84"/>
  <c r="E528" i="84"/>
  <c r="E529" i="84"/>
  <c r="E530" i="84"/>
  <c r="E531" i="84"/>
  <c r="E532" i="84"/>
  <c r="E533" i="84"/>
  <c r="E534" i="84"/>
  <c r="E535" i="84"/>
  <c r="E536" i="84"/>
  <c r="E537" i="84"/>
  <c r="E538" i="84"/>
  <c r="E539" i="84"/>
  <c r="E540" i="84"/>
  <c r="E541" i="84"/>
  <c r="E542" i="84"/>
  <c r="E543" i="84"/>
  <c r="E544" i="84"/>
  <c r="E545" i="84"/>
  <c r="E546" i="84"/>
  <c r="E547" i="84"/>
  <c r="E548" i="84"/>
  <c r="E549" i="84"/>
  <c r="E550" i="84"/>
  <c r="E551" i="84"/>
  <c r="E552" i="84"/>
  <c r="E553" i="84"/>
  <c r="E554" i="84"/>
  <c r="E555" i="84"/>
  <c r="E556" i="84"/>
  <c r="E557" i="84"/>
  <c r="E558" i="84"/>
  <c r="E559" i="84"/>
  <c r="E560" i="84"/>
  <c r="E561" i="84"/>
  <c r="E562" i="84"/>
  <c r="E563" i="84"/>
  <c r="E564" i="84"/>
  <c r="E565" i="84"/>
  <c r="E566" i="84"/>
  <c r="E567" i="84"/>
  <c r="E568" i="84"/>
  <c r="E569" i="84"/>
  <c r="E570" i="84"/>
  <c r="E571" i="84"/>
  <c r="E572" i="84"/>
  <c r="E573" i="84"/>
  <c r="E574" i="84"/>
  <c r="E575" i="84"/>
  <c r="E576" i="84"/>
  <c r="E577" i="84"/>
  <c r="E578" i="84"/>
  <c r="E579" i="84"/>
  <c r="E580" i="84"/>
  <c r="E581" i="84"/>
  <c r="E582" i="84"/>
  <c r="E583" i="84"/>
  <c r="E584" i="84"/>
  <c r="E585" i="84"/>
  <c r="E586" i="84"/>
  <c r="E587" i="84"/>
  <c r="E588" i="84"/>
  <c r="E589" i="84"/>
  <c r="E590" i="84"/>
  <c r="E591" i="84"/>
  <c r="E592" i="84"/>
  <c r="E593" i="84"/>
  <c r="E594" i="84"/>
  <c r="E595" i="84"/>
  <c r="E596" i="84"/>
  <c r="E597" i="84"/>
  <c r="E598" i="84"/>
  <c r="E599" i="84"/>
  <c r="E600" i="84"/>
  <c r="E601" i="84"/>
  <c r="E602" i="84"/>
  <c r="E603" i="84"/>
  <c r="E604" i="84"/>
  <c r="E605" i="84"/>
  <c r="E606" i="84"/>
  <c r="E607" i="84"/>
  <c r="E608" i="84"/>
  <c r="E609" i="84"/>
  <c r="E610" i="84"/>
  <c r="E611" i="84"/>
  <c r="E612" i="84"/>
  <c r="E613" i="84"/>
  <c r="E614" i="84"/>
  <c r="E615" i="84"/>
  <c r="E616" i="84"/>
  <c r="E617" i="84"/>
  <c r="E618" i="84"/>
  <c r="E619" i="84"/>
  <c r="E620" i="84"/>
  <c r="E621" i="84"/>
  <c r="E622" i="84"/>
  <c r="E623" i="84"/>
  <c r="E624" i="84"/>
  <c r="E625" i="84"/>
  <c r="E626" i="84"/>
  <c r="E627" i="84"/>
  <c r="E628" i="84"/>
  <c r="E629" i="84"/>
  <c r="E630" i="84"/>
  <c r="E631" i="84"/>
  <c r="E632" i="84"/>
  <c r="E633" i="84"/>
  <c r="E634" i="84"/>
  <c r="E635" i="84"/>
  <c r="E636" i="84"/>
  <c r="E637" i="84"/>
  <c r="E638" i="84"/>
  <c r="E639" i="84"/>
  <c r="E640" i="84"/>
  <c r="E641" i="84"/>
  <c r="E642" i="84"/>
  <c r="E643" i="84"/>
  <c r="E644" i="84"/>
  <c r="E645" i="84"/>
  <c r="E646" i="84"/>
  <c r="E647" i="84"/>
  <c r="E648" i="84"/>
  <c r="E649" i="84"/>
  <c r="E650" i="84"/>
  <c r="E651" i="84"/>
  <c r="E652" i="84"/>
  <c r="E653" i="84"/>
  <c r="E654" i="84"/>
  <c r="E655" i="84"/>
  <c r="E656" i="84"/>
  <c r="E657" i="84"/>
  <c r="E658" i="84"/>
  <c r="E659" i="84"/>
  <c r="E660" i="84"/>
  <c r="E661" i="84"/>
  <c r="E662" i="84"/>
  <c r="E663" i="84"/>
  <c r="E664" i="84"/>
  <c r="E665" i="84"/>
  <c r="E666" i="84"/>
  <c r="E667" i="84"/>
  <c r="E668" i="84"/>
  <c r="E669" i="84"/>
  <c r="E670" i="84"/>
  <c r="E671" i="84"/>
  <c r="E672" i="84"/>
  <c r="E673" i="84"/>
  <c r="E674" i="84"/>
  <c r="E675" i="84"/>
  <c r="E676" i="84"/>
  <c r="E677" i="84"/>
  <c r="E678" i="84"/>
  <c r="E679" i="84"/>
  <c r="E680" i="84"/>
  <c r="E681" i="84"/>
  <c r="E682" i="84"/>
  <c r="E683" i="84"/>
  <c r="E684" i="84"/>
  <c r="E685" i="84"/>
  <c r="E686" i="84"/>
  <c r="E687" i="84"/>
  <c r="E688" i="84"/>
  <c r="E689" i="84"/>
  <c r="E690" i="84"/>
  <c r="E691" i="84"/>
  <c r="E692" i="84"/>
  <c r="E693" i="84"/>
  <c r="E694" i="84"/>
  <c r="E695" i="84"/>
  <c r="E696" i="84"/>
  <c r="E697" i="84"/>
  <c r="E698" i="84"/>
  <c r="E699" i="84"/>
  <c r="E700" i="84"/>
  <c r="E701" i="84"/>
  <c r="E702" i="84"/>
  <c r="E703" i="84"/>
  <c r="E704" i="84"/>
  <c r="E705" i="84"/>
  <c r="E706" i="84"/>
  <c r="E707" i="84"/>
  <c r="E708" i="84"/>
  <c r="E709" i="84"/>
  <c r="E710" i="84"/>
  <c r="E711" i="84"/>
  <c r="E712" i="84"/>
  <c r="E713" i="84"/>
  <c r="E714" i="84"/>
  <c r="E715" i="84"/>
  <c r="E716" i="84"/>
  <c r="E717" i="84"/>
  <c r="E718" i="84"/>
  <c r="E719" i="84"/>
  <c r="E720" i="84"/>
  <c r="E721" i="84"/>
  <c r="E722" i="84"/>
  <c r="E723" i="84"/>
  <c r="E724" i="84"/>
  <c r="E725" i="84"/>
  <c r="E726" i="84"/>
  <c r="E727" i="84"/>
  <c r="E728" i="84"/>
  <c r="E729" i="84"/>
  <c r="E730" i="84"/>
  <c r="E731" i="84"/>
  <c r="E732" i="84"/>
  <c r="E733" i="84"/>
  <c r="E734" i="84"/>
  <c r="E735" i="84"/>
  <c r="E736" i="84"/>
  <c r="E737" i="84"/>
  <c r="E738" i="84"/>
  <c r="E739" i="84"/>
  <c r="E740" i="84"/>
  <c r="E741" i="84"/>
  <c r="E742" i="84"/>
  <c r="E743" i="84"/>
  <c r="E744" i="84"/>
  <c r="E745" i="84"/>
  <c r="E746" i="84"/>
  <c r="E747" i="84"/>
  <c r="E748" i="84"/>
  <c r="E749" i="84"/>
  <c r="E750" i="84"/>
  <c r="E751" i="84"/>
  <c r="E752" i="84"/>
  <c r="E753" i="84"/>
  <c r="E754" i="84"/>
  <c r="E755" i="84"/>
  <c r="E756" i="84"/>
  <c r="E757" i="84"/>
  <c r="E758" i="84"/>
  <c r="E759" i="84"/>
  <c r="E760" i="84"/>
  <c r="E761" i="84"/>
  <c r="E762" i="84"/>
  <c r="E763" i="84"/>
  <c r="E764" i="84"/>
  <c r="E765" i="84"/>
  <c r="E766" i="84"/>
  <c r="E767" i="84"/>
  <c r="E768" i="84"/>
  <c r="E769" i="84"/>
  <c r="E770" i="84"/>
  <c r="E771" i="84"/>
  <c r="E772" i="84"/>
  <c r="E773" i="84"/>
  <c r="E774" i="84"/>
  <c r="E775" i="84"/>
  <c r="E776" i="84"/>
  <c r="E777" i="84"/>
  <c r="E778" i="84"/>
  <c r="E779" i="84"/>
  <c r="E780" i="84"/>
  <c r="E781" i="84"/>
  <c r="E782" i="84"/>
  <c r="E783" i="84"/>
  <c r="E784" i="84"/>
  <c r="E785" i="84"/>
  <c r="E786" i="84"/>
  <c r="E787" i="84"/>
  <c r="E788" i="84"/>
  <c r="E789" i="84"/>
  <c r="E790" i="84"/>
  <c r="E791" i="84"/>
  <c r="E792" i="84"/>
  <c r="E793" i="84"/>
  <c r="E794" i="84"/>
  <c r="E795" i="84"/>
  <c r="E796" i="84"/>
  <c r="E797" i="84"/>
  <c r="E798" i="84"/>
  <c r="E799" i="84"/>
  <c r="E800" i="84"/>
  <c r="E801" i="84"/>
  <c r="E802" i="84"/>
  <c r="E803" i="84"/>
  <c r="E804" i="84"/>
  <c r="E805" i="84"/>
  <c r="E806" i="84"/>
  <c r="E807" i="84"/>
  <c r="E808" i="84"/>
  <c r="E809" i="84"/>
  <c r="E810" i="84"/>
  <c r="E811" i="84"/>
  <c r="E812" i="84"/>
  <c r="E813" i="84"/>
  <c r="E814" i="84"/>
  <c r="E815" i="84"/>
  <c r="E816" i="84"/>
  <c r="E817" i="84"/>
  <c r="E818" i="84"/>
  <c r="E819" i="84"/>
  <c r="E820" i="84"/>
  <c r="E821" i="84"/>
  <c r="E822" i="84"/>
  <c r="E823" i="84"/>
  <c r="E824" i="84"/>
  <c r="E825" i="84"/>
  <c r="E826" i="84"/>
  <c r="E827" i="84"/>
  <c r="E828" i="84"/>
  <c r="E829" i="84"/>
  <c r="E830" i="84"/>
  <c r="E831" i="84"/>
  <c r="E832" i="84"/>
  <c r="E833" i="84"/>
  <c r="E834" i="84"/>
  <c r="E835" i="84"/>
  <c r="E836" i="84"/>
  <c r="E837" i="84"/>
  <c r="E838" i="84"/>
  <c r="E839" i="84"/>
  <c r="E840" i="84"/>
  <c r="E841" i="84"/>
  <c r="E842" i="84"/>
  <c r="E843" i="84"/>
  <c r="E844" i="84"/>
  <c r="E845" i="84"/>
  <c r="E846" i="84"/>
  <c r="E847" i="84"/>
  <c r="E848" i="84"/>
  <c r="E849" i="84"/>
  <c r="E850" i="84"/>
  <c r="E851" i="84"/>
  <c r="E852" i="84"/>
  <c r="E853" i="84"/>
  <c r="E854" i="84"/>
  <c r="E855" i="84"/>
  <c r="E856" i="84"/>
  <c r="E857" i="84"/>
  <c r="E858" i="84"/>
  <c r="E859" i="84"/>
  <c r="E860" i="84"/>
  <c r="E861" i="84"/>
  <c r="E862" i="84"/>
  <c r="E863" i="84"/>
  <c r="E864" i="84"/>
  <c r="E865" i="84"/>
  <c r="E866" i="84"/>
  <c r="E867" i="84"/>
  <c r="E868" i="84"/>
  <c r="E869" i="84"/>
  <c r="E870" i="84"/>
  <c r="E871" i="84"/>
  <c r="E872" i="84"/>
  <c r="E873" i="84"/>
  <c r="E874" i="84"/>
  <c r="E875" i="84"/>
  <c r="E876" i="84"/>
  <c r="E877" i="84"/>
  <c r="E878" i="84"/>
  <c r="E879" i="84"/>
  <c r="E880" i="84"/>
  <c r="E881" i="84"/>
  <c r="E882" i="84"/>
  <c r="E883" i="84"/>
  <c r="E884" i="84"/>
  <c r="E885" i="84"/>
  <c r="E886" i="84"/>
  <c r="E887" i="84"/>
  <c r="E888" i="84"/>
  <c r="E889" i="84"/>
  <c r="E890" i="84"/>
  <c r="E891" i="84"/>
  <c r="E892" i="84"/>
  <c r="E893" i="84"/>
  <c r="E894" i="84"/>
  <c r="E895" i="84"/>
  <c r="E896" i="84"/>
  <c r="E897" i="84"/>
  <c r="E898" i="84"/>
  <c r="E899" i="84"/>
  <c r="E900" i="84"/>
  <c r="E901" i="84"/>
  <c r="D20" i="6" l="1"/>
  <c r="D19" i="6"/>
  <c r="E910" i="79"/>
  <c r="D913" i="79"/>
  <c r="D916" i="79"/>
  <c r="G378" i="79" l="1"/>
  <c r="H903" i="79"/>
  <c r="I903" i="79" s="1"/>
  <c r="G291" i="79"/>
  <c r="G295" i="79"/>
  <c r="C910" i="79"/>
  <c r="C909" i="79"/>
  <c r="F903" i="83"/>
  <c r="F294" i="83"/>
  <c r="H295" i="79" l="1"/>
  <c r="I295" i="79" s="1"/>
  <c r="F904" i="83"/>
  <c r="G13" i="73"/>
  <c r="F13" i="73"/>
  <c r="E13" i="73"/>
  <c r="L7" i="1" l="1"/>
  <c r="AD6" i="1" l="1"/>
  <c r="I905" i="82" l="1"/>
  <c r="H905" i="82"/>
  <c r="N22" i="1"/>
  <c r="N6" i="1" s="1"/>
  <c r="N24" i="1" l="1"/>
  <c r="D909" i="79"/>
  <c r="D910" i="79"/>
  <c r="G902" i="79"/>
  <c r="G886" i="79"/>
  <c r="G37" i="35"/>
  <c r="N9" i="81"/>
  <c r="I37" i="35" s="1"/>
  <c r="N7" i="81"/>
  <c r="E37" i="35" s="1"/>
  <c r="I5" i="35"/>
  <c r="G5" i="35"/>
  <c r="E5" i="35"/>
  <c r="G654" i="79" l="1"/>
  <c r="G311" i="79"/>
  <c r="G312" i="79"/>
  <c r="G6" i="79"/>
  <c r="G289" i="79"/>
  <c r="G293" i="79"/>
  <c r="G290" i="79"/>
  <c r="G292" i="79"/>
  <c r="G284" i="79"/>
  <c r="G276" i="79"/>
  <c r="G268" i="79"/>
  <c r="G260" i="79"/>
  <c r="G252" i="79"/>
  <c r="G244" i="79"/>
  <c r="G236" i="79"/>
  <c r="G228" i="79"/>
  <c r="G294" i="79"/>
  <c r="G286" i="79"/>
  <c r="G278" i="79"/>
  <c r="G270" i="79"/>
  <c r="G262" i="79"/>
  <c r="G254" i="79"/>
  <c r="G246" i="79"/>
  <c r="G238" i="79"/>
  <c r="G230" i="79"/>
  <c r="G222" i="79"/>
  <c r="G218" i="79"/>
  <c r="G214" i="79"/>
  <c r="G210" i="79"/>
  <c r="G206" i="79"/>
  <c r="G202" i="79"/>
  <c r="G198" i="79"/>
  <c r="G194" i="79"/>
  <c r="G190" i="79"/>
  <c r="G186" i="79"/>
  <c r="G182" i="79"/>
  <c r="G178" i="79"/>
  <c r="G174" i="79"/>
  <c r="G167" i="79"/>
  <c r="G159" i="79"/>
  <c r="G151" i="79"/>
  <c r="G143" i="79"/>
  <c r="G135" i="79"/>
  <c r="G127" i="79"/>
  <c r="G119" i="79"/>
  <c r="G111" i="79"/>
  <c r="G103" i="79"/>
  <c r="G95" i="79"/>
  <c r="G87" i="79"/>
  <c r="G79" i="79"/>
  <c r="G71" i="79"/>
  <c r="G63" i="79"/>
  <c r="G55" i="79"/>
  <c r="G47" i="79"/>
  <c r="G39" i="79"/>
  <c r="G31" i="79"/>
  <c r="G23" i="79"/>
  <c r="G15" i="79"/>
  <c r="G7" i="79"/>
  <c r="G287" i="79"/>
  <c r="G283" i="79"/>
  <c r="G279" i="79"/>
  <c r="G275" i="79"/>
  <c r="G271" i="79"/>
  <c r="G267" i="79"/>
  <c r="G263" i="79"/>
  <c r="G259" i="79"/>
  <c r="G255" i="79"/>
  <c r="G251" i="79"/>
  <c r="G247" i="79"/>
  <c r="G243" i="79"/>
  <c r="G239" i="79"/>
  <c r="G235" i="79"/>
  <c r="G231" i="79"/>
  <c r="G227" i="79"/>
  <c r="G223" i="79"/>
  <c r="G219" i="79"/>
  <c r="G215" i="79"/>
  <c r="G211" i="79"/>
  <c r="G207" i="79"/>
  <c r="G203" i="79"/>
  <c r="G199" i="79"/>
  <c r="G195" i="79"/>
  <c r="G191" i="79"/>
  <c r="G187" i="79"/>
  <c r="G183" i="79"/>
  <c r="G179" i="79"/>
  <c r="G175" i="79"/>
  <c r="G169" i="79"/>
  <c r="G161" i="79"/>
  <c r="G153" i="79"/>
  <c r="G145" i="79"/>
  <c r="G137" i="79"/>
  <c r="G129" i="79"/>
  <c r="G121" i="79"/>
  <c r="G113" i="79"/>
  <c r="G105" i="79"/>
  <c r="G97" i="79"/>
  <c r="G89" i="79"/>
  <c r="G81" i="79"/>
  <c r="G73" i="79"/>
  <c r="G65" i="79"/>
  <c r="G57" i="79"/>
  <c r="G49" i="79"/>
  <c r="G41" i="79"/>
  <c r="G33" i="79"/>
  <c r="G25" i="79"/>
  <c r="G17" i="79"/>
  <c r="G9" i="79"/>
  <c r="G172" i="79"/>
  <c r="G168" i="79"/>
  <c r="G164" i="79"/>
  <c r="G160" i="79"/>
  <c r="G156" i="79"/>
  <c r="G152" i="79"/>
  <c r="G148" i="79"/>
  <c r="G144" i="79"/>
  <c r="G140" i="79"/>
  <c r="G136" i="79"/>
  <c r="G132" i="79"/>
  <c r="G128" i="79"/>
  <c r="G124" i="79"/>
  <c r="G120" i="79"/>
  <c r="G116" i="79"/>
  <c r="G112" i="79"/>
  <c r="G108" i="79"/>
  <c r="G104" i="79"/>
  <c r="G100" i="79"/>
  <c r="G96" i="79"/>
  <c r="G92" i="79"/>
  <c r="G88" i="79"/>
  <c r="G84" i="79"/>
  <c r="G80" i="79"/>
  <c r="G76" i="79"/>
  <c r="G72" i="79"/>
  <c r="G68" i="79"/>
  <c r="G64" i="79"/>
  <c r="G60" i="79"/>
  <c r="G56" i="79"/>
  <c r="G52" i="79"/>
  <c r="G48" i="79"/>
  <c r="G44" i="79"/>
  <c r="G40" i="79"/>
  <c r="G36" i="79"/>
  <c r="G32" i="79"/>
  <c r="G28" i="79"/>
  <c r="G24" i="79"/>
  <c r="G20" i="79"/>
  <c r="G16" i="79"/>
  <c r="G12" i="79"/>
  <c r="G8" i="79"/>
  <c r="G4" i="79"/>
  <c r="G288" i="79"/>
  <c r="G280" i="79"/>
  <c r="G272" i="79"/>
  <c r="G264" i="79"/>
  <c r="G256" i="79"/>
  <c r="G248" i="79"/>
  <c r="G240" i="79"/>
  <c r="G232" i="79"/>
  <c r="G224" i="79"/>
  <c r="G282" i="79"/>
  <c r="G274" i="79"/>
  <c r="G266" i="79"/>
  <c r="G258" i="79"/>
  <c r="G250" i="79"/>
  <c r="G242" i="79"/>
  <c r="G234" i="79"/>
  <c r="G226" i="79"/>
  <c r="G220" i="79"/>
  <c r="G216" i="79"/>
  <c r="G212" i="79"/>
  <c r="G208" i="79"/>
  <c r="G204" i="79"/>
  <c r="G200" i="79"/>
  <c r="G196" i="79"/>
  <c r="G192" i="79"/>
  <c r="G188" i="79"/>
  <c r="G184" i="79"/>
  <c r="G180" i="79"/>
  <c r="G176" i="79"/>
  <c r="G171" i="79"/>
  <c r="G163" i="79"/>
  <c r="G155" i="79"/>
  <c r="G147" i="79"/>
  <c r="G139" i="79"/>
  <c r="G131" i="79"/>
  <c r="G123" i="79"/>
  <c r="G115" i="79"/>
  <c r="G107" i="79"/>
  <c r="G99" i="79"/>
  <c r="G91" i="79"/>
  <c r="G83" i="79"/>
  <c r="G75" i="79"/>
  <c r="G67" i="79"/>
  <c r="G59" i="79"/>
  <c r="G51" i="79"/>
  <c r="G43" i="79"/>
  <c r="G35" i="79"/>
  <c r="G27" i="79"/>
  <c r="G19" i="79"/>
  <c r="G11" i="79"/>
  <c r="G285" i="79"/>
  <c r="G281" i="79"/>
  <c r="G277" i="79"/>
  <c r="G273" i="79"/>
  <c r="G269" i="79"/>
  <c r="G265" i="79"/>
  <c r="G261" i="79"/>
  <c r="G257" i="79"/>
  <c r="G253" i="79"/>
  <c r="G249" i="79"/>
  <c r="G245" i="79"/>
  <c r="G241" i="79"/>
  <c r="G237" i="79"/>
  <c r="G233" i="79"/>
  <c r="G229" i="79"/>
  <c r="G225" i="79"/>
  <c r="G221" i="79"/>
  <c r="G217" i="79"/>
  <c r="G213" i="79"/>
  <c r="G209" i="79"/>
  <c r="G205" i="79"/>
  <c r="G201" i="79"/>
  <c r="G197" i="79"/>
  <c r="G193" i="79"/>
  <c r="G189" i="79"/>
  <c r="G185" i="79"/>
  <c r="G181" i="79"/>
  <c r="G177" i="79"/>
  <c r="G173" i="79"/>
  <c r="G165" i="79"/>
  <c r="G157" i="79"/>
  <c r="G149" i="79"/>
  <c r="G141" i="79"/>
  <c r="G133" i="79"/>
  <c r="G125" i="79"/>
  <c r="G117" i="79"/>
  <c r="G109" i="79"/>
  <c r="G101" i="79"/>
  <c r="G93" i="79"/>
  <c r="G85" i="79"/>
  <c r="G77" i="79"/>
  <c r="G69" i="79"/>
  <c r="G61" i="79"/>
  <c r="G53" i="79"/>
  <c r="G45" i="79"/>
  <c r="G37" i="79"/>
  <c r="G29" i="79"/>
  <c r="G21" i="79"/>
  <c r="G13" i="79"/>
  <c r="G5" i="79"/>
  <c r="G170" i="79"/>
  <c r="G166" i="79"/>
  <c r="G162" i="79"/>
  <c r="G158" i="79"/>
  <c r="G154" i="79"/>
  <c r="G150" i="79"/>
  <c r="G146" i="79"/>
  <c r="G142" i="79"/>
  <c r="G138" i="79"/>
  <c r="G134" i="79"/>
  <c r="G130" i="79"/>
  <c r="G126" i="79"/>
  <c r="G122" i="79"/>
  <c r="G118" i="79"/>
  <c r="G114" i="79"/>
  <c r="G110" i="79"/>
  <c r="G106" i="79"/>
  <c r="G102" i="79"/>
  <c r="G98" i="79"/>
  <c r="G94" i="79"/>
  <c r="G90" i="79"/>
  <c r="G86" i="79"/>
  <c r="G82" i="79"/>
  <c r="G78" i="79"/>
  <c r="G74" i="79"/>
  <c r="G70" i="79"/>
  <c r="G66" i="79"/>
  <c r="G62" i="79"/>
  <c r="G58" i="79"/>
  <c r="G54" i="79"/>
  <c r="G50" i="79"/>
  <c r="G46" i="79"/>
  <c r="G42" i="79"/>
  <c r="G38" i="79"/>
  <c r="G34" i="79"/>
  <c r="G30" i="79"/>
  <c r="G26" i="79"/>
  <c r="G22" i="79"/>
  <c r="G18" i="79"/>
  <c r="G14" i="79"/>
  <c r="G10" i="79"/>
  <c r="G894" i="79"/>
  <c r="G888" i="79"/>
  <c r="G896" i="79"/>
  <c r="G882" i="79"/>
  <c r="G890" i="79"/>
  <c r="G898" i="79"/>
  <c r="G884" i="79"/>
  <c r="G892" i="79"/>
  <c r="G900" i="79"/>
  <c r="G901" i="79"/>
  <c r="G897" i="79"/>
  <c r="G893" i="79"/>
  <c r="G889" i="79"/>
  <c r="G885" i="79"/>
  <c r="G881" i="79"/>
  <c r="G877" i="79"/>
  <c r="G873" i="79"/>
  <c r="G869" i="79"/>
  <c r="G865" i="79"/>
  <c r="G861" i="79"/>
  <c r="G857" i="79"/>
  <c r="G853" i="79"/>
  <c r="G849" i="79"/>
  <c r="G845" i="79"/>
  <c r="G841" i="79"/>
  <c r="G837" i="79"/>
  <c r="G833" i="79"/>
  <c r="G829" i="79"/>
  <c r="G825" i="79"/>
  <c r="G821" i="79"/>
  <c r="G817" i="79"/>
  <c r="G813" i="79"/>
  <c r="G809" i="79"/>
  <c r="G805" i="79"/>
  <c r="G799" i="79"/>
  <c r="G791" i="79"/>
  <c r="G783" i="79"/>
  <c r="G775" i="79"/>
  <c r="G767" i="79"/>
  <c r="G759" i="79"/>
  <c r="G751" i="79"/>
  <c r="G743" i="79"/>
  <c r="G735" i="79"/>
  <c r="G727" i="79"/>
  <c r="G719" i="79"/>
  <c r="G711" i="79"/>
  <c r="G703" i="79"/>
  <c r="G695" i="79"/>
  <c r="G687" i="79"/>
  <c r="G679" i="79"/>
  <c r="G671" i="79"/>
  <c r="G663" i="79"/>
  <c r="G655" i="79"/>
  <c r="G647" i="79"/>
  <c r="G639" i="79"/>
  <c r="G631" i="79"/>
  <c r="G623" i="79"/>
  <c r="G878" i="79"/>
  <c r="G874" i="79"/>
  <c r="G870" i="79"/>
  <c r="G866" i="79"/>
  <c r="G862" i="79"/>
  <c r="G858" i="79"/>
  <c r="G854" i="79"/>
  <c r="G850" i="79"/>
  <c r="G846" i="79"/>
  <c r="G842" i="79"/>
  <c r="G838" i="79"/>
  <c r="G834" i="79"/>
  <c r="G830" i="79"/>
  <c r="G826" i="79"/>
  <c r="G822" i="79"/>
  <c r="G818" i="79"/>
  <c r="G814" i="79"/>
  <c r="G810" i="79"/>
  <c r="G806" i="79"/>
  <c r="G801" i="79"/>
  <c r="G793" i="79"/>
  <c r="G785" i="79"/>
  <c r="G777" i="79"/>
  <c r="G769" i="79"/>
  <c r="G761" i="79"/>
  <c r="G753" i="79"/>
  <c r="G745" i="79"/>
  <c r="G737" i="79"/>
  <c r="G729" i="79"/>
  <c r="G721" i="79"/>
  <c r="G713" i="79"/>
  <c r="G705" i="79"/>
  <c r="G697" i="79"/>
  <c r="G689" i="79"/>
  <c r="G681" i="79"/>
  <c r="G673" i="79"/>
  <c r="G665" i="79"/>
  <c r="G657" i="79"/>
  <c r="G649" i="79"/>
  <c r="G641" i="79"/>
  <c r="G633" i="79"/>
  <c r="G625" i="79"/>
  <c r="G802" i="79"/>
  <c r="G798" i="79"/>
  <c r="G794" i="79"/>
  <c r="G790" i="79"/>
  <c r="G786" i="79"/>
  <c r="G782" i="79"/>
  <c r="G778" i="79"/>
  <c r="G774" i="79"/>
  <c r="G770" i="79"/>
  <c r="G766" i="79"/>
  <c r="G762" i="79"/>
  <c r="G758" i="79"/>
  <c r="G754" i="79"/>
  <c r="G750" i="79"/>
  <c r="G746" i="79"/>
  <c r="G742" i="79"/>
  <c r="G738" i="79"/>
  <c r="G734" i="79"/>
  <c r="G730" i="79"/>
  <c r="G726" i="79"/>
  <c r="G722" i="79"/>
  <c r="G718" i="79"/>
  <c r="G714" i="79"/>
  <c r="G710" i="79"/>
  <c r="G706" i="79"/>
  <c r="G702" i="79"/>
  <c r="G698" i="79"/>
  <c r="G694" i="79"/>
  <c r="G690" i="79"/>
  <c r="G686" i="79"/>
  <c r="G682" i="79"/>
  <c r="G678" i="79"/>
  <c r="G674" i="79"/>
  <c r="G670" i="79"/>
  <c r="G666" i="79"/>
  <c r="G662" i="79"/>
  <c r="G298" i="79"/>
  <c r="G302" i="79"/>
  <c r="G306" i="79"/>
  <c r="G310" i="79"/>
  <c r="G315" i="79"/>
  <c r="G319" i="79"/>
  <c r="G323" i="79"/>
  <c r="G327" i="79"/>
  <c r="G331" i="79"/>
  <c r="G335" i="79"/>
  <c r="G339" i="79"/>
  <c r="G343" i="79"/>
  <c r="G347" i="79"/>
  <c r="G351" i="79"/>
  <c r="G355" i="79"/>
  <c r="G359" i="79"/>
  <c r="G363" i="79"/>
  <c r="G367" i="79"/>
  <c r="G371" i="79"/>
  <c r="G375" i="79"/>
  <c r="G379" i="79"/>
  <c r="G383" i="79"/>
  <c r="G387" i="79"/>
  <c r="G391" i="79"/>
  <c r="G395" i="79"/>
  <c r="G399" i="79"/>
  <c r="G403" i="79"/>
  <c r="G407" i="79"/>
  <c r="G411" i="79"/>
  <c r="G415" i="79"/>
  <c r="G419" i="79"/>
  <c r="G423" i="79"/>
  <c r="G427" i="79"/>
  <c r="G431" i="79"/>
  <c r="G435" i="79"/>
  <c r="G439" i="79"/>
  <c r="G443" i="79"/>
  <c r="G447" i="79"/>
  <c r="G451" i="79"/>
  <c r="G455" i="79"/>
  <c r="G459" i="79"/>
  <c r="G299" i="79"/>
  <c r="G303" i="79"/>
  <c r="G307" i="79"/>
  <c r="G316" i="79"/>
  <c r="G320" i="79"/>
  <c r="G324" i="79"/>
  <c r="G328" i="79"/>
  <c r="G332" i="79"/>
  <c r="G336" i="79"/>
  <c r="G340" i="79"/>
  <c r="G344" i="79"/>
  <c r="G348" i="79"/>
  <c r="G352" i="79"/>
  <c r="G356" i="79"/>
  <c r="G360" i="79"/>
  <c r="G364" i="79"/>
  <c r="G368" i="79"/>
  <c r="G372" i="79"/>
  <c r="G376" i="79"/>
  <c r="G380" i="79"/>
  <c r="G384" i="79"/>
  <c r="G388" i="79"/>
  <c r="G392" i="79"/>
  <c r="G396" i="79"/>
  <c r="G400" i="79"/>
  <c r="G404" i="79"/>
  <c r="G408" i="79"/>
  <c r="G412" i="79"/>
  <c r="G416" i="79"/>
  <c r="G420" i="79"/>
  <c r="G424" i="79"/>
  <c r="G428" i="79"/>
  <c r="G432" i="79"/>
  <c r="G436" i="79"/>
  <c r="G440" i="79"/>
  <c r="G444" i="79"/>
  <c r="G448" i="79"/>
  <c r="G452" i="79"/>
  <c r="G456" i="79"/>
  <c r="G460" i="79"/>
  <c r="G463" i="79"/>
  <c r="G467" i="79"/>
  <c r="G471" i="79"/>
  <c r="G475" i="79"/>
  <c r="G479" i="79"/>
  <c r="G483" i="79"/>
  <c r="G487" i="79"/>
  <c r="G491" i="79"/>
  <c r="G495" i="79"/>
  <c r="G499" i="79"/>
  <c r="G503" i="79"/>
  <c r="G507" i="79"/>
  <c r="G511" i="79"/>
  <c r="G515" i="79"/>
  <c r="G519" i="79"/>
  <c r="G523" i="79"/>
  <c r="G527" i="79"/>
  <c r="G531" i="79"/>
  <c r="G535" i="79"/>
  <c r="G539" i="79"/>
  <c r="G543" i="79"/>
  <c r="G547" i="79"/>
  <c r="G551" i="79"/>
  <c r="G555" i="79"/>
  <c r="G559" i="79"/>
  <c r="G563" i="79"/>
  <c r="G567" i="79"/>
  <c r="G571" i="79"/>
  <c r="G575" i="79"/>
  <c r="G579" i="79"/>
  <c r="G583" i="79"/>
  <c r="G587" i="79"/>
  <c r="G591" i="79"/>
  <c r="G595" i="79"/>
  <c r="G599" i="79"/>
  <c r="G603" i="79"/>
  <c r="G607" i="79"/>
  <c r="G611" i="79"/>
  <c r="G615" i="79"/>
  <c r="G619" i="79"/>
  <c r="G466" i="79"/>
  <c r="G470" i="79"/>
  <c r="G474" i="79"/>
  <c r="G478" i="79"/>
  <c r="G482" i="79"/>
  <c r="G486" i="79"/>
  <c r="G490" i="79"/>
  <c r="G494" i="79"/>
  <c r="G498" i="79"/>
  <c r="G502" i="79"/>
  <c r="G506" i="79"/>
  <c r="G510" i="79"/>
  <c r="G514" i="79"/>
  <c r="G518" i="79"/>
  <c r="G522" i="79"/>
  <c r="G526" i="79"/>
  <c r="G530" i="79"/>
  <c r="G534" i="79"/>
  <c r="G538" i="79"/>
  <c r="G542" i="79"/>
  <c r="G546" i="79"/>
  <c r="G550" i="79"/>
  <c r="G554" i="79"/>
  <c r="G558" i="79"/>
  <c r="G562" i="79"/>
  <c r="G566" i="79"/>
  <c r="G570" i="79"/>
  <c r="G574" i="79"/>
  <c r="G578" i="79"/>
  <c r="G582" i="79"/>
  <c r="G586" i="79"/>
  <c r="G590" i="79"/>
  <c r="G594" i="79"/>
  <c r="G598" i="79"/>
  <c r="G602" i="79"/>
  <c r="G606" i="79"/>
  <c r="G610" i="79"/>
  <c r="G614" i="79"/>
  <c r="G618" i="79"/>
  <c r="G622" i="79"/>
  <c r="G626" i="79"/>
  <c r="G630" i="79"/>
  <c r="G634" i="79"/>
  <c r="G638" i="79"/>
  <c r="G642" i="79"/>
  <c r="G646" i="79"/>
  <c r="G296" i="79"/>
  <c r="G300" i="79"/>
  <c r="G304" i="79"/>
  <c r="G308" i="79"/>
  <c r="G313" i="79"/>
  <c r="G317" i="79"/>
  <c r="G321" i="79"/>
  <c r="G325" i="79"/>
  <c r="G329" i="79"/>
  <c r="G333" i="79"/>
  <c r="G337" i="79"/>
  <c r="G341" i="79"/>
  <c r="G345" i="79"/>
  <c r="G349" i="79"/>
  <c r="G353" i="79"/>
  <c r="G357" i="79"/>
  <c r="G361" i="79"/>
  <c r="G365" i="79"/>
  <c r="G369" i="79"/>
  <c r="G373" i="79"/>
  <c r="G377" i="79"/>
  <c r="G381" i="79"/>
  <c r="G385" i="79"/>
  <c r="G389" i="79"/>
  <c r="G393" i="79"/>
  <c r="G397" i="79"/>
  <c r="G401" i="79"/>
  <c r="G405" i="79"/>
  <c r="G409" i="79"/>
  <c r="G413" i="79"/>
  <c r="G417" i="79"/>
  <c r="G421" i="79"/>
  <c r="G425" i="79"/>
  <c r="G429" i="79"/>
  <c r="G433" i="79"/>
  <c r="G437" i="79"/>
  <c r="G441" i="79"/>
  <c r="G445" i="79"/>
  <c r="G449" i="79"/>
  <c r="G453" i="79"/>
  <c r="G457" i="79"/>
  <c r="G461" i="79"/>
  <c r="G297" i="79"/>
  <c r="G301" i="79"/>
  <c r="G305" i="79"/>
  <c r="G309" i="79"/>
  <c r="G314" i="79"/>
  <c r="G318" i="79"/>
  <c r="G322" i="79"/>
  <c r="G326" i="79"/>
  <c r="G330" i="79"/>
  <c r="G334" i="79"/>
  <c r="G338" i="79"/>
  <c r="G342" i="79"/>
  <c r="G346" i="79"/>
  <c r="G350" i="79"/>
  <c r="G354" i="79"/>
  <c r="G358" i="79"/>
  <c r="G362" i="79"/>
  <c r="G366" i="79"/>
  <c r="G370" i="79"/>
  <c r="G374" i="79"/>
  <c r="G382" i="79"/>
  <c r="G386" i="79"/>
  <c r="G390" i="79"/>
  <c r="G394" i="79"/>
  <c r="G398" i="79"/>
  <c r="G402" i="79"/>
  <c r="G406" i="79"/>
  <c r="G410" i="79"/>
  <c r="G414" i="79"/>
  <c r="G418" i="79"/>
  <c r="G422" i="79"/>
  <c r="G426" i="79"/>
  <c r="G430" i="79"/>
  <c r="G434" i="79"/>
  <c r="G438" i="79"/>
  <c r="G442" i="79"/>
  <c r="G446" i="79"/>
  <c r="G450" i="79"/>
  <c r="G454" i="79"/>
  <c r="G458" i="79"/>
  <c r="G462" i="79"/>
  <c r="G465" i="79"/>
  <c r="G469" i="79"/>
  <c r="G473" i="79"/>
  <c r="G477" i="79"/>
  <c r="G481" i="79"/>
  <c r="G485" i="79"/>
  <c r="G489" i="79"/>
  <c r="G493" i="79"/>
  <c r="G497" i="79"/>
  <c r="G501" i="79"/>
  <c r="G505" i="79"/>
  <c r="G509" i="79"/>
  <c r="G513" i="79"/>
  <c r="G517" i="79"/>
  <c r="G521" i="79"/>
  <c r="G525" i="79"/>
  <c r="G529" i="79"/>
  <c r="G533" i="79"/>
  <c r="G537" i="79"/>
  <c r="G541" i="79"/>
  <c r="G545" i="79"/>
  <c r="G549" i="79"/>
  <c r="G553" i="79"/>
  <c r="G557" i="79"/>
  <c r="G561" i="79"/>
  <c r="G565" i="79"/>
  <c r="G569" i="79"/>
  <c r="G573" i="79"/>
  <c r="G577" i="79"/>
  <c r="G581" i="79"/>
  <c r="G585" i="79"/>
  <c r="G589" i="79"/>
  <c r="G593" i="79"/>
  <c r="G597" i="79"/>
  <c r="G601" i="79"/>
  <c r="G605" i="79"/>
  <c r="G609" i="79"/>
  <c r="G613" i="79"/>
  <c r="G617" i="79"/>
  <c r="G464" i="79"/>
  <c r="G468" i="79"/>
  <c r="G472" i="79"/>
  <c r="G476" i="79"/>
  <c r="G480" i="79"/>
  <c r="G484" i="79"/>
  <c r="G488" i="79"/>
  <c r="G492" i="79"/>
  <c r="G496" i="79"/>
  <c r="G500" i="79"/>
  <c r="G504" i="79"/>
  <c r="G508" i="79"/>
  <c r="G512" i="79"/>
  <c r="G516" i="79"/>
  <c r="G520" i="79"/>
  <c r="G524" i="79"/>
  <c r="G528" i="79"/>
  <c r="G532" i="79"/>
  <c r="G536" i="79"/>
  <c r="G540" i="79"/>
  <c r="G544" i="79"/>
  <c r="G548" i="79"/>
  <c r="G552" i="79"/>
  <c r="G556" i="79"/>
  <c r="G560" i="79"/>
  <c r="G564" i="79"/>
  <c r="G568" i="79"/>
  <c r="G572" i="79"/>
  <c r="G576" i="79"/>
  <c r="G580" i="79"/>
  <c r="G584" i="79"/>
  <c r="G588" i="79"/>
  <c r="G592" i="79"/>
  <c r="G596" i="79"/>
  <c r="G600" i="79"/>
  <c r="G604" i="79"/>
  <c r="G608" i="79"/>
  <c r="G612" i="79"/>
  <c r="G616" i="79"/>
  <c r="G620" i="79"/>
  <c r="G624" i="79"/>
  <c r="G628" i="79"/>
  <c r="G632" i="79"/>
  <c r="G636" i="79"/>
  <c r="G640" i="79"/>
  <c r="G644" i="79"/>
  <c r="G648" i="79"/>
  <c r="G652" i="79"/>
  <c r="G656" i="79"/>
  <c r="G660" i="79"/>
  <c r="A3" i="3"/>
  <c r="G903" i="79"/>
  <c r="G899" i="79"/>
  <c r="G895" i="79"/>
  <c r="G891" i="79"/>
  <c r="G887" i="79"/>
  <c r="G883" i="79"/>
  <c r="G879" i="79"/>
  <c r="G875" i="79"/>
  <c r="G871" i="79"/>
  <c r="G867" i="79"/>
  <c r="G863" i="79"/>
  <c r="G859" i="79"/>
  <c r="G855" i="79"/>
  <c r="G851" i="79"/>
  <c r="G847" i="79"/>
  <c r="G843" i="79"/>
  <c r="G839" i="79"/>
  <c r="G835" i="79"/>
  <c r="G831" i="79"/>
  <c r="G827" i="79"/>
  <c r="G823" i="79"/>
  <c r="G819" i="79"/>
  <c r="G815" i="79"/>
  <c r="G811" i="79"/>
  <c r="G807" i="79"/>
  <c r="G803" i="79"/>
  <c r="G795" i="79"/>
  <c r="G787" i="79"/>
  <c r="G779" i="79"/>
  <c r="G771" i="79"/>
  <c r="G763" i="79"/>
  <c r="G755" i="79"/>
  <c r="G747" i="79"/>
  <c r="G739" i="79"/>
  <c r="G731" i="79"/>
  <c r="G723" i="79"/>
  <c r="G715" i="79"/>
  <c r="G707" i="79"/>
  <c r="G699" i="79"/>
  <c r="G691" i="79"/>
  <c r="G683" i="79"/>
  <c r="G675" i="79"/>
  <c r="G667" i="79"/>
  <c r="G659" i="79"/>
  <c r="G651" i="79"/>
  <c r="G643" i="79"/>
  <c r="G635" i="79"/>
  <c r="G627" i="79"/>
  <c r="G880" i="79"/>
  <c r="G876" i="79"/>
  <c r="G872" i="79"/>
  <c r="G868" i="79"/>
  <c r="G864" i="79"/>
  <c r="G860" i="79"/>
  <c r="G856" i="79"/>
  <c r="G852" i="79"/>
  <c r="G848" i="79"/>
  <c r="G844" i="79"/>
  <c r="G840" i="79"/>
  <c r="G836" i="79"/>
  <c r="G832" i="79"/>
  <c r="G828" i="79"/>
  <c r="G824" i="79"/>
  <c r="G820" i="79"/>
  <c r="G816" i="79"/>
  <c r="G812" i="79"/>
  <c r="G808" i="79"/>
  <c r="G804" i="79"/>
  <c r="G797" i="79"/>
  <c r="G789" i="79"/>
  <c r="G781" i="79"/>
  <c r="G773" i="79"/>
  <c r="G765" i="79"/>
  <c r="G757" i="79"/>
  <c r="G749" i="79"/>
  <c r="G741" i="79"/>
  <c r="G733" i="79"/>
  <c r="G725" i="79"/>
  <c r="G717" i="79"/>
  <c r="G709" i="79"/>
  <c r="G701" i="79"/>
  <c r="G693" i="79"/>
  <c r="G685" i="79"/>
  <c r="G677" i="79"/>
  <c r="G669" i="79"/>
  <c r="G661" i="79"/>
  <c r="G653" i="79"/>
  <c r="G645" i="79"/>
  <c r="G637" i="79"/>
  <c r="G629" i="79"/>
  <c r="G621" i="79"/>
  <c r="G800" i="79"/>
  <c r="G796" i="79"/>
  <c r="G792" i="79"/>
  <c r="G788" i="79"/>
  <c r="G784" i="79"/>
  <c r="G780" i="79"/>
  <c r="G776" i="79"/>
  <c r="G772" i="79"/>
  <c r="G768" i="79"/>
  <c r="G764" i="79"/>
  <c r="G760" i="79"/>
  <c r="G756" i="79"/>
  <c r="G752" i="79"/>
  <c r="G748" i="79"/>
  <c r="G744" i="79"/>
  <c r="G740" i="79"/>
  <c r="G736" i="79"/>
  <c r="G732" i="79"/>
  <c r="G728" i="79"/>
  <c r="G724" i="79"/>
  <c r="G720" i="79"/>
  <c r="G716" i="79"/>
  <c r="G712" i="79"/>
  <c r="G708" i="79"/>
  <c r="G704" i="79"/>
  <c r="G700" i="79"/>
  <c r="G696" i="79"/>
  <c r="G692" i="79"/>
  <c r="G688" i="79"/>
  <c r="G684" i="79"/>
  <c r="G680" i="79"/>
  <c r="G676" i="79"/>
  <c r="G672" i="79"/>
  <c r="G668" i="79"/>
  <c r="G664" i="79"/>
  <c r="G658" i="79"/>
  <c r="G650" i="79"/>
  <c r="I29" i="35"/>
  <c r="G29" i="35"/>
  <c r="E29" i="35"/>
  <c r="N13" i="80"/>
  <c r="N12" i="80"/>
  <c r="N11" i="80"/>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A525" i="31"/>
  <c r="E525" i="31"/>
  <c r="G525" i="31"/>
  <c r="I525" i="31"/>
  <c r="K525" i="31"/>
  <c r="M525" i="31"/>
  <c r="O525" i="31"/>
  <c r="Q525" i="31"/>
  <c r="A526" i="31"/>
  <c r="E526" i="31"/>
  <c r="G526" i="31"/>
  <c r="I526" i="31"/>
  <c r="K526" i="31"/>
  <c r="M526" i="31"/>
  <c r="O526" i="31"/>
  <c r="Q526" i="31"/>
  <c r="A527" i="31"/>
  <c r="E527" i="31"/>
  <c r="G527" i="31"/>
  <c r="I527" i="31"/>
  <c r="K527" i="31"/>
  <c r="M527" i="31"/>
  <c r="O527" i="31"/>
  <c r="Q527" i="31"/>
  <c r="A528" i="31"/>
  <c r="E528" i="31"/>
  <c r="G528" i="31"/>
  <c r="I528" i="31"/>
  <c r="K528" i="31"/>
  <c r="M528" i="31"/>
  <c r="O528" i="31"/>
  <c r="Q528" i="31"/>
  <c r="A529" i="31"/>
  <c r="E529" i="31"/>
  <c r="G529" i="31"/>
  <c r="I529" i="31"/>
  <c r="K529" i="31"/>
  <c r="M529" i="31"/>
  <c r="O529" i="31"/>
  <c r="Q529" i="31"/>
  <c r="A530" i="31"/>
  <c r="E530" i="31"/>
  <c r="G530" i="31"/>
  <c r="I530" i="31"/>
  <c r="K530" i="31"/>
  <c r="M530" i="31"/>
  <c r="O530" i="31"/>
  <c r="Q530" i="31"/>
  <c r="A531" i="31"/>
  <c r="E531" i="31"/>
  <c r="G531" i="31"/>
  <c r="I531" i="31"/>
  <c r="K531" i="31"/>
  <c r="M531" i="31"/>
  <c r="O531" i="31"/>
  <c r="Q531" i="31"/>
  <c r="A532" i="31"/>
  <c r="E532" i="31"/>
  <c r="G532" i="31"/>
  <c r="I532" i="31"/>
  <c r="K532" i="31"/>
  <c r="M532" i="31"/>
  <c r="O532" i="31"/>
  <c r="Q532" i="31"/>
  <c r="A533" i="31"/>
  <c r="E533" i="31"/>
  <c r="G533" i="31"/>
  <c r="I533" i="31"/>
  <c r="K533" i="31"/>
  <c r="M533" i="31"/>
  <c r="O533" i="31"/>
  <c r="Q533" i="31"/>
  <c r="A534" i="31"/>
  <c r="E534" i="31"/>
  <c r="G534" i="31"/>
  <c r="I534" i="31"/>
  <c r="K534" i="31"/>
  <c r="M534" i="31"/>
  <c r="O534" i="31"/>
  <c r="Q534" i="31"/>
  <c r="A535" i="31"/>
  <c r="E535" i="31"/>
  <c r="G535" i="31"/>
  <c r="I535" i="31"/>
  <c r="K535" i="31"/>
  <c r="M535" i="31"/>
  <c r="O535" i="31"/>
  <c r="Q535" i="31"/>
  <c r="A536" i="31"/>
  <c r="E536" i="31"/>
  <c r="G536" i="31"/>
  <c r="I536" i="31"/>
  <c r="K536" i="31"/>
  <c r="M536" i="31"/>
  <c r="O536" i="31"/>
  <c r="Q536" i="31"/>
  <c r="A537" i="31"/>
  <c r="E537" i="31"/>
  <c r="G537" i="31"/>
  <c r="I537" i="31"/>
  <c r="K537" i="31"/>
  <c r="M537" i="31"/>
  <c r="O537" i="31"/>
  <c r="Q537" i="31"/>
  <c r="A538" i="31"/>
  <c r="E538" i="31"/>
  <c r="G538" i="31"/>
  <c r="I538" i="31"/>
  <c r="K538" i="31"/>
  <c r="M538" i="31"/>
  <c r="O538" i="31"/>
  <c r="Q538" i="31"/>
  <c r="A539" i="31"/>
  <c r="E539" i="31"/>
  <c r="G539" i="31"/>
  <c r="I539" i="31"/>
  <c r="K539" i="31"/>
  <c r="M539" i="31"/>
  <c r="O539" i="31"/>
  <c r="Q539" i="31"/>
  <c r="A540" i="31"/>
  <c r="E540" i="31"/>
  <c r="G540" i="31"/>
  <c r="I540" i="31"/>
  <c r="K540" i="31"/>
  <c r="M540" i="31"/>
  <c r="O540" i="31"/>
  <c r="Q540" i="31"/>
  <c r="A541" i="31"/>
  <c r="E541" i="31"/>
  <c r="G541" i="31"/>
  <c r="I541" i="31"/>
  <c r="K541" i="31"/>
  <c r="M541" i="31"/>
  <c r="O541" i="31"/>
  <c r="Q541" i="31"/>
  <c r="A542" i="31"/>
  <c r="E542" i="31"/>
  <c r="G542" i="31"/>
  <c r="I542" i="31"/>
  <c r="K542" i="31"/>
  <c r="M542" i="31"/>
  <c r="O542" i="31"/>
  <c r="Q542" i="31"/>
  <c r="A543" i="31"/>
  <c r="E543" i="31"/>
  <c r="G543" i="31"/>
  <c r="I543" i="31"/>
  <c r="K543" i="31"/>
  <c r="M543" i="31"/>
  <c r="O543" i="31"/>
  <c r="Q543" i="31"/>
  <c r="A544" i="31"/>
  <c r="E544" i="31"/>
  <c r="G544" i="31"/>
  <c r="I544" i="31"/>
  <c r="K544" i="31"/>
  <c r="M544" i="31"/>
  <c r="O544" i="31"/>
  <c r="Q544" i="31"/>
  <c r="A545" i="31"/>
  <c r="E545" i="31"/>
  <c r="G545" i="31"/>
  <c r="I545" i="31"/>
  <c r="K545" i="31"/>
  <c r="M545" i="31"/>
  <c r="O545" i="31"/>
  <c r="Q545" i="31"/>
  <c r="A546" i="31"/>
  <c r="E546" i="31"/>
  <c r="G546" i="31"/>
  <c r="I546" i="31"/>
  <c r="K546" i="31"/>
  <c r="M546" i="31"/>
  <c r="O546" i="31"/>
  <c r="Q546" i="31"/>
  <c r="A547" i="31"/>
  <c r="E547" i="31"/>
  <c r="G547" i="31"/>
  <c r="I547" i="31"/>
  <c r="K547" i="31"/>
  <c r="M547" i="31"/>
  <c r="O547" i="31"/>
  <c r="Q547" i="31"/>
  <c r="A548" i="31"/>
  <c r="E548" i="31"/>
  <c r="G548" i="31"/>
  <c r="I548" i="31"/>
  <c r="K548" i="31"/>
  <c r="M548" i="31"/>
  <c r="O548" i="31"/>
  <c r="Q548" i="31"/>
  <c r="A549" i="31"/>
  <c r="E549" i="31"/>
  <c r="G549" i="31"/>
  <c r="I549" i="31"/>
  <c r="K549" i="31"/>
  <c r="M549" i="31"/>
  <c r="O549" i="31"/>
  <c r="Q549" i="31"/>
  <c r="A550" i="31"/>
  <c r="E550" i="31"/>
  <c r="G550" i="31"/>
  <c r="I550" i="31"/>
  <c r="K550" i="31"/>
  <c r="M550" i="31"/>
  <c r="O550" i="31"/>
  <c r="Q550" i="31"/>
  <c r="A551" i="31"/>
  <c r="E551" i="31"/>
  <c r="G551" i="31"/>
  <c r="I551" i="31"/>
  <c r="K551" i="31"/>
  <c r="M551" i="31"/>
  <c r="O551" i="31"/>
  <c r="Q551" i="31"/>
  <c r="A552" i="31"/>
  <c r="E552" i="31"/>
  <c r="G552" i="31"/>
  <c r="I552" i="31"/>
  <c r="K552" i="31"/>
  <c r="M552" i="31"/>
  <c r="O552" i="31"/>
  <c r="Q552" i="31"/>
  <c r="A553" i="31"/>
  <c r="E553" i="31"/>
  <c r="G553" i="31"/>
  <c r="I553" i="31"/>
  <c r="K553" i="31"/>
  <c r="M553" i="31"/>
  <c r="O553" i="31"/>
  <c r="Q553" i="31"/>
  <c r="A554" i="31"/>
  <c r="E554" i="31"/>
  <c r="G554" i="31"/>
  <c r="I554" i="31"/>
  <c r="K554" i="31"/>
  <c r="M554" i="31"/>
  <c r="O554" i="31"/>
  <c r="Q554" i="31"/>
  <c r="A555" i="31"/>
  <c r="E555" i="31"/>
  <c r="G555" i="31"/>
  <c r="I555" i="31"/>
  <c r="K555" i="31"/>
  <c r="M555" i="31"/>
  <c r="O555" i="31"/>
  <c r="Q555" i="31"/>
  <c r="A556" i="31"/>
  <c r="E556" i="31"/>
  <c r="G556" i="31"/>
  <c r="I556" i="31"/>
  <c r="K556" i="31"/>
  <c r="M556" i="31"/>
  <c r="O556" i="31"/>
  <c r="Q556" i="31"/>
  <c r="A557" i="31"/>
  <c r="E557" i="31"/>
  <c r="G557" i="31"/>
  <c r="I557" i="31"/>
  <c r="K557" i="31"/>
  <c r="M557" i="31"/>
  <c r="O557" i="31"/>
  <c r="Q557" i="31"/>
  <c r="A558" i="31"/>
  <c r="E558" i="31"/>
  <c r="G558" i="31"/>
  <c r="I558" i="31"/>
  <c r="K558" i="31"/>
  <c r="M558" i="31"/>
  <c r="O558" i="31"/>
  <c r="Q558" i="31"/>
  <c r="A559" i="31"/>
  <c r="E559" i="31"/>
  <c r="G559" i="31"/>
  <c r="I559" i="31"/>
  <c r="K559" i="31"/>
  <c r="M559" i="31"/>
  <c r="O559" i="31"/>
  <c r="Q559" i="31"/>
  <c r="A560" i="31"/>
  <c r="E560" i="31"/>
  <c r="G560" i="31"/>
  <c r="I560" i="31"/>
  <c r="K560" i="31"/>
  <c r="M560" i="31"/>
  <c r="O560" i="31"/>
  <c r="Q560" i="31"/>
  <c r="A561" i="31"/>
  <c r="E561" i="31"/>
  <c r="G561" i="31"/>
  <c r="I561" i="31"/>
  <c r="K561" i="31"/>
  <c r="M561" i="31"/>
  <c r="O561" i="31"/>
  <c r="Q561" i="31"/>
  <c r="A562" i="31"/>
  <c r="E562" i="31"/>
  <c r="G562" i="31"/>
  <c r="I562" i="31"/>
  <c r="K562" i="31"/>
  <c r="M562" i="31"/>
  <c r="O562" i="31"/>
  <c r="Q562" i="31"/>
  <c r="A563" i="31"/>
  <c r="E563" i="31"/>
  <c r="G563" i="31"/>
  <c r="I563" i="31"/>
  <c r="K563" i="31"/>
  <c r="M563" i="31"/>
  <c r="O563" i="31"/>
  <c r="Q563" i="31"/>
  <c r="A564" i="31"/>
  <c r="E564" i="31"/>
  <c r="G564" i="31"/>
  <c r="I564" i="31"/>
  <c r="K564" i="31"/>
  <c r="M564" i="31"/>
  <c r="O564" i="31"/>
  <c r="Q564" i="31"/>
  <c r="A565" i="31"/>
  <c r="E565" i="31"/>
  <c r="G565" i="31"/>
  <c r="I565" i="31"/>
  <c r="K565" i="31"/>
  <c r="M565" i="31"/>
  <c r="O565" i="31"/>
  <c r="Q565" i="31"/>
  <c r="A566" i="31"/>
  <c r="E566" i="31"/>
  <c r="G566" i="31"/>
  <c r="I566" i="31"/>
  <c r="K566" i="31"/>
  <c r="M566" i="31"/>
  <c r="O566" i="31"/>
  <c r="Q566" i="31"/>
  <c r="A567" i="31"/>
  <c r="E567" i="31"/>
  <c r="G567" i="31"/>
  <c r="I567" i="31"/>
  <c r="K567" i="31"/>
  <c r="M567" i="31"/>
  <c r="O567" i="31"/>
  <c r="Q567" i="31"/>
  <c r="A568" i="31"/>
  <c r="E568" i="31"/>
  <c r="G568" i="31"/>
  <c r="I568" i="31"/>
  <c r="K568" i="31"/>
  <c r="M568" i="31"/>
  <c r="O568" i="31"/>
  <c r="Q568" i="31"/>
  <c r="A569" i="31"/>
  <c r="E569" i="31"/>
  <c r="G569" i="31"/>
  <c r="I569" i="31"/>
  <c r="K569" i="31"/>
  <c r="M569" i="31"/>
  <c r="O569" i="31"/>
  <c r="Q569" i="31"/>
  <c r="A570" i="31"/>
  <c r="E570" i="31"/>
  <c r="G570" i="31"/>
  <c r="I570" i="31"/>
  <c r="K570" i="31"/>
  <c r="M570" i="31"/>
  <c r="O570" i="31"/>
  <c r="Q570" i="31"/>
  <c r="A571" i="31"/>
  <c r="E571" i="31"/>
  <c r="G571" i="31"/>
  <c r="I571" i="31"/>
  <c r="K571" i="31"/>
  <c r="M571" i="31"/>
  <c r="O571" i="31"/>
  <c r="Q571" i="31"/>
  <c r="A572" i="31"/>
  <c r="E572" i="31"/>
  <c r="G572" i="31"/>
  <c r="I572" i="31"/>
  <c r="K572" i="31"/>
  <c r="M572" i="31"/>
  <c r="O572" i="31"/>
  <c r="Q572" i="31"/>
  <c r="A573" i="31"/>
  <c r="E573" i="31"/>
  <c r="G573" i="31"/>
  <c r="I573" i="31"/>
  <c r="K573" i="31"/>
  <c r="M573" i="31"/>
  <c r="O573" i="31"/>
  <c r="Q573" i="31"/>
  <c r="A574" i="31"/>
  <c r="E574" i="31"/>
  <c r="G574" i="31"/>
  <c r="I574" i="31"/>
  <c r="K574" i="31"/>
  <c r="M574" i="31"/>
  <c r="O574" i="31"/>
  <c r="Q574" i="31"/>
  <c r="A575" i="31"/>
  <c r="E575" i="31"/>
  <c r="G575" i="31"/>
  <c r="I575" i="31"/>
  <c r="K575" i="31"/>
  <c r="M575" i="31"/>
  <c r="O575" i="31"/>
  <c r="Q575" i="31"/>
  <c r="A576" i="31"/>
  <c r="E576" i="31"/>
  <c r="G576" i="31"/>
  <c r="I576" i="31"/>
  <c r="K576" i="31"/>
  <c r="M576" i="31"/>
  <c r="O576" i="31"/>
  <c r="Q576" i="31"/>
  <c r="A577" i="31"/>
  <c r="E577" i="31"/>
  <c r="G577" i="31"/>
  <c r="I577" i="31"/>
  <c r="K577" i="31"/>
  <c r="M577" i="31"/>
  <c r="O577" i="31"/>
  <c r="Q577" i="31"/>
  <c r="A578" i="31"/>
  <c r="E578" i="31"/>
  <c r="G578" i="31"/>
  <c r="I578" i="31"/>
  <c r="K578" i="31"/>
  <c r="M578" i="31"/>
  <c r="O578" i="31"/>
  <c r="Q578" i="31"/>
  <c r="A579" i="31"/>
  <c r="E579" i="31"/>
  <c r="G579" i="31"/>
  <c r="I579" i="31"/>
  <c r="K579" i="31"/>
  <c r="M579" i="31"/>
  <c r="O579" i="31"/>
  <c r="Q579" i="31"/>
  <c r="A580" i="31"/>
  <c r="E580" i="31"/>
  <c r="G580" i="31"/>
  <c r="I580" i="31"/>
  <c r="K580" i="31"/>
  <c r="M580" i="31"/>
  <c r="O580" i="31"/>
  <c r="Q580" i="31"/>
  <c r="A581" i="31"/>
  <c r="E581" i="31"/>
  <c r="G581" i="31"/>
  <c r="I581" i="31"/>
  <c r="K581" i="31"/>
  <c r="M581" i="31"/>
  <c r="O581" i="31"/>
  <c r="Q581" i="31"/>
  <c r="A582" i="31"/>
  <c r="E582" i="31"/>
  <c r="G582" i="31"/>
  <c r="I582" i="31"/>
  <c r="K582" i="31"/>
  <c r="M582" i="31"/>
  <c r="O582" i="31"/>
  <c r="Q582" i="31"/>
  <c r="A583" i="31"/>
  <c r="E583" i="31"/>
  <c r="G583" i="31"/>
  <c r="I583" i="31"/>
  <c r="K583" i="31"/>
  <c r="M583" i="31"/>
  <c r="O583" i="31"/>
  <c r="Q583" i="31"/>
  <c r="A584" i="31"/>
  <c r="E584" i="31"/>
  <c r="G584" i="31"/>
  <c r="I584" i="31"/>
  <c r="K584" i="31"/>
  <c r="M584" i="31"/>
  <c r="O584" i="31"/>
  <c r="Q584" i="31"/>
  <c r="A585" i="31"/>
  <c r="E585" i="31"/>
  <c r="G585" i="31"/>
  <c r="I585" i="31"/>
  <c r="K585" i="31"/>
  <c r="M585" i="31"/>
  <c r="O585" i="31"/>
  <c r="Q585" i="31"/>
  <c r="A586" i="31"/>
  <c r="E586" i="31"/>
  <c r="G586" i="31"/>
  <c r="I586" i="31"/>
  <c r="K586" i="31"/>
  <c r="M586" i="31"/>
  <c r="O586" i="31"/>
  <c r="Q586" i="31"/>
  <c r="A587" i="31"/>
  <c r="E587" i="31"/>
  <c r="G587" i="31"/>
  <c r="I587" i="31"/>
  <c r="K587" i="31"/>
  <c r="M587" i="31"/>
  <c r="O587" i="31"/>
  <c r="Q587" i="31"/>
  <c r="A588" i="31"/>
  <c r="E588" i="31"/>
  <c r="G588" i="31"/>
  <c r="I588" i="31"/>
  <c r="K588" i="31"/>
  <c r="M588" i="31"/>
  <c r="O588" i="31"/>
  <c r="Q588" i="31"/>
  <c r="A589" i="31"/>
  <c r="E589" i="31"/>
  <c r="G589" i="31"/>
  <c r="I589" i="31"/>
  <c r="K589" i="31"/>
  <c r="M589" i="31"/>
  <c r="O589" i="31"/>
  <c r="Q589" i="31"/>
  <c r="A590" i="31"/>
  <c r="E590" i="31"/>
  <c r="G590" i="31"/>
  <c r="I590" i="31"/>
  <c r="K590" i="31"/>
  <c r="M590" i="31"/>
  <c r="O590" i="31"/>
  <c r="Q590" i="31"/>
  <c r="A591" i="31"/>
  <c r="E591" i="31"/>
  <c r="G591" i="31"/>
  <c r="I591" i="31"/>
  <c r="K591" i="31"/>
  <c r="M591" i="31"/>
  <c r="O591" i="31"/>
  <c r="Q591" i="31"/>
  <c r="A592" i="31"/>
  <c r="E592" i="31"/>
  <c r="G592" i="31"/>
  <c r="I592" i="31"/>
  <c r="K592" i="31"/>
  <c r="M592" i="31"/>
  <c r="O592" i="31"/>
  <c r="Q592" i="31"/>
  <c r="A593" i="31"/>
  <c r="E593" i="31"/>
  <c r="G593" i="31"/>
  <c r="I593" i="31"/>
  <c r="K593" i="31"/>
  <c r="M593" i="31"/>
  <c r="O593" i="31"/>
  <c r="Q593" i="31"/>
  <c r="A594" i="31"/>
  <c r="E594" i="31"/>
  <c r="G594" i="31"/>
  <c r="I594" i="31"/>
  <c r="K594" i="31"/>
  <c r="M594" i="31"/>
  <c r="O594" i="31"/>
  <c r="Q594" i="31"/>
  <c r="A595" i="31"/>
  <c r="E595" i="31"/>
  <c r="G595" i="31"/>
  <c r="I595" i="31"/>
  <c r="K595" i="31"/>
  <c r="M595" i="31"/>
  <c r="O595" i="31"/>
  <c r="Q595" i="31"/>
  <c r="A596" i="31"/>
  <c r="E596" i="31"/>
  <c r="G596" i="31"/>
  <c r="I596" i="31"/>
  <c r="K596" i="31"/>
  <c r="M596" i="31"/>
  <c r="O596" i="31"/>
  <c r="Q596" i="31"/>
  <c r="A597" i="31"/>
  <c r="E597" i="31"/>
  <c r="G597" i="31"/>
  <c r="I597" i="31"/>
  <c r="K597" i="31"/>
  <c r="M597" i="31"/>
  <c r="O597" i="31"/>
  <c r="Q597" i="31"/>
  <c r="A598" i="31"/>
  <c r="E598" i="31"/>
  <c r="G598" i="31"/>
  <c r="I598" i="31"/>
  <c r="K598" i="31"/>
  <c r="M598" i="31"/>
  <c r="O598" i="31"/>
  <c r="Q598" i="31"/>
  <c r="A599" i="31"/>
  <c r="E599" i="31"/>
  <c r="G599" i="31"/>
  <c r="I599" i="31"/>
  <c r="K599" i="31"/>
  <c r="M599" i="31"/>
  <c r="O599" i="31"/>
  <c r="Q599" i="31"/>
  <c r="A600" i="31"/>
  <c r="E600" i="31"/>
  <c r="G600" i="31"/>
  <c r="I600" i="31"/>
  <c r="K600" i="31"/>
  <c r="M600" i="31"/>
  <c r="O600" i="31"/>
  <c r="Q600" i="31"/>
  <c r="A601" i="31"/>
  <c r="E601" i="31"/>
  <c r="G601" i="31"/>
  <c r="I601" i="31"/>
  <c r="K601" i="31"/>
  <c r="M601" i="31"/>
  <c r="O601" i="31"/>
  <c r="Q601" i="31"/>
  <c r="A602" i="31"/>
  <c r="E602" i="31"/>
  <c r="G602" i="31"/>
  <c r="I602" i="31"/>
  <c r="K602" i="31"/>
  <c r="M602" i="31"/>
  <c r="O602" i="31"/>
  <c r="Q602" i="31"/>
  <c r="A603" i="31"/>
  <c r="E603" i="31"/>
  <c r="G603" i="31"/>
  <c r="I603" i="31"/>
  <c r="K603" i="31"/>
  <c r="M603" i="31"/>
  <c r="O603" i="31"/>
  <c r="Q603" i="31"/>
  <c r="A604" i="31"/>
  <c r="E604" i="31"/>
  <c r="G604" i="31"/>
  <c r="I604" i="31"/>
  <c r="K604" i="31"/>
  <c r="M604" i="31"/>
  <c r="O604" i="31"/>
  <c r="Q604" i="31"/>
  <c r="A605" i="31"/>
  <c r="E605" i="31"/>
  <c r="G605" i="31"/>
  <c r="I605" i="31"/>
  <c r="K605" i="31"/>
  <c r="M605" i="31"/>
  <c r="O605" i="31"/>
  <c r="Q605" i="31"/>
  <c r="A606" i="31"/>
  <c r="E606" i="31"/>
  <c r="G606" i="31"/>
  <c r="I606" i="31"/>
  <c r="K606" i="31"/>
  <c r="M606" i="31"/>
  <c r="O606" i="31"/>
  <c r="Q606" i="31"/>
  <c r="A607" i="31"/>
  <c r="E607" i="31"/>
  <c r="G607" i="31"/>
  <c r="I607" i="31"/>
  <c r="K607" i="31"/>
  <c r="M607" i="31"/>
  <c r="O607" i="31"/>
  <c r="Q607" i="31"/>
  <c r="A608" i="31"/>
  <c r="E608" i="31"/>
  <c r="G608" i="31"/>
  <c r="I608" i="31"/>
  <c r="K608" i="31"/>
  <c r="M608" i="31"/>
  <c r="O608" i="31"/>
  <c r="Q608" i="31"/>
  <c r="A609" i="31"/>
  <c r="E609" i="31"/>
  <c r="G609" i="31"/>
  <c r="I609" i="31"/>
  <c r="K609" i="31"/>
  <c r="M609" i="31"/>
  <c r="O609" i="31"/>
  <c r="Q609" i="31"/>
  <c r="A610" i="31"/>
  <c r="E610" i="31"/>
  <c r="G610" i="31"/>
  <c r="I610" i="31"/>
  <c r="K610" i="31"/>
  <c r="M610" i="31"/>
  <c r="O610" i="31"/>
  <c r="Q610" i="31"/>
  <c r="A611" i="31"/>
  <c r="E611" i="31"/>
  <c r="G611" i="31"/>
  <c r="I611" i="31"/>
  <c r="K611" i="31"/>
  <c r="M611" i="31"/>
  <c r="O611" i="31"/>
  <c r="Q611" i="31"/>
  <c r="A612" i="31"/>
  <c r="E612" i="31"/>
  <c r="G612" i="31"/>
  <c r="I612" i="31"/>
  <c r="K612" i="31"/>
  <c r="M612" i="31"/>
  <c r="O612" i="31"/>
  <c r="Q612" i="31"/>
  <c r="A613" i="31"/>
  <c r="E613" i="31"/>
  <c r="G613" i="31"/>
  <c r="I613" i="31"/>
  <c r="K613" i="31"/>
  <c r="M613" i="31"/>
  <c r="O613" i="31"/>
  <c r="Q613" i="31"/>
  <c r="A614" i="31"/>
  <c r="E614" i="31"/>
  <c r="G614" i="31"/>
  <c r="I614" i="31"/>
  <c r="K614" i="31"/>
  <c r="M614" i="31"/>
  <c r="O614" i="31"/>
  <c r="Q614" i="31"/>
  <c r="A615" i="31"/>
  <c r="E615" i="31"/>
  <c r="G615" i="31"/>
  <c r="I615" i="31"/>
  <c r="K615" i="31"/>
  <c r="M615" i="31"/>
  <c r="O615" i="31"/>
  <c r="Q615" i="31"/>
  <c r="A616" i="31"/>
  <c r="E616" i="31"/>
  <c r="G616" i="31"/>
  <c r="I616" i="31"/>
  <c r="K616" i="31"/>
  <c r="M616" i="31"/>
  <c r="O616" i="31"/>
  <c r="Q616" i="31"/>
  <c r="A617" i="31"/>
  <c r="E617" i="31"/>
  <c r="G617" i="31"/>
  <c r="I617" i="31"/>
  <c r="K617" i="31"/>
  <c r="M617" i="31"/>
  <c r="O617" i="31"/>
  <c r="Q617" i="31"/>
  <c r="A618" i="31"/>
  <c r="E618" i="31"/>
  <c r="G618" i="31"/>
  <c r="I618" i="31"/>
  <c r="K618" i="31"/>
  <c r="M618" i="31"/>
  <c r="O618" i="31"/>
  <c r="Q618" i="31"/>
  <c r="A619" i="31"/>
  <c r="E619" i="31"/>
  <c r="G619" i="31"/>
  <c r="I619" i="31"/>
  <c r="K619" i="31"/>
  <c r="M619" i="31"/>
  <c r="O619" i="31"/>
  <c r="Q619" i="31"/>
  <c r="A620" i="31"/>
  <c r="E620" i="31"/>
  <c r="G620" i="31"/>
  <c r="I620" i="31"/>
  <c r="K620" i="31"/>
  <c r="M620" i="31"/>
  <c r="O620" i="31"/>
  <c r="Q620" i="31"/>
  <c r="A621" i="31"/>
  <c r="E621" i="31"/>
  <c r="G621" i="31"/>
  <c r="I621" i="31"/>
  <c r="K621" i="31"/>
  <c r="M621" i="31"/>
  <c r="O621" i="31"/>
  <c r="Q621" i="31"/>
  <c r="A622" i="31"/>
  <c r="E622" i="31"/>
  <c r="G622" i="31"/>
  <c r="I622" i="31"/>
  <c r="K622" i="31"/>
  <c r="M622" i="31"/>
  <c r="O622" i="31"/>
  <c r="Q622" i="31"/>
  <c r="A623" i="31"/>
  <c r="E623" i="31"/>
  <c r="G623" i="31"/>
  <c r="I623" i="31"/>
  <c r="K623" i="31"/>
  <c r="M623" i="31"/>
  <c r="O623" i="31"/>
  <c r="Q623" i="31"/>
  <c r="A624" i="31"/>
  <c r="E624" i="31"/>
  <c r="G624" i="31"/>
  <c r="I624" i="31"/>
  <c r="K624" i="31"/>
  <c r="M624" i="31"/>
  <c r="O624" i="31"/>
  <c r="Q624" i="31"/>
  <c r="A625" i="31"/>
  <c r="E625" i="31"/>
  <c r="G625" i="31"/>
  <c r="I625" i="31"/>
  <c r="K625" i="31"/>
  <c r="M625" i="31"/>
  <c r="O625" i="31"/>
  <c r="Q625" i="31"/>
  <c r="A626" i="31"/>
  <c r="E626" i="31"/>
  <c r="G626" i="31"/>
  <c r="I626" i="31"/>
  <c r="K626" i="31"/>
  <c r="M626" i="31"/>
  <c r="O626" i="31"/>
  <c r="Q626" i="31"/>
  <c r="A627" i="31"/>
  <c r="E627" i="31"/>
  <c r="G627" i="31"/>
  <c r="I627" i="31"/>
  <c r="K627" i="31"/>
  <c r="M627" i="31"/>
  <c r="O627" i="31"/>
  <c r="Q627" i="31"/>
  <c r="A628" i="31"/>
  <c r="E628" i="31"/>
  <c r="G628" i="31"/>
  <c r="I628" i="31"/>
  <c r="K628" i="31"/>
  <c r="M628" i="31"/>
  <c r="O628" i="31"/>
  <c r="Q628" i="31"/>
  <c r="A629" i="31"/>
  <c r="E629" i="31"/>
  <c r="G629" i="31"/>
  <c r="I629" i="31"/>
  <c r="K629" i="31"/>
  <c r="M629" i="31"/>
  <c r="O629" i="31"/>
  <c r="Q629" i="31"/>
  <c r="A630" i="31"/>
  <c r="E630" i="31"/>
  <c r="G630" i="31"/>
  <c r="I630" i="31"/>
  <c r="K630" i="31"/>
  <c r="M630" i="31"/>
  <c r="O630" i="31"/>
  <c r="Q630" i="31"/>
  <c r="A631" i="31"/>
  <c r="E631" i="31"/>
  <c r="G631" i="31"/>
  <c r="I631" i="31"/>
  <c r="K631" i="31"/>
  <c r="M631" i="31"/>
  <c r="O631" i="31"/>
  <c r="Q631" i="31"/>
  <c r="A632" i="31"/>
  <c r="E632" i="31"/>
  <c r="G632" i="31"/>
  <c r="I632" i="31"/>
  <c r="K632" i="31"/>
  <c r="M632" i="31"/>
  <c r="O632" i="31"/>
  <c r="Q632" i="31"/>
  <c r="A633" i="31"/>
  <c r="E633" i="31"/>
  <c r="G633" i="31"/>
  <c r="I633" i="31"/>
  <c r="K633" i="31"/>
  <c r="M633" i="31"/>
  <c r="O633" i="31"/>
  <c r="Q633" i="31"/>
  <c r="A634" i="31"/>
  <c r="E634" i="31"/>
  <c r="G634" i="31"/>
  <c r="I634" i="31"/>
  <c r="K634" i="31"/>
  <c r="M634" i="31"/>
  <c r="O634" i="31"/>
  <c r="Q634" i="31"/>
  <c r="A635" i="31"/>
  <c r="E635" i="31"/>
  <c r="G635" i="31"/>
  <c r="I635" i="31"/>
  <c r="K635" i="31"/>
  <c r="M635" i="31"/>
  <c r="O635" i="31"/>
  <c r="Q635" i="31"/>
  <c r="A636" i="31"/>
  <c r="E636" i="31"/>
  <c r="G636" i="31"/>
  <c r="I636" i="31"/>
  <c r="K636" i="31"/>
  <c r="M636" i="31"/>
  <c r="O636" i="31"/>
  <c r="Q636" i="31"/>
  <c r="A637" i="31"/>
  <c r="E637" i="31"/>
  <c r="G637" i="31"/>
  <c r="I637" i="31"/>
  <c r="K637" i="31"/>
  <c r="M637" i="31"/>
  <c r="O637" i="31"/>
  <c r="Q637" i="31"/>
  <c r="A638" i="31"/>
  <c r="E638" i="31"/>
  <c r="G638" i="31"/>
  <c r="I638" i="31"/>
  <c r="K638" i="31"/>
  <c r="M638" i="31"/>
  <c r="O638" i="31"/>
  <c r="Q638" i="31"/>
  <c r="A639" i="31"/>
  <c r="E639" i="31"/>
  <c r="G639" i="31"/>
  <c r="I639" i="31"/>
  <c r="K639" i="31"/>
  <c r="M639" i="31"/>
  <c r="O639" i="31"/>
  <c r="Q639" i="31"/>
  <c r="A640" i="31"/>
  <c r="E640" i="31"/>
  <c r="G640" i="31"/>
  <c r="I640" i="31"/>
  <c r="K640" i="31"/>
  <c r="M640" i="31"/>
  <c r="O640" i="31"/>
  <c r="Q640" i="31"/>
  <c r="A641" i="31"/>
  <c r="E641" i="31"/>
  <c r="G641" i="31"/>
  <c r="I641" i="31"/>
  <c r="K641" i="31"/>
  <c r="M641" i="31"/>
  <c r="O641" i="31"/>
  <c r="Q641" i="31"/>
  <c r="A642" i="31"/>
  <c r="E642" i="31"/>
  <c r="G642" i="31"/>
  <c r="I642" i="31"/>
  <c r="K642" i="31"/>
  <c r="M642" i="31"/>
  <c r="O642" i="31"/>
  <c r="Q642" i="31"/>
  <c r="A643" i="31"/>
  <c r="E643" i="31"/>
  <c r="G643" i="31"/>
  <c r="I643" i="31"/>
  <c r="K643" i="31"/>
  <c r="M643" i="31"/>
  <c r="O643" i="31"/>
  <c r="Q643" i="31"/>
  <c r="A644" i="31"/>
  <c r="E644" i="31"/>
  <c r="G644" i="31"/>
  <c r="I644" i="31"/>
  <c r="K644" i="31"/>
  <c r="M644" i="31"/>
  <c r="O644" i="31"/>
  <c r="Q644" i="31"/>
  <c r="A645" i="31"/>
  <c r="E645" i="31"/>
  <c r="G645" i="31"/>
  <c r="I645" i="31"/>
  <c r="K645" i="31"/>
  <c r="M645" i="31"/>
  <c r="O645" i="31"/>
  <c r="Q645" i="31"/>
  <c r="A646" i="31"/>
  <c r="E646" i="31"/>
  <c r="G646" i="31"/>
  <c r="I646" i="31"/>
  <c r="K646" i="31"/>
  <c r="M646" i="31"/>
  <c r="O646" i="31"/>
  <c r="Q646" i="31"/>
  <c r="A647" i="31"/>
  <c r="E647" i="31"/>
  <c r="G647" i="31"/>
  <c r="I647" i="31"/>
  <c r="K647" i="31"/>
  <c r="M647" i="31"/>
  <c r="O647" i="31"/>
  <c r="Q647" i="31"/>
  <c r="A648" i="31"/>
  <c r="E648" i="31"/>
  <c r="G648" i="31"/>
  <c r="I648" i="31"/>
  <c r="K648" i="31"/>
  <c r="M648" i="31"/>
  <c r="O648" i="31"/>
  <c r="Q648" i="31"/>
  <c r="A649" i="31"/>
  <c r="E649" i="31"/>
  <c r="G649" i="31"/>
  <c r="I649" i="31"/>
  <c r="K649" i="31"/>
  <c r="M649" i="31"/>
  <c r="O649" i="31"/>
  <c r="Q649" i="31"/>
  <c r="A650" i="31"/>
  <c r="E650" i="31"/>
  <c r="G650" i="31"/>
  <c r="I650" i="31"/>
  <c r="K650" i="31"/>
  <c r="M650" i="31"/>
  <c r="O650" i="31"/>
  <c r="Q650" i="31"/>
  <c r="A651" i="31"/>
  <c r="E651" i="31"/>
  <c r="G651" i="31"/>
  <c r="I651" i="31"/>
  <c r="K651" i="31"/>
  <c r="M651" i="31"/>
  <c r="O651" i="31"/>
  <c r="Q651" i="31"/>
  <c r="A652" i="31"/>
  <c r="E652" i="31"/>
  <c r="G652" i="31"/>
  <c r="I652" i="31"/>
  <c r="K652" i="31"/>
  <c r="M652" i="31"/>
  <c r="O652" i="31"/>
  <c r="Q652" i="31"/>
  <c r="A653" i="31"/>
  <c r="E653" i="31"/>
  <c r="G653" i="31"/>
  <c r="I653" i="31"/>
  <c r="K653" i="31"/>
  <c r="M653" i="31"/>
  <c r="O653" i="31"/>
  <c r="Q653" i="31"/>
  <c r="A654" i="31"/>
  <c r="E654" i="31"/>
  <c r="G654" i="31"/>
  <c r="I654" i="31"/>
  <c r="K654" i="31"/>
  <c r="M654" i="31"/>
  <c r="O654" i="31"/>
  <c r="Q654" i="31"/>
  <c r="A655" i="31"/>
  <c r="E655" i="31"/>
  <c r="G655" i="31"/>
  <c r="I655" i="31"/>
  <c r="K655" i="31"/>
  <c r="M655" i="31"/>
  <c r="O655" i="31"/>
  <c r="Q655" i="31"/>
  <c r="A656" i="31"/>
  <c r="E656" i="31"/>
  <c r="G656" i="31"/>
  <c r="I656" i="31"/>
  <c r="K656" i="31"/>
  <c r="M656" i="31"/>
  <c r="O656" i="31"/>
  <c r="Q656" i="31"/>
  <c r="A657" i="31"/>
  <c r="E657" i="31"/>
  <c r="G657" i="31"/>
  <c r="I657" i="31"/>
  <c r="K657" i="31"/>
  <c r="M657" i="31"/>
  <c r="O657" i="31"/>
  <c r="Q657" i="31"/>
  <c r="A658" i="31"/>
  <c r="E658" i="31"/>
  <c r="G658" i="31"/>
  <c r="I658" i="31"/>
  <c r="K658" i="31"/>
  <c r="M658" i="31"/>
  <c r="O658" i="31"/>
  <c r="Q658" i="31"/>
  <c r="A659" i="31"/>
  <c r="E659" i="31"/>
  <c r="G659" i="31"/>
  <c r="I659" i="31"/>
  <c r="K659" i="31"/>
  <c r="M659" i="31"/>
  <c r="O659" i="31"/>
  <c r="Q659" i="31"/>
  <c r="A660" i="31"/>
  <c r="E660" i="31"/>
  <c r="G660" i="31"/>
  <c r="I660" i="31"/>
  <c r="K660" i="31"/>
  <c r="M660" i="31"/>
  <c r="O660" i="31"/>
  <c r="Q660" i="31"/>
  <c r="A661" i="31"/>
  <c r="E661" i="31"/>
  <c r="G661" i="31"/>
  <c r="I661" i="31"/>
  <c r="K661" i="31"/>
  <c r="M661" i="31"/>
  <c r="O661" i="31"/>
  <c r="Q661" i="31"/>
  <c r="A662" i="31"/>
  <c r="E662" i="31"/>
  <c r="G662" i="31"/>
  <c r="I662" i="31"/>
  <c r="K662" i="31"/>
  <c r="M662" i="31"/>
  <c r="O662" i="31"/>
  <c r="Q662" i="31"/>
  <c r="A663" i="31"/>
  <c r="E663" i="31"/>
  <c r="G663" i="31"/>
  <c r="I663" i="31"/>
  <c r="K663" i="31"/>
  <c r="M663" i="31"/>
  <c r="O663" i="31"/>
  <c r="Q663" i="31"/>
  <c r="A664" i="31"/>
  <c r="E664" i="31"/>
  <c r="G664" i="31"/>
  <c r="I664" i="31"/>
  <c r="K664" i="31"/>
  <c r="M664" i="31"/>
  <c r="O664" i="31"/>
  <c r="Q664" i="31"/>
  <c r="A665" i="31"/>
  <c r="E665" i="31"/>
  <c r="G665" i="31"/>
  <c r="I665" i="31"/>
  <c r="K665" i="31"/>
  <c r="M665" i="31"/>
  <c r="O665" i="31"/>
  <c r="Q665" i="31"/>
  <c r="A666" i="31"/>
  <c r="E666" i="31"/>
  <c r="G666" i="31"/>
  <c r="I666" i="31"/>
  <c r="K666" i="31"/>
  <c r="M666" i="31"/>
  <c r="O666" i="31"/>
  <c r="Q666" i="31"/>
  <c r="A667" i="31"/>
  <c r="E667" i="31"/>
  <c r="G667" i="31"/>
  <c r="I667" i="31"/>
  <c r="K667" i="31"/>
  <c r="M667" i="31"/>
  <c r="O667" i="31"/>
  <c r="Q667" i="31"/>
  <c r="A668" i="31"/>
  <c r="E668" i="31"/>
  <c r="G668" i="31"/>
  <c r="I668" i="31"/>
  <c r="K668" i="31"/>
  <c r="M668" i="31"/>
  <c r="O668" i="31"/>
  <c r="Q668" i="31"/>
  <c r="A669" i="31"/>
  <c r="E669" i="31"/>
  <c r="G669" i="31"/>
  <c r="I669" i="31"/>
  <c r="K669" i="31"/>
  <c r="M669" i="31"/>
  <c r="O669" i="31"/>
  <c r="Q669" i="31"/>
  <c r="A670" i="31"/>
  <c r="E670" i="31"/>
  <c r="G670" i="31"/>
  <c r="I670" i="31"/>
  <c r="K670" i="31"/>
  <c r="M670" i="31"/>
  <c r="O670" i="31"/>
  <c r="Q670" i="31"/>
  <c r="A671" i="31"/>
  <c r="E671" i="31"/>
  <c r="G671" i="31"/>
  <c r="I671" i="31"/>
  <c r="K671" i="31"/>
  <c r="M671" i="31"/>
  <c r="O671" i="31"/>
  <c r="Q671" i="31"/>
  <c r="A672" i="31"/>
  <c r="E672" i="31"/>
  <c r="G672" i="31"/>
  <c r="I672" i="31"/>
  <c r="K672" i="31"/>
  <c r="M672" i="31"/>
  <c r="O672" i="31"/>
  <c r="Q672" i="31"/>
  <c r="A673" i="31"/>
  <c r="E673" i="31"/>
  <c r="G673" i="31"/>
  <c r="I673" i="31"/>
  <c r="K673" i="31"/>
  <c r="M673" i="31"/>
  <c r="O673" i="31"/>
  <c r="Q673" i="31"/>
  <c r="A674" i="31"/>
  <c r="E674" i="31"/>
  <c r="G674" i="31"/>
  <c r="I674" i="31"/>
  <c r="K674" i="31"/>
  <c r="M674" i="31"/>
  <c r="O674" i="31"/>
  <c r="Q674" i="31"/>
  <c r="A675" i="31"/>
  <c r="E675" i="31"/>
  <c r="G675" i="31"/>
  <c r="I675" i="31"/>
  <c r="K675" i="31"/>
  <c r="M675" i="31"/>
  <c r="O675" i="31"/>
  <c r="Q675" i="31"/>
  <c r="A676" i="31"/>
  <c r="E676" i="31"/>
  <c r="G676" i="31"/>
  <c r="I676" i="31"/>
  <c r="K676" i="31"/>
  <c r="M676" i="31"/>
  <c r="O676" i="31"/>
  <c r="Q676" i="31"/>
  <c r="A677" i="31"/>
  <c r="E677" i="31"/>
  <c r="G677" i="31"/>
  <c r="I677" i="31"/>
  <c r="K677" i="31"/>
  <c r="M677" i="31"/>
  <c r="O677" i="31"/>
  <c r="Q677" i="31"/>
  <c r="A678" i="31"/>
  <c r="E678" i="31"/>
  <c r="G678" i="31"/>
  <c r="I678" i="31"/>
  <c r="K678" i="31"/>
  <c r="M678" i="31"/>
  <c r="O678" i="31"/>
  <c r="Q678" i="31"/>
  <c r="A679" i="31"/>
  <c r="E679" i="31"/>
  <c r="G679" i="31"/>
  <c r="I679" i="31"/>
  <c r="K679" i="31"/>
  <c r="M679" i="31"/>
  <c r="O679" i="31"/>
  <c r="Q679" i="31"/>
  <c r="A680" i="31"/>
  <c r="E680" i="31"/>
  <c r="G680" i="31"/>
  <c r="I680" i="31"/>
  <c r="K680" i="31"/>
  <c r="M680" i="31"/>
  <c r="O680" i="31"/>
  <c r="Q680" i="31"/>
  <c r="A681" i="31"/>
  <c r="E681" i="31"/>
  <c r="G681" i="31"/>
  <c r="I681" i="31"/>
  <c r="K681" i="31"/>
  <c r="M681" i="31"/>
  <c r="O681" i="31"/>
  <c r="Q681" i="31"/>
  <c r="A682" i="31"/>
  <c r="E682" i="31"/>
  <c r="G682" i="31"/>
  <c r="I682" i="31"/>
  <c r="K682" i="31"/>
  <c r="M682" i="31"/>
  <c r="O682" i="31"/>
  <c r="Q682" i="31"/>
  <c r="A683" i="31"/>
  <c r="E683" i="31"/>
  <c r="G683" i="31"/>
  <c r="I683" i="31"/>
  <c r="K683" i="31"/>
  <c r="M683" i="31"/>
  <c r="O683" i="31"/>
  <c r="Q683" i="31"/>
  <c r="A684" i="31"/>
  <c r="E684" i="31"/>
  <c r="G684" i="31"/>
  <c r="I684" i="31"/>
  <c r="K684" i="31"/>
  <c r="M684" i="31"/>
  <c r="O684" i="31"/>
  <c r="Q684" i="31"/>
  <c r="A685" i="31"/>
  <c r="E685" i="31"/>
  <c r="G685" i="31"/>
  <c r="I685" i="31"/>
  <c r="K685" i="31"/>
  <c r="M685" i="31"/>
  <c r="O685" i="31"/>
  <c r="Q685" i="31"/>
  <c r="A686" i="31"/>
  <c r="E686" i="31"/>
  <c r="G686" i="31"/>
  <c r="I686" i="31"/>
  <c r="K686" i="31"/>
  <c r="M686" i="31"/>
  <c r="O686" i="31"/>
  <c r="Q686" i="31"/>
  <c r="A687" i="31"/>
  <c r="E687" i="31"/>
  <c r="G687" i="31"/>
  <c r="I687" i="31"/>
  <c r="K687" i="31"/>
  <c r="M687" i="31"/>
  <c r="O687" i="31"/>
  <c r="Q687" i="31"/>
  <c r="A688" i="31"/>
  <c r="E688" i="31"/>
  <c r="G688" i="31"/>
  <c r="I688" i="31"/>
  <c r="K688" i="31"/>
  <c r="M688" i="31"/>
  <c r="O688" i="31"/>
  <c r="Q688" i="31"/>
  <c r="A689" i="31"/>
  <c r="E689" i="31"/>
  <c r="G689" i="31"/>
  <c r="I689" i="31"/>
  <c r="K689" i="31"/>
  <c r="M689" i="31"/>
  <c r="O689" i="31"/>
  <c r="Q689" i="31"/>
  <c r="A690" i="31"/>
  <c r="E690" i="31"/>
  <c r="G690" i="31"/>
  <c r="I690" i="31"/>
  <c r="K690" i="31"/>
  <c r="M690" i="31"/>
  <c r="O690" i="31"/>
  <c r="Q690" i="31"/>
  <c r="A691" i="31"/>
  <c r="E691" i="31"/>
  <c r="G691" i="31"/>
  <c r="I691" i="31"/>
  <c r="K691" i="31"/>
  <c r="M691" i="31"/>
  <c r="O691" i="31"/>
  <c r="Q691" i="31"/>
  <c r="A692" i="31"/>
  <c r="E692" i="31"/>
  <c r="G692" i="31"/>
  <c r="I692" i="31"/>
  <c r="K692" i="31"/>
  <c r="M692" i="31"/>
  <c r="O692" i="31"/>
  <c r="Q692" i="31"/>
  <c r="A693" i="31"/>
  <c r="E693" i="31"/>
  <c r="G693" i="31"/>
  <c r="I693" i="31"/>
  <c r="K693" i="31"/>
  <c r="M693" i="31"/>
  <c r="O693" i="31"/>
  <c r="Q693" i="31"/>
  <c r="A694" i="31"/>
  <c r="E694" i="31"/>
  <c r="G694" i="31"/>
  <c r="I694" i="31"/>
  <c r="K694" i="31"/>
  <c r="M694" i="31"/>
  <c r="O694" i="31"/>
  <c r="Q694" i="31"/>
  <c r="A695" i="31"/>
  <c r="E695" i="31"/>
  <c r="G695" i="31"/>
  <c r="I695" i="31"/>
  <c r="K695" i="31"/>
  <c r="M695" i="31"/>
  <c r="O695" i="31"/>
  <c r="Q695" i="31"/>
  <c r="A696" i="31"/>
  <c r="E696" i="31"/>
  <c r="G696" i="31"/>
  <c r="I696" i="31"/>
  <c r="K696" i="31"/>
  <c r="M696" i="31"/>
  <c r="O696" i="31"/>
  <c r="Q696" i="31"/>
  <c r="A697" i="31"/>
  <c r="E697" i="31"/>
  <c r="G697" i="31"/>
  <c r="I697" i="31"/>
  <c r="K697" i="31"/>
  <c r="M697" i="31"/>
  <c r="O697" i="31"/>
  <c r="Q697" i="31"/>
  <c r="A698" i="31"/>
  <c r="E698" i="31"/>
  <c r="G698" i="31"/>
  <c r="I698" i="31"/>
  <c r="K698" i="31"/>
  <c r="M698" i="31"/>
  <c r="O698" i="31"/>
  <c r="Q698" i="31"/>
  <c r="A699" i="31"/>
  <c r="E699" i="31"/>
  <c r="G699" i="31"/>
  <c r="I699" i="31"/>
  <c r="K699" i="31"/>
  <c r="M699" i="31"/>
  <c r="O699" i="31"/>
  <c r="Q699" i="31"/>
  <c r="A700" i="31"/>
  <c r="E700" i="31"/>
  <c r="G700" i="31"/>
  <c r="I700" i="31"/>
  <c r="K700" i="31"/>
  <c r="M700" i="31"/>
  <c r="O700" i="31"/>
  <c r="Q700" i="31"/>
  <c r="A701" i="31"/>
  <c r="E701" i="31"/>
  <c r="G701" i="31"/>
  <c r="I701" i="31"/>
  <c r="K701" i="31"/>
  <c r="M701" i="31"/>
  <c r="O701" i="31"/>
  <c r="Q701" i="31"/>
  <c r="A702" i="31"/>
  <c r="E702" i="31"/>
  <c r="G702" i="31"/>
  <c r="I702" i="31"/>
  <c r="K702" i="31"/>
  <c r="M702" i="31"/>
  <c r="O702" i="31"/>
  <c r="Q702" i="31"/>
  <c r="A703" i="31"/>
  <c r="E703" i="31"/>
  <c r="G703" i="31"/>
  <c r="I703" i="31"/>
  <c r="K703" i="31"/>
  <c r="M703" i="31"/>
  <c r="O703" i="31"/>
  <c r="Q703" i="31"/>
  <c r="A704" i="31"/>
  <c r="E704" i="31"/>
  <c r="G704" i="31"/>
  <c r="I704" i="31"/>
  <c r="K704" i="31"/>
  <c r="M704" i="31"/>
  <c r="O704" i="31"/>
  <c r="Q704" i="31"/>
  <c r="A705" i="31"/>
  <c r="E705" i="31"/>
  <c r="G705" i="31"/>
  <c r="I705" i="31"/>
  <c r="K705" i="31"/>
  <c r="M705" i="31"/>
  <c r="O705" i="31"/>
  <c r="Q705" i="31"/>
  <c r="A706" i="31"/>
  <c r="E706" i="31"/>
  <c r="G706" i="31"/>
  <c r="I706" i="31"/>
  <c r="K706" i="31"/>
  <c r="M706" i="31"/>
  <c r="O706" i="31"/>
  <c r="Q706" i="31"/>
  <c r="A707" i="31"/>
  <c r="E707" i="31"/>
  <c r="G707" i="31"/>
  <c r="I707" i="31"/>
  <c r="K707" i="31"/>
  <c r="M707" i="31"/>
  <c r="O707" i="31"/>
  <c r="Q707" i="31"/>
  <c r="A708" i="31"/>
  <c r="E708" i="31"/>
  <c r="G708" i="31"/>
  <c r="I708" i="31"/>
  <c r="K708" i="31"/>
  <c r="M708" i="31"/>
  <c r="O708" i="31"/>
  <c r="Q708" i="31"/>
  <c r="A709" i="31"/>
  <c r="E709" i="31"/>
  <c r="G709" i="31"/>
  <c r="I709" i="31"/>
  <c r="K709" i="31"/>
  <c r="M709" i="31"/>
  <c r="O709" i="31"/>
  <c r="Q709" i="31"/>
  <c r="A710" i="31"/>
  <c r="E710" i="31"/>
  <c r="G710" i="31"/>
  <c r="I710" i="31"/>
  <c r="K710" i="31"/>
  <c r="M710" i="31"/>
  <c r="O710" i="31"/>
  <c r="Q710" i="31"/>
  <c r="A711" i="31"/>
  <c r="E711" i="31"/>
  <c r="G711" i="31"/>
  <c r="I711" i="31"/>
  <c r="K711" i="31"/>
  <c r="M711" i="31"/>
  <c r="O711" i="31"/>
  <c r="Q711" i="31"/>
  <c r="A712" i="31"/>
  <c r="E712" i="31"/>
  <c r="G712" i="31"/>
  <c r="I712" i="31"/>
  <c r="K712" i="31"/>
  <c r="M712" i="31"/>
  <c r="O712" i="31"/>
  <c r="Q712" i="31"/>
  <c r="A713" i="31"/>
  <c r="E713" i="31"/>
  <c r="G713" i="31"/>
  <c r="I713" i="31"/>
  <c r="K713" i="31"/>
  <c r="M713" i="31"/>
  <c r="O713" i="31"/>
  <c r="Q713" i="31"/>
  <c r="A714" i="31"/>
  <c r="E714" i="31"/>
  <c r="G714" i="31"/>
  <c r="I714" i="31"/>
  <c r="K714" i="31"/>
  <c r="M714" i="31"/>
  <c r="O714" i="31"/>
  <c r="Q714" i="31"/>
  <c r="A715" i="31"/>
  <c r="E715" i="31"/>
  <c r="G715" i="31"/>
  <c r="I715" i="31"/>
  <c r="K715" i="31"/>
  <c r="M715" i="31"/>
  <c r="O715" i="31"/>
  <c r="Q715" i="31"/>
  <c r="A716" i="31"/>
  <c r="E716" i="31"/>
  <c r="G716" i="31"/>
  <c r="I716" i="31"/>
  <c r="K716" i="31"/>
  <c r="M716" i="31"/>
  <c r="O716" i="31"/>
  <c r="Q716" i="31"/>
  <c r="A717" i="31"/>
  <c r="E717" i="31"/>
  <c r="G717" i="31"/>
  <c r="I717" i="31"/>
  <c r="K717" i="31"/>
  <c r="M717" i="31"/>
  <c r="O717" i="31"/>
  <c r="Q717" i="31"/>
  <c r="A718" i="31"/>
  <c r="E718" i="31"/>
  <c r="G718" i="31"/>
  <c r="I718" i="31"/>
  <c r="K718" i="31"/>
  <c r="M718" i="31"/>
  <c r="O718" i="31"/>
  <c r="Q718" i="31"/>
  <c r="A719" i="31"/>
  <c r="E719" i="31"/>
  <c r="G719" i="31"/>
  <c r="I719" i="31"/>
  <c r="K719" i="31"/>
  <c r="M719" i="31"/>
  <c r="O719" i="31"/>
  <c r="Q719" i="31"/>
  <c r="A720" i="31"/>
  <c r="E720" i="31"/>
  <c r="G720" i="31"/>
  <c r="I720" i="31"/>
  <c r="K720" i="31"/>
  <c r="M720" i="31"/>
  <c r="O720" i="31"/>
  <c r="Q720" i="31"/>
  <c r="A721" i="31"/>
  <c r="E721" i="31"/>
  <c r="G721" i="31"/>
  <c r="I721" i="31"/>
  <c r="K721" i="31"/>
  <c r="M721" i="31"/>
  <c r="O721" i="31"/>
  <c r="Q721" i="31"/>
  <c r="A722" i="31"/>
  <c r="E722" i="31"/>
  <c r="G722" i="31"/>
  <c r="I722" i="31"/>
  <c r="K722" i="31"/>
  <c r="M722" i="31"/>
  <c r="O722" i="31"/>
  <c r="Q722" i="31"/>
  <c r="A723" i="31"/>
  <c r="E723" i="31"/>
  <c r="G723" i="31"/>
  <c r="I723" i="31"/>
  <c r="K723" i="31"/>
  <c r="M723" i="31"/>
  <c r="O723" i="31"/>
  <c r="Q723" i="31"/>
  <c r="A724" i="31"/>
  <c r="E724" i="31"/>
  <c r="G724" i="31"/>
  <c r="I724" i="31"/>
  <c r="K724" i="31"/>
  <c r="M724" i="31"/>
  <c r="O724" i="31"/>
  <c r="Q724" i="31"/>
  <c r="A725" i="31"/>
  <c r="E725" i="31"/>
  <c r="G725" i="31"/>
  <c r="I725" i="31"/>
  <c r="K725" i="31"/>
  <c r="M725" i="31"/>
  <c r="O725" i="31"/>
  <c r="Q725" i="31"/>
  <c r="A726" i="31"/>
  <c r="E726" i="31"/>
  <c r="G726" i="31"/>
  <c r="I726" i="31"/>
  <c r="K726" i="31"/>
  <c r="M726" i="31"/>
  <c r="O726" i="31"/>
  <c r="Q726" i="31"/>
  <c r="A727" i="31"/>
  <c r="E727" i="31"/>
  <c r="G727" i="31"/>
  <c r="I727" i="31"/>
  <c r="K727" i="31"/>
  <c r="M727" i="31"/>
  <c r="O727" i="31"/>
  <c r="Q727" i="31"/>
  <c r="A728" i="31"/>
  <c r="E728" i="31"/>
  <c r="G728" i="31"/>
  <c r="I728" i="31"/>
  <c r="K728" i="31"/>
  <c r="M728" i="31"/>
  <c r="O728" i="31"/>
  <c r="Q728" i="31"/>
  <c r="A729" i="31"/>
  <c r="E729" i="31"/>
  <c r="G729" i="31"/>
  <c r="I729" i="31"/>
  <c r="K729" i="31"/>
  <c r="M729" i="31"/>
  <c r="O729" i="31"/>
  <c r="Q729" i="31"/>
  <c r="A730" i="31"/>
  <c r="E730" i="31"/>
  <c r="G730" i="31"/>
  <c r="I730" i="31"/>
  <c r="K730" i="31"/>
  <c r="M730" i="31"/>
  <c r="O730" i="31"/>
  <c r="Q730" i="31"/>
  <c r="A731" i="31"/>
  <c r="E731" i="31"/>
  <c r="G731" i="31"/>
  <c r="I731" i="31"/>
  <c r="K731" i="31"/>
  <c r="M731" i="31"/>
  <c r="O731" i="31"/>
  <c r="Q731" i="31"/>
  <c r="A732" i="31"/>
  <c r="E732" i="31"/>
  <c r="G732" i="31"/>
  <c r="I732" i="31"/>
  <c r="K732" i="31"/>
  <c r="M732" i="31"/>
  <c r="O732" i="31"/>
  <c r="Q732" i="31"/>
  <c r="A733" i="31"/>
  <c r="E733" i="31"/>
  <c r="G733" i="31"/>
  <c r="I733" i="31"/>
  <c r="K733" i="31"/>
  <c r="M733" i="31"/>
  <c r="O733" i="31"/>
  <c r="Q733" i="31"/>
  <c r="A734" i="31"/>
  <c r="E734" i="31"/>
  <c r="G734" i="31"/>
  <c r="I734" i="31"/>
  <c r="K734" i="31"/>
  <c r="M734" i="31"/>
  <c r="O734" i="31"/>
  <c r="Q734" i="31"/>
  <c r="A735" i="31"/>
  <c r="E735" i="31"/>
  <c r="G735" i="31"/>
  <c r="I735" i="31"/>
  <c r="K735" i="31"/>
  <c r="M735" i="31"/>
  <c r="O735" i="31"/>
  <c r="Q735" i="31"/>
  <c r="A736" i="31"/>
  <c r="E736" i="31"/>
  <c r="G736" i="31"/>
  <c r="I736" i="31"/>
  <c r="K736" i="31"/>
  <c r="M736" i="31"/>
  <c r="O736" i="31"/>
  <c r="Q736" i="31"/>
  <c r="A737" i="31"/>
  <c r="E737" i="31"/>
  <c r="G737" i="31"/>
  <c r="I737" i="31"/>
  <c r="K737" i="31"/>
  <c r="M737" i="31"/>
  <c r="O737" i="31"/>
  <c r="Q737" i="31"/>
  <c r="A738" i="31"/>
  <c r="E738" i="31"/>
  <c r="G738" i="31"/>
  <c r="I738" i="31"/>
  <c r="K738" i="31"/>
  <c r="M738" i="31"/>
  <c r="O738" i="31"/>
  <c r="Q738" i="31"/>
  <c r="A739" i="31"/>
  <c r="E739" i="31"/>
  <c r="G739" i="31"/>
  <c r="I739" i="31"/>
  <c r="K739" i="31"/>
  <c r="M739" i="31"/>
  <c r="O739" i="31"/>
  <c r="Q739" i="31"/>
  <c r="A740" i="31"/>
  <c r="E740" i="31"/>
  <c r="G740" i="31"/>
  <c r="I740" i="31"/>
  <c r="K740" i="31"/>
  <c r="M740" i="31"/>
  <c r="O740" i="31"/>
  <c r="Q740" i="31"/>
  <c r="A741" i="31"/>
  <c r="E741" i="31"/>
  <c r="G741" i="31"/>
  <c r="I741" i="31"/>
  <c r="K741" i="31"/>
  <c r="M741" i="31"/>
  <c r="O741" i="31"/>
  <c r="Q741" i="31"/>
  <c r="A742" i="31"/>
  <c r="E742" i="31"/>
  <c r="G742" i="31"/>
  <c r="I742" i="31"/>
  <c r="K742" i="31"/>
  <c r="M742" i="31"/>
  <c r="O742" i="31"/>
  <c r="Q742" i="31"/>
  <c r="A743" i="31"/>
  <c r="E743" i="31"/>
  <c r="G743" i="31"/>
  <c r="I743" i="31"/>
  <c r="K743" i="31"/>
  <c r="M743" i="31"/>
  <c r="O743" i="31"/>
  <c r="Q743" i="31"/>
  <c r="A744" i="31"/>
  <c r="E744" i="31"/>
  <c r="G744" i="31"/>
  <c r="I744" i="31"/>
  <c r="K744" i="31"/>
  <c r="M744" i="31"/>
  <c r="O744" i="31"/>
  <c r="Q744" i="31"/>
  <c r="A745" i="31"/>
  <c r="E745" i="31"/>
  <c r="G745" i="31"/>
  <c r="I745" i="31"/>
  <c r="K745" i="31"/>
  <c r="M745" i="31"/>
  <c r="O745" i="31"/>
  <c r="Q745" i="31"/>
  <c r="A746" i="31"/>
  <c r="E746" i="31"/>
  <c r="G746" i="31"/>
  <c r="I746" i="31"/>
  <c r="K746" i="31"/>
  <c r="M746" i="31"/>
  <c r="O746" i="31"/>
  <c r="Q746" i="31"/>
  <c r="A747" i="31"/>
  <c r="E747" i="31"/>
  <c r="G747" i="31"/>
  <c r="I747" i="31"/>
  <c r="K747" i="31"/>
  <c r="M747" i="31"/>
  <c r="O747" i="31"/>
  <c r="Q747" i="31"/>
  <c r="A748" i="31"/>
  <c r="E748" i="31"/>
  <c r="G748" i="31"/>
  <c r="I748" i="31"/>
  <c r="K748" i="31"/>
  <c r="M748" i="31"/>
  <c r="O748" i="31"/>
  <c r="Q748" i="31"/>
  <c r="A749" i="31"/>
  <c r="E749" i="31"/>
  <c r="G749" i="31"/>
  <c r="I749" i="31"/>
  <c r="K749" i="31"/>
  <c r="M749" i="31"/>
  <c r="O749" i="31"/>
  <c r="Q749" i="31"/>
  <c r="A750" i="31"/>
  <c r="E750" i="31"/>
  <c r="G750" i="31"/>
  <c r="I750" i="31"/>
  <c r="K750" i="31"/>
  <c r="M750" i="31"/>
  <c r="O750" i="31"/>
  <c r="Q750" i="31"/>
  <c r="A751" i="31"/>
  <c r="E751" i="31"/>
  <c r="G751" i="31"/>
  <c r="I751" i="31"/>
  <c r="K751" i="31"/>
  <c r="M751" i="31"/>
  <c r="O751" i="31"/>
  <c r="Q751" i="31"/>
  <c r="A752" i="31"/>
  <c r="E752" i="31"/>
  <c r="G752" i="31"/>
  <c r="I752" i="31"/>
  <c r="K752" i="31"/>
  <c r="M752" i="31"/>
  <c r="O752" i="31"/>
  <c r="Q752" i="31"/>
  <c r="A753" i="31"/>
  <c r="E753" i="31"/>
  <c r="G753" i="31"/>
  <c r="I753" i="31"/>
  <c r="K753" i="31"/>
  <c r="M753" i="31"/>
  <c r="O753" i="31"/>
  <c r="Q753" i="31"/>
  <c r="A754" i="31"/>
  <c r="E754" i="31"/>
  <c r="G754" i="31"/>
  <c r="I754" i="31"/>
  <c r="K754" i="31"/>
  <c r="M754" i="31"/>
  <c r="O754" i="31"/>
  <c r="Q754" i="31"/>
  <c r="A755" i="31"/>
  <c r="E755" i="31"/>
  <c r="G755" i="31"/>
  <c r="I755" i="31"/>
  <c r="K755" i="31"/>
  <c r="M755" i="31"/>
  <c r="O755" i="31"/>
  <c r="Q755" i="31"/>
  <c r="A756" i="31"/>
  <c r="E756" i="31"/>
  <c r="G756" i="31"/>
  <c r="I756" i="31"/>
  <c r="K756" i="31"/>
  <c r="M756" i="31"/>
  <c r="O756" i="31"/>
  <c r="Q756" i="31"/>
  <c r="A757" i="31"/>
  <c r="E757" i="31"/>
  <c r="G757" i="31"/>
  <c r="I757" i="31"/>
  <c r="K757" i="31"/>
  <c r="M757" i="31"/>
  <c r="O757" i="31"/>
  <c r="Q757" i="31"/>
  <c r="A758" i="31"/>
  <c r="E758" i="31"/>
  <c r="G758" i="31"/>
  <c r="I758" i="31"/>
  <c r="K758" i="31"/>
  <c r="M758" i="31"/>
  <c r="O758" i="31"/>
  <c r="Q758" i="31"/>
  <c r="A759" i="31"/>
  <c r="E759" i="31"/>
  <c r="G759" i="31"/>
  <c r="I759" i="31"/>
  <c r="K759" i="31"/>
  <c r="M759" i="31"/>
  <c r="O759" i="31"/>
  <c r="Q759" i="31"/>
  <c r="A760" i="31"/>
  <c r="E760" i="31"/>
  <c r="G760" i="31"/>
  <c r="I760" i="31"/>
  <c r="K760" i="31"/>
  <c r="M760" i="31"/>
  <c r="O760" i="31"/>
  <c r="Q760" i="31"/>
  <c r="A761" i="31"/>
  <c r="E761" i="31"/>
  <c r="G761" i="31"/>
  <c r="I761" i="31"/>
  <c r="K761" i="31"/>
  <c r="M761" i="31"/>
  <c r="O761" i="31"/>
  <c r="Q761" i="31"/>
  <c r="A762" i="31"/>
  <c r="E762" i="31"/>
  <c r="G762" i="31"/>
  <c r="I762" i="31"/>
  <c r="K762" i="31"/>
  <c r="M762" i="31"/>
  <c r="O762" i="31"/>
  <c r="Q762" i="31"/>
  <c r="A763" i="31"/>
  <c r="E763" i="31"/>
  <c r="G763" i="31"/>
  <c r="I763" i="31"/>
  <c r="K763" i="31"/>
  <c r="M763" i="31"/>
  <c r="O763" i="31"/>
  <c r="Q763" i="31"/>
  <c r="A764" i="31"/>
  <c r="E764" i="31"/>
  <c r="G764" i="31"/>
  <c r="I764" i="31"/>
  <c r="K764" i="31"/>
  <c r="M764" i="31"/>
  <c r="O764" i="31"/>
  <c r="Q764" i="31"/>
  <c r="A765" i="31"/>
  <c r="E765" i="31"/>
  <c r="G765" i="31"/>
  <c r="I765" i="31"/>
  <c r="K765" i="31"/>
  <c r="M765" i="31"/>
  <c r="O765" i="31"/>
  <c r="Q765" i="31"/>
  <c r="A766" i="31"/>
  <c r="E766" i="31"/>
  <c r="G766" i="31"/>
  <c r="I766" i="31"/>
  <c r="K766" i="31"/>
  <c r="M766" i="31"/>
  <c r="O766" i="31"/>
  <c r="Q766" i="31"/>
  <c r="A767" i="31"/>
  <c r="E767" i="31"/>
  <c r="G767" i="31"/>
  <c r="I767" i="31"/>
  <c r="K767" i="31"/>
  <c r="M767" i="31"/>
  <c r="O767" i="31"/>
  <c r="Q767" i="31"/>
  <c r="A768" i="31"/>
  <c r="E768" i="31"/>
  <c r="G768" i="31"/>
  <c r="I768" i="31"/>
  <c r="K768" i="31"/>
  <c r="M768" i="31"/>
  <c r="O768" i="31"/>
  <c r="Q768" i="31"/>
  <c r="A769" i="31"/>
  <c r="E769" i="31"/>
  <c r="G769" i="31"/>
  <c r="I769" i="31"/>
  <c r="K769" i="31"/>
  <c r="M769" i="31"/>
  <c r="O769" i="31"/>
  <c r="Q769" i="31"/>
  <c r="A770" i="31"/>
  <c r="E770" i="31"/>
  <c r="G770" i="31"/>
  <c r="I770" i="31"/>
  <c r="K770" i="31"/>
  <c r="M770" i="31"/>
  <c r="O770" i="31"/>
  <c r="Q770" i="31"/>
  <c r="A771" i="31"/>
  <c r="E771" i="31"/>
  <c r="G771" i="31"/>
  <c r="I771" i="31"/>
  <c r="K771" i="31"/>
  <c r="M771" i="31"/>
  <c r="O771" i="31"/>
  <c r="Q771" i="31"/>
  <c r="A772" i="31"/>
  <c r="E772" i="31"/>
  <c r="G772" i="31"/>
  <c r="I772" i="31"/>
  <c r="K772" i="31"/>
  <c r="M772" i="31"/>
  <c r="O772" i="31"/>
  <c r="Q772" i="31"/>
  <c r="A773" i="31"/>
  <c r="E773" i="31"/>
  <c r="G773" i="31"/>
  <c r="I773" i="31"/>
  <c r="K773" i="31"/>
  <c r="M773" i="31"/>
  <c r="O773" i="31"/>
  <c r="Q773" i="31"/>
  <c r="A774" i="31"/>
  <c r="E774" i="31"/>
  <c r="G774" i="31"/>
  <c r="I774" i="31"/>
  <c r="K774" i="31"/>
  <c r="M774" i="31"/>
  <c r="O774" i="31"/>
  <c r="Q774" i="31"/>
  <c r="A775" i="31"/>
  <c r="E775" i="31"/>
  <c r="G775" i="31"/>
  <c r="I775" i="31"/>
  <c r="K775" i="31"/>
  <c r="M775" i="31"/>
  <c r="O775" i="31"/>
  <c r="Q775" i="31"/>
  <c r="A776" i="31"/>
  <c r="E776" i="31"/>
  <c r="G776" i="31"/>
  <c r="I776" i="31"/>
  <c r="K776" i="31"/>
  <c r="M776" i="31"/>
  <c r="O776" i="31"/>
  <c r="Q776" i="31"/>
  <c r="A777" i="31"/>
  <c r="E777" i="31"/>
  <c r="G777" i="31"/>
  <c r="I777" i="31"/>
  <c r="K777" i="31"/>
  <c r="M777" i="31"/>
  <c r="O777" i="31"/>
  <c r="Q777" i="31"/>
  <c r="A778" i="31"/>
  <c r="E778" i="31"/>
  <c r="G778" i="31"/>
  <c r="I778" i="31"/>
  <c r="K778" i="31"/>
  <c r="M778" i="31"/>
  <c r="O778" i="31"/>
  <c r="Q778" i="31"/>
  <c r="A779" i="31"/>
  <c r="E779" i="31"/>
  <c r="G779" i="31"/>
  <c r="I779" i="31"/>
  <c r="K779" i="31"/>
  <c r="M779" i="31"/>
  <c r="O779" i="31"/>
  <c r="Q779" i="31"/>
  <c r="A780" i="31"/>
  <c r="E780" i="31"/>
  <c r="G780" i="31"/>
  <c r="I780" i="31"/>
  <c r="K780" i="31"/>
  <c r="M780" i="31"/>
  <c r="O780" i="31"/>
  <c r="Q780" i="31"/>
  <c r="A781" i="31"/>
  <c r="E781" i="31"/>
  <c r="G781" i="31"/>
  <c r="I781" i="31"/>
  <c r="K781" i="31"/>
  <c r="M781" i="31"/>
  <c r="O781" i="31"/>
  <c r="Q781" i="31"/>
  <c r="A782" i="31"/>
  <c r="E782" i="31"/>
  <c r="G782" i="31"/>
  <c r="I782" i="31"/>
  <c r="K782" i="31"/>
  <c r="M782" i="31"/>
  <c r="O782" i="31"/>
  <c r="Q782" i="31"/>
  <c r="A783" i="31"/>
  <c r="E783" i="31"/>
  <c r="G783" i="31"/>
  <c r="I783" i="31"/>
  <c r="K783" i="31"/>
  <c r="M783" i="31"/>
  <c r="O783" i="31"/>
  <c r="Q783" i="31"/>
  <c r="A784" i="31"/>
  <c r="E784" i="31"/>
  <c r="G784" i="31"/>
  <c r="I784" i="31"/>
  <c r="K784" i="31"/>
  <c r="M784" i="31"/>
  <c r="O784" i="31"/>
  <c r="Q784" i="31"/>
  <c r="A785" i="31"/>
  <c r="E785" i="31"/>
  <c r="G785" i="31"/>
  <c r="I785" i="31"/>
  <c r="K785" i="31"/>
  <c r="M785" i="31"/>
  <c r="O785" i="31"/>
  <c r="Q785" i="31"/>
  <c r="A786" i="31"/>
  <c r="E786" i="31"/>
  <c r="G786" i="31"/>
  <c r="I786" i="31"/>
  <c r="K786" i="31"/>
  <c r="M786" i="31"/>
  <c r="O786" i="31"/>
  <c r="Q786" i="31"/>
  <c r="A787" i="31"/>
  <c r="E787" i="31"/>
  <c r="G787" i="31"/>
  <c r="I787" i="31"/>
  <c r="K787" i="31"/>
  <c r="M787" i="31"/>
  <c r="O787" i="31"/>
  <c r="Q787" i="31"/>
  <c r="A788" i="31"/>
  <c r="E788" i="31"/>
  <c r="G788" i="31"/>
  <c r="I788" i="31"/>
  <c r="K788" i="31"/>
  <c r="M788" i="31"/>
  <c r="O788" i="31"/>
  <c r="Q788" i="31"/>
  <c r="A789" i="31"/>
  <c r="E789" i="31"/>
  <c r="G789" i="31"/>
  <c r="I789" i="31"/>
  <c r="K789" i="31"/>
  <c r="M789" i="31"/>
  <c r="O789" i="31"/>
  <c r="Q789" i="31"/>
  <c r="A790" i="31"/>
  <c r="E790" i="31"/>
  <c r="G790" i="31"/>
  <c r="I790" i="31"/>
  <c r="K790" i="31"/>
  <c r="M790" i="31"/>
  <c r="O790" i="31"/>
  <c r="Q790" i="31"/>
  <c r="A791" i="31"/>
  <c r="E791" i="31"/>
  <c r="G791" i="31"/>
  <c r="I791" i="31"/>
  <c r="K791" i="31"/>
  <c r="M791" i="31"/>
  <c r="O791" i="31"/>
  <c r="Q791" i="31"/>
  <c r="A792" i="31"/>
  <c r="E792" i="31"/>
  <c r="G792" i="31"/>
  <c r="I792" i="31"/>
  <c r="K792" i="31"/>
  <c r="M792" i="31"/>
  <c r="O792" i="31"/>
  <c r="Q792" i="31"/>
  <c r="A793" i="31"/>
  <c r="E793" i="31"/>
  <c r="G793" i="31"/>
  <c r="I793" i="31"/>
  <c r="K793" i="31"/>
  <c r="M793" i="31"/>
  <c r="O793" i="31"/>
  <c r="Q793" i="31"/>
  <c r="A794" i="31"/>
  <c r="E794" i="31"/>
  <c r="G794" i="31"/>
  <c r="I794" i="31"/>
  <c r="K794" i="31"/>
  <c r="M794" i="31"/>
  <c r="O794" i="31"/>
  <c r="Q794" i="31"/>
  <c r="A795" i="31"/>
  <c r="E795" i="31"/>
  <c r="G795" i="31"/>
  <c r="I795" i="31"/>
  <c r="K795" i="31"/>
  <c r="M795" i="31"/>
  <c r="O795" i="31"/>
  <c r="Q795" i="31"/>
  <c r="A796" i="31"/>
  <c r="E796" i="31"/>
  <c r="G796" i="31"/>
  <c r="I796" i="31"/>
  <c r="K796" i="31"/>
  <c r="M796" i="31"/>
  <c r="O796" i="31"/>
  <c r="Q796" i="31"/>
  <c r="A797" i="31"/>
  <c r="E797" i="31"/>
  <c r="G797" i="31"/>
  <c r="I797" i="31"/>
  <c r="K797" i="31"/>
  <c r="M797" i="31"/>
  <c r="O797" i="31"/>
  <c r="Q797" i="31"/>
  <c r="A798" i="31"/>
  <c r="E798" i="31"/>
  <c r="G798" i="31"/>
  <c r="I798" i="31"/>
  <c r="K798" i="31"/>
  <c r="M798" i="31"/>
  <c r="O798" i="31"/>
  <c r="Q798" i="31"/>
  <c r="A799" i="31"/>
  <c r="E799" i="31"/>
  <c r="G799" i="31"/>
  <c r="I799" i="31"/>
  <c r="K799" i="31"/>
  <c r="M799" i="31"/>
  <c r="O799" i="31"/>
  <c r="Q799" i="31"/>
  <c r="A800" i="31"/>
  <c r="E800" i="31"/>
  <c r="G800" i="31"/>
  <c r="I800" i="31"/>
  <c r="K800" i="31"/>
  <c r="M800" i="31"/>
  <c r="O800" i="31"/>
  <c r="Q800" i="31"/>
  <c r="A801" i="31"/>
  <c r="E801" i="31"/>
  <c r="G801" i="31"/>
  <c r="I801" i="31"/>
  <c r="K801" i="31"/>
  <c r="M801" i="31"/>
  <c r="O801" i="31"/>
  <c r="Q801" i="31"/>
  <c r="A802" i="31"/>
  <c r="E802" i="31"/>
  <c r="G802" i="31"/>
  <c r="I802" i="31"/>
  <c r="K802" i="31"/>
  <c r="M802" i="31"/>
  <c r="O802" i="31"/>
  <c r="Q802" i="31"/>
  <c r="A803" i="31"/>
  <c r="E803" i="31"/>
  <c r="G803" i="31"/>
  <c r="I803" i="31"/>
  <c r="K803" i="31"/>
  <c r="M803" i="31"/>
  <c r="O803" i="31"/>
  <c r="Q803" i="31"/>
  <c r="A804" i="31"/>
  <c r="E804" i="31"/>
  <c r="G804" i="31"/>
  <c r="I804" i="31"/>
  <c r="K804" i="31"/>
  <c r="M804" i="31"/>
  <c r="O804" i="31"/>
  <c r="Q804" i="31"/>
  <c r="A805" i="31"/>
  <c r="E805" i="31"/>
  <c r="G805" i="31"/>
  <c r="I805" i="31"/>
  <c r="K805" i="31"/>
  <c r="M805" i="31"/>
  <c r="O805" i="31"/>
  <c r="Q805" i="31"/>
  <c r="A806" i="31"/>
  <c r="E806" i="31"/>
  <c r="G806" i="31"/>
  <c r="I806" i="31"/>
  <c r="K806" i="31"/>
  <c r="M806" i="31"/>
  <c r="O806" i="31"/>
  <c r="Q806" i="31"/>
  <c r="A807" i="31"/>
  <c r="E807" i="31"/>
  <c r="G807" i="31"/>
  <c r="I807" i="31"/>
  <c r="K807" i="31"/>
  <c r="M807" i="31"/>
  <c r="O807" i="31"/>
  <c r="Q807" i="31"/>
  <c r="A808" i="31"/>
  <c r="E808" i="31"/>
  <c r="G808" i="31"/>
  <c r="I808" i="31"/>
  <c r="K808" i="31"/>
  <c r="M808" i="31"/>
  <c r="O808" i="31"/>
  <c r="Q808" i="31"/>
  <c r="A809" i="31"/>
  <c r="E809" i="31"/>
  <c r="G809" i="31"/>
  <c r="I809" i="31"/>
  <c r="K809" i="31"/>
  <c r="M809" i="31"/>
  <c r="O809" i="31"/>
  <c r="Q809" i="31"/>
  <c r="A810" i="31"/>
  <c r="E810" i="31"/>
  <c r="G810" i="31"/>
  <c r="I810" i="31"/>
  <c r="K810" i="31"/>
  <c r="M810" i="31"/>
  <c r="O810" i="31"/>
  <c r="Q810" i="31"/>
  <c r="A811" i="31"/>
  <c r="E811" i="31"/>
  <c r="G811" i="31"/>
  <c r="I811" i="31"/>
  <c r="K811" i="31"/>
  <c r="M811" i="31"/>
  <c r="O811" i="31"/>
  <c r="Q811" i="31"/>
  <c r="A812" i="31"/>
  <c r="E812" i="31"/>
  <c r="G812" i="31"/>
  <c r="I812" i="31"/>
  <c r="K812" i="31"/>
  <c r="M812" i="31"/>
  <c r="O812" i="31"/>
  <c r="Q812" i="31"/>
  <c r="A813" i="31"/>
  <c r="E813" i="31"/>
  <c r="G813" i="31"/>
  <c r="I813" i="31"/>
  <c r="K813" i="31"/>
  <c r="M813" i="31"/>
  <c r="O813" i="31"/>
  <c r="Q813" i="31"/>
  <c r="A814" i="31"/>
  <c r="E814" i="31"/>
  <c r="G814" i="31"/>
  <c r="I814" i="31"/>
  <c r="K814" i="31"/>
  <c r="M814" i="31"/>
  <c r="O814" i="31"/>
  <c r="Q814" i="31"/>
  <c r="A815" i="31"/>
  <c r="E815" i="31"/>
  <c r="G815" i="31"/>
  <c r="I815" i="31"/>
  <c r="K815" i="31"/>
  <c r="M815" i="31"/>
  <c r="O815" i="31"/>
  <c r="Q815" i="31"/>
  <c r="A816" i="31"/>
  <c r="E816" i="31"/>
  <c r="G816" i="31"/>
  <c r="I816" i="31"/>
  <c r="K816" i="31"/>
  <c r="M816" i="31"/>
  <c r="O816" i="31"/>
  <c r="Q816" i="31"/>
  <c r="A817" i="31"/>
  <c r="E817" i="31"/>
  <c r="G817" i="31"/>
  <c r="I817" i="31"/>
  <c r="K817" i="31"/>
  <c r="M817" i="31"/>
  <c r="O817" i="31"/>
  <c r="Q817" i="31"/>
  <c r="A818" i="31"/>
  <c r="E818" i="31"/>
  <c r="G818" i="31"/>
  <c r="I818" i="31"/>
  <c r="K818" i="31"/>
  <c r="M818" i="31"/>
  <c r="O818" i="31"/>
  <c r="Q818" i="31"/>
  <c r="A819" i="31"/>
  <c r="E819" i="31"/>
  <c r="G819" i="31"/>
  <c r="I819" i="31"/>
  <c r="K819" i="31"/>
  <c r="M819" i="31"/>
  <c r="O819" i="31"/>
  <c r="Q819" i="31"/>
  <c r="A820" i="31"/>
  <c r="E820" i="31"/>
  <c r="G820" i="31"/>
  <c r="I820" i="31"/>
  <c r="K820" i="31"/>
  <c r="M820" i="31"/>
  <c r="O820" i="31"/>
  <c r="Q820" i="31"/>
  <c r="A821" i="31"/>
  <c r="E821" i="31"/>
  <c r="G821" i="31"/>
  <c r="I821" i="31"/>
  <c r="K821" i="31"/>
  <c r="M821" i="31"/>
  <c r="O821" i="31"/>
  <c r="Q821" i="31"/>
  <c r="A822" i="31"/>
  <c r="E822" i="31"/>
  <c r="G822" i="31"/>
  <c r="I822" i="31"/>
  <c r="K822" i="31"/>
  <c r="M822" i="31"/>
  <c r="O822" i="31"/>
  <c r="Q822" i="31"/>
  <c r="A823" i="31"/>
  <c r="E823" i="31"/>
  <c r="G823" i="31"/>
  <c r="I823" i="31"/>
  <c r="K823" i="31"/>
  <c r="M823" i="31"/>
  <c r="O823" i="31"/>
  <c r="Q823" i="31"/>
  <c r="A824" i="31"/>
  <c r="E824" i="31"/>
  <c r="G824" i="31"/>
  <c r="I824" i="31"/>
  <c r="K824" i="31"/>
  <c r="M824" i="31"/>
  <c r="O824" i="31"/>
  <c r="Q824" i="31"/>
  <c r="A825" i="31"/>
  <c r="E825" i="31"/>
  <c r="G825" i="31"/>
  <c r="I825" i="31"/>
  <c r="K825" i="31"/>
  <c r="M825" i="31"/>
  <c r="O825" i="31"/>
  <c r="Q825" i="31"/>
  <c r="A826" i="31"/>
  <c r="E826" i="31"/>
  <c r="G826" i="31"/>
  <c r="I826" i="31"/>
  <c r="K826" i="31"/>
  <c r="M826" i="31"/>
  <c r="O826" i="31"/>
  <c r="Q826" i="31"/>
  <c r="A827" i="31"/>
  <c r="E827" i="31"/>
  <c r="G827" i="31"/>
  <c r="I827" i="31"/>
  <c r="K827" i="31"/>
  <c r="M827" i="31"/>
  <c r="O827" i="31"/>
  <c r="Q827" i="31"/>
  <c r="A828" i="31"/>
  <c r="E828" i="31"/>
  <c r="G828" i="31"/>
  <c r="I828" i="31"/>
  <c r="K828" i="31"/>
  <c r="M828" i="31"/>
  <c r="O828" i="31"/>
  <c r="Q828" i="31"/>
  <c r="A829" i="31"/>
  <c r="E829" i="31"/>
  <c r="G829" i="31"/>
  <c r="I829" i="31"/>
  <c r="K829" i="31"/>
  <c r="M829" i="31"/>
  <c r="O829" i="31"/>
  <c r="Q829" i="31"/>
  <c r="A830" i="31"/>
  <c r="E830" i="31"/>
  <c r="G830" i="31"/>
  <c r="I830" i="31"/>
  <c r="K830" i="31"/>
  <c r="M830" i="31"/>
  <c r="O830" i="31"/>
  <c r="Q830" i="31"/>
  <c r="A831" i="31"/>
  <c r="E831" i="31"/>
  <c r="G831" i="31"/>
  <c r="I831" i="31"/>
  <c r="K831" i="31"/>
  <c r="M831" i="31"/>
  <c r="O831" i="31"/>
  <c r="Q831" i="31"/>
  <c r="A832" i="31"/>
  <c r="E832" i="31"/>
  <c r="G832" i="31"/>
  <c r="I832" i="31"/>
  <c r="K832" i="31"/>
  <c r="M832" i="31"/>
  <c r="O832" i="31"/>
  <c r="Q832" i="31"/>
  <c r="A833" i="31"/>
  <c r="E833" i="31"/>
  <c r="G833" i="31"/>
  <c r="I833" i="31"/>
  <c r="K833" i="31"/>
  <c r="M833" i="31"/>
  <c r="O833" i="31"/>
  <c r="Q833" i="31"/>
  <c r="A834" i="31"/>
  <c r="E834" i="31"/>
  <c r="G834" i="31"/>
  <c r="I834" i="31"/>
  <c r="K834" i="31"/>
  <c r="M834" i="31"/>
  <c r="O834" i="31"/>
  <c r="Q834" i="31"/>
  <c r="A835" i="31"/>
  <c r="E835" i="31"/>
  <c r="G835" i="31"/>
  <c r="I835" i="31"/>
  <c r="K835" i="31"/>
  <c r="M835" i="31"/>
  <c r="O835" i="31"/>
  <c r="Q835" i="31"/>
  <c r="A836" i="31"/>
  <c r="E836" i="31"/>
  <c r="G836" i="31"/>
  <c r="I836" i="31"/>
  <c r="K836" i="31"/>
  <c r="M836" i="31"/>
  <c r="O836" i="31"/>
  <c r="Q836" i="31"/>
  <c r="A837" i="31"/>
  <c r="E837" i="31"/>
  <c r="G837" i="31"/>
  <c r="I837" i="31"/>
  <c r="K837" i="31"/>
  <c r="M837" i="31"/>
  <c r="O837" i="31"/>
  <c r="Q837" i="31"/>
  <c r="A838" i="31"/>
  <c r="E838" i="31"/>
  <c r="G838" i="31"/>
  <c r="I838" i="31"/>
  <c r="K838" i="31"/>
  <c r="M838" i="31"/>
  <c r="O838" i="31"/>
  <c r="Q838" i="31"/>
  <c r="A839" i="31"/>
  <c r="E839" i="31"/>
  <c r="G839" i="31"/>
  <c r="I839" i="31"/>
  <c r="K839" i="31"/>
  <c r="M839" i="31"/>
  <c r="O839" i="31"/>
  <c r="Q839" i="31"/>
  <c r="A840" i="31"/>
  <c r="E840" i="31"/>
  <c r="G840" i="31"/>
  <c r="I840" i="31"/>
  <c r="K840" i="31"/>
  <c r="M840" i="31"/>
  <c r="O840" i="31"/>
  <c r="Q840" i="31"/>
  <c r="A841" i="31"/>
  <c r="E841" i="31"/>
  <c r="G841" i="31"/>
  <c r="I841" i="31"/>
  <c r="K841" i="31"/>
  <c r="M841" i="31"/>
  <c r="O841" i="31"/>
  <c r="Q841" i="31"/>
  <c r="A842" i="31"/>
  <c r="E842" i="31"/>
  <c r="G842" i="31"/>
  <c r="I842" i="31"/>
  <c r="K842" i="31"/>
  <c r="M842" i="31"/>
  <c r="O842" i="31"/>
  <c r="Q842" i="31"/>
  <c r="A843" i="31"/>
  <c r="E843" i="31"/>
  <c r="G843" i="31"/>
  <c r="I843" i="31"/>
  <c r="K843" i="31"/>
  <c r="M843" i="31"/>
  <c r="O843" i="31"/>
  <c r="Q843" i="31"/>
  <c r="A844" i="31"/>
  <c r="E844" i="31"/>
  <c r="G844" i="31"/>
  <c r="I844" i="31"/>
  <c r="K844" i="31"/>
  <c r="M844" i="31"/>
  <c r="O844" i="31"/>
  <c r="Q844" i="31"/>
  <c r="A845" i="31"/>
  <c r="E845" i="31"/>
  <c r="G845" i="31"/>
  <c r="I845" i="31"/>
  <c r="K845" i="31"/>
  <c r="M845" i="31"/>
  <c r="O845" i="31"/>
  <c r="Q845" i="31"/>
  <c r="A846" i="31"/>
  <c r="E846" i="31"/>
  <c r="G846" i="31"/>
  <c r="I846" i="31"/>
  <c r="K846" i="31"/>
  <c r="M846" i="31"/>
  <c r="O846" i="31"/>
  <c r="Q846" i="31"/>
  <c r="A847" i="31"/>
  <c r="E847" i="31"/>
  <c r="G847" i="31"/>
  <c r="I847" i="31"/>
  <c r="K847" i="31"/>
  <c r="M847" i="31"/>
  <c r="O847" i="31"/>
  <c r="Q847" i="31"/>
  <c r="A848" i="31"/>
  <c r="E848" i="31"/>
  <c r="G848" i="31"/>
  <c r="I848" i="31"/>
  <c r="K848" i="31"/>
  <c r="M848" i="31"/>
  <c r="O848" i="31"/>
  <c r="Q848" i="31"/>
  <c r="A849" i="31"/>
  <c r="E849" i="31"/>
  <c r="G849" i="31"/>
  <c r="I849" i="31"/>
  <c r="K849" i="31"/>
  <c r="M849" i="31"/>
  <c r="O849" i="31"/>
  <c r="Q849" i="31"/>
  <c r="A850" i="31"/>
  <c r="E850" i="31"/>
  <c r="G850" i="31"/>
  <c r="I850" i="31"/>
  <c r="K850" i="31"/>
  <c r="M850" i="31"/>
  <c r="O850" i="31"/>
  <c r="Q850" i="31"/>
  <c r="A851" i="31"/>
  <c r="E851" i="31"/>
  <c r="G851" i="31"/>
  <c r="I851" i="31"/>
  <c r="K851" i="31"/>
  <c r="M851" i="31"/>
  <c r="O851" i="31"/>
  <c r="Q851" i="31"/>
  <c r="A852" i="31"/>
  <c r="E852" i="31"/>
  <c r="G852" i="31"/>
  <c r="I852" i="31"/>
  <c r="K852" i="31"/>
  <c r="M852" i="31"/>
  <c r="O852" i="31"/>
  <c r="Q852" i="31"/>
  <c r="A853" i="31"/>
  <c r="E853" i="31"/>
  <c r="G853" i="31"/>
  <c r="I853" i="31"/>
  <c r="K853" i="31"/>
  <c r="M853" i="31"/>
  <c r="O853" i="31"/>
  <c r="Q853" i="31"/>
  <c r="A854" i="31"/>
  <c r="E854" i="31"/>
  <c r="G854" i="31"/>
  <c r="I854" i="31"/>
  <c r="K854" i="31"/>
  <c r="M854" i="31"/>
  <c r="O854" i="31"/>
  <c r="Q854" i="31"/>
  <c r="A855" i="31"/>
  <c r="E855" i="31"/>
  <c r="G855" i="31"/>
  <c r="I855" i="31"/>
  <c r="K855" i="31"/>
  <c r="M855" i="31"/>
  <c r="O855" i="31"/>
  <c r="Q855" i="31"/>
  <c r="A856" i="31"/>
  <c r="E856" i="31"/>
  <c r="G856" i="31"/>
  <c r="I856" i="31"/>
  <c r="K856" i="31"/>
  <c r="M856" i="31"/>
  <c r="O856" i="31"/>
  <c r="Q856" i="31"/>
  <c r="A857" i="31"/>
  <c r="E857" i="31"/>
  <c r="G857" i="31"/>
  <c r="I857" i="31"/>
  <c r="K857" i="31"/>
  <c r="M857" i="31"/>
  <c r="O857" i="31"/>
  <c r="Q857" i="31"/>
  <c r="A858" i="31"/>
  <c r="E858" i="31"/>
  <c r="G858" i="31"/>
  <c r="I858" i="31"/>
  <c r="K858" i="31"/>
  <c r="M858" i="31"/>
  <c r="O858" i="31"/>
  <c r="Q858" i="31"/>
  <c r="A859" i="31"/>
  <c r="E859" i="31"/>
  <c r="G859" i="31"/>
  <c r="I859" i="31"/>
  <c r="K859" i="31"/>
  <c r="M859" i="31"/>
  <c r="O859" i="31"/>
  <c r="Q859" i="31"/>
  <c r="A860" i="31"/>
  <c r="E860" i="31"/>
  <c r="G860" i="31"/>
  <c r="I860" i="31"/>
  <c r="K860" i="31"/>
  <c r="M860" i="31"/>
  <c r="O860" i="31"/>
  <c r="Q860" i="31"/>
  <c r="A861" i="31"/>
  <c r="E861" i="31"/>
  <c r="G861" i="31"/>
  <c r="I861" i="31"/>
  <c r="K861" i="31"/>
  <c r="M861" i="31"/>
  <c r="O861" i="31"/>
  <c r="Q861" i="31"/>
  <c r="A862" i="31"/>
  <c r="E862" i="31"/>
  <c r="G862" i="31"/>
  <c r="I862" i="31"/>
  <c r="K862" i="31"/>
  <c r="M862" i="31"/>
  <c r="O862" i="31"/>
  <c r="Q862" i="31"/>
  <c r="A863" i="31"/>
  <c r="E863" i="31"/>
  <c r="G863" i="31"/>
  <c r="I863" i="31"/>
  <c r="K863" i="31"/>
  <c r="M863" i="31"/>
  <c r="O863" i="31"/>
  <c r="Q863" i="31"/>
  <c r="A864" i="31"/>
  <c r="E864" i="31"/>
  <c r="G864" i="31"/>
  <c r="I864" i="31"/>
  <c r="K864" i="31"/>
  <c r="M864" i="31"/>
  <c r="O864" i="31"/>
  <c r="Q864" i="31"/>
  <c r="A865" i="31"/>
  <c r="E865" i="31"/>
  <c r="G865" i="31"/>
  <c r="I865" i="31"/>
  <c r="K865" i="31"/>
  <c r="M865" i="31"/>
  <c r="O865" i="31"/>
  <c r="Q865" i="31"/>
  <c r="A866" i="31"/>
  <c r="E866" i="31"/>
  <c r="G866" i="31"/>
  <c r="I866" i="31"/>
  <c r="K866" i="31"/>
  <c r="M866" i="31"/>
  <c r="O866" i="31"/>
  <c r="Q866" i="31"/>
  <c r="A867" i="31"/>
  <c r="E867" i="31"/>
  <c r="G867" i="31"/>
  <c r="I867" i="31"/>
  <c r="K867" i="31"/>
  <c r="M867" i="31"/>
  <c r="O867" i="31"/>
  <c r="Q867" i="31"/>
  <c r="A868" i="31"/>
  <c r="E868" i="31"/>
  <c r="G868" i="31"/>
  <c r="I868" i="31"/>
  <c r="K868" i="31"/>
  <c r="M868" i="31"/>
  <c r="O868" i="31"/>
  <c r="Q868" i="31"/>
  <c r="A869" i="31"/>
  <c r="E869" i="31"/>
  <c r="G869" i="31"/>
  <c r="I869" i="31"/>
  <c r="K869" i="31"/>
  <c r="M869" i="31"/>
  <c r="O869" i="31"/>
  <c r="Q869" i="31"/>
  <c r="A870" i="31"/>
  <c r="E870" i="31"/>
  <c r="G870" i="31"/>
  <c r="I870" i="31"/>
  <c r="K870" i="31"/>
  <c r="M870" i="31"/>
  <c r="O870" i="31"/>
  <c r="Q870" i="31"/>
  <c r="A871" i="31"/>
  <c r="E871" i="31"/>
  <c r="G871" i="31"/>
  <c r="I871" i="31"/>
  <c r="K871" i="31"/>
  <c r="M871" i="31"/>
  <c r="O871" i="31"/>
  <c r="Q871" i="31"/>
  <c r="A872" i="31"/>
  <c r="E872" i="31"/>
  <c r="G872" i="31"/>
  <c r="I872" i="31"/>
  <c r="K872" i="31"/>
  <c r="M872" i="31"/>
  <c r="O872" i="31"/>
  <c r="Q872" i="31"/>
  <c r="A873" i="31"/>
  <c r="E873" i="31"/>
  <c r="G873" i="31"/>
  <c r="I873" i="31"/>
  <c r="K873" i="31"/>
  <c r="M873" i="31"/>
  <c r="O873" i="31"/>
  <c r="Q873" i="31"/>
  <c r="A874" i="31"/>
  <c r="E874" i="31"/>
  <c r="G874" i="31"/>
  <c r="I874" i="31"/>
  <c r="K874" i="31"/>
  <c r="M874" i="31"/>
  <c r="O874" i="31"/>
  <c r="Q874" i="31"/>
  <c r="A875" i="31"/>
  <c r="E875" i="31"/>
  <c r="G875" i="31"/>
  <c r="I875" i="31"/>
  <c r="K875" i="31"/>
  <c r="M875" i="31"/>
  <c r="O875" i="31"/>
  <c r="Q875" i="31"/>
  <c r="A876" i="31"/>
  <c r="E876" i="31"/>
  <c r="G876" i="31"/>
  <c r="I876" i="31"/>
  <c r="K876" i="31"/>
  <c r="M876" i="31"/>
  <c r="O876" i="31"/>
  <c r="Q876" i="31"/>
  <c r="A877" i="31"/>
  <c r="E877" i="31"/>
  <c r="G877" i="31"/>
  <c r="I877" i="31"/>
  <c r="K877" i="31"/>
  <c r="M877" i="31"/>
  <c r="O877" i="31"/>
  <c r="Q877" i="31"/>
  <c r="A878" i="31"/>
  <c r="E878" i="31"/>
  <c r="G878" i="31"/>
  <c r="I878" i="31"/>
  <c r="K878" i="31"/>
  <c r="M878" i="31"/>
  <c r="O878" i="31"/>
  <c r="Q878" i="31"/>
  <c r="A879" i="31"/>
  <c r="E879" i="31"/>
  <c r="G879" i="31"/>
  <c r="I879" i="31"/>
  <c r="K879" i="31"/>
  <c r="M879" i="31"/>
  <c r="O879" i="31"/>
  <c r="Q879" i="31"/>
  <c r="A880" i="31"/>
  <c r="E880" i="31"/>
  <c r="G880" i="31"/>
  <c r="I880" i="31"/>
  <c r="K880" i="31"/>
  <c r="M880" i="31"/>
  <c r="O880" i="31"/>
  <c r="Q880" i="31"/>
  <c r="A881" i="31"/>
  <c r="E881" i="31"/>
  <c r="G881" i="31"/>
  <c r="I881" i="31"/>
  <c r="K881" i="31"/>
  <c r="M881" i="31"/>
  <c r="O881" i="31"/>
  <c r="Q881" i="31"/>
  <c r="A882" i="31"/>
  <c r="E882" i="31"/>
  <c r="G882" i="31"/>
  <c r="I882" i="31"/>
  <c r="K882" i="31"/>
  <c r="M882" i="31"/>
  <c r="O882" i="31"/>
  <c r="Q882" i="31"/>
  <c r="A883" i="31"/>
  <c r="E883" i="31"/>
  <c r="G883" i="31"/>
  <c r="I883" i="31"/>
  <c r="K883" i="31"/>
  <c r="M883" i="31"/>
  <c r="O883" i="31"/>
  <c r="Q883" i="31"/>
  <c r="A884" i="31"/>
  <c r="E884" i="31"/>
  <c r="G884" i="31"/>
  <c r="I884" i="31"/>
  <c r="K884" i="31"/>
  <c r="M884" i="31"/>
  <c r="O884" i="31"/>
  <c r="Q884" i="31"/>
  <c r="A885" i="31"/>
  <c r="E885" i="31"/>
  <c r="G885" i="31"/>
  <c r="I885" i="31"/>
  <c r="K885" i="31"/>
  <c r="M885" i="31"/>
  <c r="O885" i="31"/>
  <c r="Q885" i="31"/>
  <c r="A886" i="31"/>
  <c r="E886" i="31"/>
  <c r="G886" i="31"/>
  <c r="I886" i="31"/>
  <c r="K886" i="31"/>
  <c r="M886" i="31"/>
  <c r="O886" i="31"/>
  <c r="Q886" i="31"/>
  <c r="A887" i="31"/>
  <c r="E887" i="31"/>
  <c r="G887" i="31"/>
  <c r="I887" i="31"/>
  <c r="K887" i="31"/>
  <c r="M887" i="31"/>
  <c r="O887" i="31"/>
  <c r="Q887" i="31"/>
  <c r="A888" i="31"/>
  <c r="E888" i="31"/>
  <c r="G888" i="31"/>
  <c r="I888" i="31"/>
  <c r="K888" i="31"/>
  <c r="M888" i="31"/>
  <c r="O888" i="31"/>
  <c r="Q888" i="31"/>
  <c r="A889" i="31"/>
  <c r="E889" i="31"/>
  <c r="G889" i="31"/>
  <c r="I889" i="31"/>
  <c r="K889" i="31"/>
  <c r="M889" i="31"/>
  <c r="O889" i="31"/>
  <c r="Q889" i="31"/>
  <c r="A890" i="31"/>
  <c r="E890" i="31"/>
  <c r="G890" i="31"/>
  <c r="I890" i="31"/>
  <c r="K890" i="31"/>
  <c r="M890" i="31"/>
  <c r="O890" i="31"/>
  <c r="Q890" i="31"/>
  <c r="A891" i="31"/>
  <c r="E891" i="31"/>
  <c r="G891" i="31"/>
  <c r="I891" i="31"/>
  <c r="K891" i="31"/>
  <c r="M891" i="31"/>
  <c r="O891" i="31"/>
  <c r="Q891" i="31"/>
  <c r="A892" i="31"/>
  <c r="E892" i="31"/>
  <c r="G892" i="31"/>
  <c r="I892" i="31"/>
  <c r="K892" i="31"/>
  <c r="M892" i="31"/>
  <c r="O892" i="31"/>
  <c r="Q892" i="31"/>
  <c r="A893" i="31"/>
  <c r="E893" i="31"/>
  <c r="G893" i="31"/>
  <c r="I893" i="31"/>
  <c r="K893" i="31"/>
  <c r="M893" i="31"/>
  <c r="O893" i="31"/>
  <c r="Q893" i="31"/>
  <c r="A894" i="31"/>
  <c r="E894" i="31"/>
  <c r="G894" i="31"/>
  <c r="I894" i="31"/>
  <c r="K894" i="31"/>
  <c r="M894" i="31"/>
  <c r="O894" i="31"/>
  <c r="Q894" i="31"/>
  <c r="A895" i="31"/>
  <c r="E895" i="31"/>
  <c r="G895" i="31"/>
  <c r="I895" i="31"/>
  <c r="K895" i="31"/>
  <c r="M895" i="31"/>
  <c r="O895" i="31"/>
  <c r="Q895" i="31"/>
  <c r="A896" i="31"/>
  <c r="E896" i="31"/>
  <c r="G896" i="31"/>
  <c r="I896" i="31"/>
  <c r="K896" i="31"/>
  <c r="M896" i="31"/>
  <c r="O896" i="31"/>
  <c r="Q896" i="31"/>
  <c r="A897" i="31"/>
  <c r="E897" i="31"/>
  <c r="G897" i="31"/>
  <c r="I897" i="31"/>
  <c r="K897" i="31"/>
  <c r="M897" i="31"/>
  <c r="O897" i="31"/>
  <c r="Q897" i="31"/>
  <c r="A898" i="31"/>
  <c r="E898" i="31"/>
  <c r="G898" i="31"/>
  <c r="I898" i="31"/>
  <c r="K898" i="31"/>
  <c r="M898" i="31"/>
  <c r="O898" i="31"/>
  <c r="Q898" i="31"/>
  <c r="A899" i="31"/>
  <c r="E899" i="31"/>
  <c r="G899" i="31"/>
  <c r="I899" i="31"/>
  <c r="K899" i="31"/>
  <c r="M899" i="31"/>
  <c r="O899" i="31"/>
  <c r="Q899" i="31"/>
  <c r="A900" i="31"/>
  <c r="E900" i="31"/>
  <c r="G900" i="31"/>
  <c r="I900" i="31"/>
  <c r="K900" i="31"/>
  <c r="M900" i="31"/>
  <c r="O900" i="31"/>
  <c r="Q900" i="31"/>
  <c r="A901" i="31"/>
  <c r="E901" i="31"/>
  <c r="G901" i="31"/>
  <c r="I901" i="31"/>
  <c r="K901" i="31"/>
  <c r="M901" i="31"/>
  <c r="O901" i="31"/>
  <c r="Q901" i="31"/>
  <c r="A902" i="31"/>
  <c r="E902" i="31"/>
  <c r="G902" i="31"/>
  <c r="I902" i="31"/>
  <c r="K902" i="31"/>
  <c r="M902" i="31"/>
  <c r="O902" i="31"/>
  <c r="Q902" i="31"/>
  <c r="A903" i="31"/>
  <c r="E903" i="31"/>
  <c r="G903" i="31"/>
  <c r="I903" i="31"/>
  <c r="K903" i="31"/>
  <c r="M903" i="31"/>
  <c r="O903" i="31"/>
  <c r="Q903" i="31"/>
  <c r="A904" i="31"/>
  <c r="E904" i="31"/>
  <c r="G904" i="31"/>
  <c r="I904" i="31"/>
  <c r="K904" i="31"/>
  <c r="M904" i="31"/>
  <c r="O904" i="31"/>
  <c r="Q904" i="31"/>
  <c r="A905" i="31"/>
  <c r="E905" i="31"/>
  <c r="G905" i="31"/>
  <c r="I905" i="31"/>
  <c r="K905" i="31"/>
  <c r="M905" i="31"/>
  <c r="O905" i="31"/>
  <c r="Q905" i="31"/>
  <c r="A906" i="31"/>
  <c r="E906" i="31"/>
  <c r="G906" i="31"/>
  <c r="I906" i="31"/>
  <c r="K906" i="31"/>
  <c r="M906" i="31"/>
  <c r="O906" i="31"/>
  <c r="Q906" i="31"/>
  <c r="A907" i="31"/>
  <c r="E907" i="31"/>
  <c r="G907" i="31"/>
  <c r="I907" i="31"/>
  <c r="K907" i="31"/>
  <c r="M907" i="31"/>
  <c r="O907" i="31"/>
  <c r="Q907" i="31"/>
  <c r="A908" i="31"/>
  <c r="E908" i="31"/>
  <c r="G908" i="31"/>
  <c r="I908" i="31"/>
  <c r="K908" i="31"/>
  <c r="M908" i="31"/>
  <c r="O908" i="31"/>
  <c r="Q908" i="31"/>
  <c r="A909" i="31"/>
  <c r="E909" i="31"/>
  <c r="G909" i="31"/>
  <c r="I909" i="31"/>
  <c r="K909" i="31"/>
  <c r="M909" i="31"/>
  <c r="O909" i="31"/>
  <c r="Q909" i="31"/>
  <c r="A910" i="31"/>
  <c r="E910" i="31"/>
  <c r="G910" i="31"/>
  <c r="I910" i="31"/>
  <c r="K910" i="31"/>
  <c r="M910" i="31"/>
  <c r="O910" i="31"/>
  <c r="Q910" i="31"/>
  <c r="A911" i="31"/>
  <c r="E911" i="31"/>
  <c r="G911" i="31"/>
  <c r="I911" i="31"/>
  <c r="K911" i="31"/>
  <c r="M911" i="31"/>
  <c r="O911" i="31"/>
  <c r="Q911" i="31"/>
  <c r="A912" i="31"/>
  <c r="E912" i="31"/>
  <c r="G912" i="31"/>
  <c r="I912" i="31"/>
  <c r="K912" i="31"/>
  <c r="M912" i="31"/>
  <c r="O912" i="31"/>
  <c r="Q912" i="31"/>
  <c r="A913" i="31"/>
  <c r="E913" i="31"/>
  <c r="G913" i="31"/>
  <c r="I913" i="31"/>
  <c r="K913" i="31"/>
  <c r="M913" i="31"/>
  <c r="O913" i="31"/>
  <c r="Q913" i="31"/>
  <c r="A914" i="31"/>
  <c r="E914" i="31"/>
  <c r="G914" i="31"/>
  <c r="I914" i="31"/>
  <c r="K914" i="31"/>
  <c r="M914" i="31"/>
  <c r="O914" i="31"/>
  <c r="Q914" i="31"/>
  <c r="A915" i="31"/>
  <c r="E915" i="31"/>
  <c r="G915" i="31"/>
  <c r="I915" i="31"/>
  <c r="K915" i="31"/>
  <c r="M915" i="31"/>
  <c r="O915" i="31"/>
  <c r="Q915" i="31"/>
  <c r="A916" i="31"/>
  <c r="E916" i="31"/>
  <c r="G916" i="31"/>
  <c r="I916" i="31"/>
  <c r="K916" i="31"/>
  <c r="M916" i="31"/>
  <c r="O916" i="31"/>
  <c r="Q916" i="31"/>
  <c r="A917" i="31"/>
  <c r="E917" i="31"/>
  <c r="G917" i="31"/>
  <c r="I917" i="31"/>
  <c r="K917" i="31"/>
  <c r="M917" i="31"/>
  <c r="O917" i="31"/>
  <c r="Q917" i="31"/>
  <c r="A918" i="31"/>
  <c r="E918" i="31"/>
  <c r="G918" i="31"/>
  <c r="I918" i="31"/>
  <c r="K918" i="31"/>
  <c r="M918" i="31"/>
  <c r="O918" i="31"/>
  <c r="Q918" i="31"/>
  <c r="A919" i="31"/>
  <c r="E919" i="31"/>
  <c r="G919" i="31"/>
  <c r="I919" i="31"/>
  <c r="K919" i="31"/>
  <c r="M919" i="31"/>
  <c r="O919" i="31"/>
  <c r="Q919" i="31"/>
  <c r="A920" i="31"/>
  <c r="E920" i="31"/>
  <c r="G920" i="31"/>
  <c r="I920" i="31"/>
  <c r="K920" i="31"/>
  <c r="M920" i="31"/>
  <c r="O920" i="31"/>
  <c r="Q920" i="31"/>
  <c r="A921" i="31"/>
  <c r="E921" i="31"/>
  <c r="G921" i="31"/>
  <c r="I921" i="31"/>
  <c r="K921" i="31"/>
  <c r="M921" i="31"/>
  <c r="O921" i="31"/>
  <c r="Q921" i="31"/>
  <c r="A922" i="31"/>
  <c r="E922" i="31"/>
  <c r="G922" i="31"/>
  <c r="I922" i="31"/>
  <c r="K922" i="31"/>
  <c r="M922" i="31"/>
  <c r="O922" i="31"/>
  <c r="Q922" i="31"/>
  <c r="A923" i="31"/>
  <c r="E923" i="31"/>
  <c r="G923" i="31"/>
  <c r="I923" i="31"/>
  <c r="K923" i="31"/>
  <c r="M923" i="31"/>
  <c r="O923" i="31"/>
  <c r="Q923" i="31"/>
  <c r="C924" i="31"/>
  <c r="E924" i="31"/>
  <c r="G924" i="31"/>
  <c r="I924" i="31"/>
  <c r="K924" i="31"/>
  <c r="M924" i="31"/>
  <c r="O924" i="31"/>
  <c r="Q924" i="31"/>
  <c r="R924" i="31"/>
  <c r="S924" i="31" s="1"/>
  <c r="A925" i="31"/>
  <c r="C925" i="31"/>
  <c r="E925" i="31"/>
  <c r="G925" i="31"/>
  <c r="I925" i="31"/>
  <c r="K925" i="31"/>
  <c r="M925" i="31"/>
  <c r="O925" i="31"/>
  <c r="Q925" i="31"/>
  <c r="R925" i="31"/>
  <c r="S925" i="31" s="1"/>
  <c r="A926" i="31"/>
  <c r="C926" i="31"/>
  <c r="E926" i="31"/>
  <c r="G926" i="31"/>
  <c r="I926" i="31"/>
  <c r="K926" i="31"/>
  <c r="M926" i="31"/>
  <c r="O926" i="31"/>
  <c r="Q926" i="31"/>
  <c r="R926" i="31"/>
  <c r="S926" i="31" s="1"/>
  <c r="A927" i="31"/>
  <c r="C927" i="31"/>
  <c r="E927" i="31"/>
  <c r="G927" i="31"/>
  <c r="I927" i="31"/>
  <c r="K927" i="31"/>
  <c r="M927" i="31"/>
  <c r="O927" i="31"/>
  <c r="Q927" i="31"/>
  <c r="R927" i="31"/>
  <c r="S927" i="31" s="1"/>
  <c r="A928" i="31"/>
  <c r="C928" i="31"/>
  <c r="E928" i="31"/>
  <c r="G928" i="31"/>
  <c r="I928" i="31"/>
  <c r="K928" i="31"/>
  <c r="M928" i="31"/>
  <c r="O928" i="31"/>
  <c r="Q928" i="31"/>
  <c r="R928" i="31"/>
  <c r="S928" i="31" s="1"/>
  <c r="A929" i="31"/>
  <c r="C929" i="31"/>
  <c r="E929" i="31"/>
  <c r="G929" i="31"/>
  <c r="I929" i="31"/>
  <c r="K929" i="31"/>
  <c r="M929" i="31"/>
  <c r="O929" i="31"/>
  <c r="Q929" i="31"/>
  <c r="R929" i="31"/>
  <c r="S929" i="31" s="1"/>
  <c r="C930" i="31"/>
  <c r="E930" i="31"/>
  <c r="G930" i="31"/>
  <c r="I930" i="31"/>
  <c r="K930" i="31"/>
  <c r="M930" i="31"/>
  <c r="O930" i="31"/>
  <c r="Q930" i="31"/>
  <c r="R930" i="31"/>
  <c r="S930" i="31" s="1"/>
  <c r="A931" i="31"/>
  <c r="C931" i="31"/>
  <c r="E931" i="31"/>
  <c r="G931" i="31"/>
  <c r="I931" i="31"/>
  <c r="K931" i="31"/>
  <c r="M931" i="31"/>
  <c r="O931" i="31"/>
  <c r="Q931" i="31"/>
  <c r="R931" i="31"/>
  <c r="S931" i="31" s="1"/>
  <c r="A932" i="31"/>
  <c r="C932" i="31"/>
  <c r="E932" i="31"/>
  <c r="G932" i="31"/>
  <c r="I932" i="31"/>
  <c r="K932" i="31"/>
  <c r="M932" i="31"/>
  <c r="O932" i="31"/>
  <c r="Q932" i="31"/>
  <c r="R932" i="31"/>
  <c r="S932" i="31" s="1"/>
  <c r="A933" i="31"/>
  <c r="C933" i="31"/>
  <c r="E933" i="31"/>
  <c r="G933" i="31"/>
  <c r="I933" i="31"/>
  <c r="K933" i="31"/>
  <c r="M933" i="31"/>
  <c r="O933" i="31"/>
  <c r="Q933" i="31"/>
  <c r="R933" i="31"/>
  <c r="S933" i="31" s="1"/>
  <c r="A934" i="31"/>
  <c r="C934" i="31"/>
  <c r="E934" i="31"/>
  <c r="G934" i="31"/>
  <c r="I934" i="31"/>
  <c r="K934" i="31"/>
  <c r="M934" i="31"/>
  <c r="O934" i="31"/>
  <c r="Q934" i="31"/>
  <c r="R934" i="31"/>
  <c r="S934" i="31" s="1"/>
  <c r="A935" i="31"/>
  <c r="C935" i="31"/>
  <c r="E935" i="31"/>
  <c r="G935" i="31"/>
  <c r="I935" i="31"/>
  <c r="K935" i="31"/>
  <c r="M935" i="31"/>
  <c r="O935" i="31"/>
  <c r="Q935" i="31"/>
  <c r="R935" i="31"/>
  <c r="S935" i="31" s="1"/>
  <c r="A936" i="31"/>
  <c r="C936" i="31"/>
  <c r="E936" i="31"/>
  <c r="G936" i="31"/>
  <c r="I936" i="31"/>
  <c r="K936" i="31"/>
  <c r="M936" i="31"/>
  <c r="O936" i="31"/>
  <c r="Q936" i="31"/>
  <c r="R936" i="31"/>
  <c r="S936" i="31" s="1"/>
  <c r="A937" i="31"/>
  <c r="C937" i="31"/>
  <c r="E937" i="31"/>
  <c r="G937" i="31"/>
  <c r="I937" i="31"/>
  <c r="K937" i="31"/>
  <c r="M937" i="31"/>
  <c r="O937" i="31"/>
  <c r="Q937" i="31"/>
  <c r="R937" i="31"/>
  <c r="S937" i="31" s="1"/>
  <c r="A938" i="31"/>
  <c r="C938" i="31"/>
  <c r="E938" i="31"/>
  <c r="G938" i="31"/>
  <c r="I938" i="31"/>
  <c r="K938" i="31"/>
  <c r="M938" i="31"/>
  <c r="O938" i="31"/>
  <c r="Q938" i="31"/>
  <c r="R938" i="31"/>
  <c r="S938" i="31" s="1"/>
  <c r="A939" i="31"/>
  <c r="C939" i="31"/>
  <c r="E939" i="31"/>
  <c r="G939" i="31"/>
  <c r="I939" i="31"/>
  <c r="K939" i="31"/>
  <c r="M939" i="31"/>
  <c r="O939" i="31"/>
  <c r="Q939" i="31"/>
  <c r="R939" i="31"/>
  <c r="S939" i="31" s="1"/>
  <c r="A940" i="31"/>
  <c r="C940" i="31"/>
  <c r="E940" i="31"/>
  <c r="G940" i="31"/>
  <c r="I940" i="31"/>
  <c r="K940" i="31"/>
  <c r="M940" i="31"/>
  <c r="O940" i="31"/>
  <c r="Q940" i="31"/>
  <c r="R940" i="31"/>
  <c r="S940" i="31" s="1"/>
  <c r="C941" i="31"/>
  <c r="E941" i="31"/>
  <c r="G941" i="31"/>
  <c r="I941" i="31"/>
  <c r="K941" i="31"/>
  <c r="M941" i="31"/>
  <c r="O941" i="31"/>
  <c r="Q941" i="31"/>
  <c r="R941" i="31"/>
  <c r="S941" i="31" s="1"/>
  <c r="C942" i="31"/>
  <c r="E942" i="31"/>
  <c r="G942" i="31"/>
  <c r="I942" i="31"/>
  <c r="K942" i="31"/>
  <c r="M942" i="31"/>
  <c r="O942" i="31"/>
  <c r="Q942" i="31"/>
  <c r="R942" i="31"/>
  <c r="S942" i="31" s="1"/>
  <c r="C943" i="31"/>
  <c r="E943" i="31"/>
  <c r="G943" i="31"/>
  <c r="I943" i="31"/>
  <c r="K943" i="31"/>
  <c r="M943" i="31"/>
  <c r="O943" i="31"/>
  <c r="Q943" i="31"/>
  <c r="R943" i="31"/>
  <c r="S943" i="31" s="1"/>
  <c r="A944" i="31"/>
  <c r="C944" i="31"/>
  <c r="E944" i="31"/>
  <c r="G944" i="31"/>
  <c r="I944" i="31"/>
  <c r="K944" i="31"/>
  <c r="M944" i="31"/>
  <c r="O944" i="31"/>
  <c r="Q944" i="31"/>
  <c r="R944" i="31"/>
  <c r="S944" i="31" s="1"/>
  <c r="A945" i="31"/>
  <c r="C945" i="31"/>
  <c r="E945" i="31"/>
  <c r="G945" i="31"/>
  <c r="I945" i="31"/>
  <c r="K945" i="31"/>
  <c r="M945" i="31"/>
  <c r="O945" i="31"/>
  <c r="Q945" i="31"/>
  <c r="R945" i="31"/>
  <c r="S945" i="31" s="1"/>
  <c r="A946" i="31"/>
  <c r="C946" i="31"/>
  <c r="E946" i="31"/>
  <c r="G946" i="31"/>
  <c r="I946" i="31"/>
  <c r="K946" i="31"/>
  <c r="M946" i="31"/>
  <c r="O946" i="31"/>
  <c r="Q946" i="31"/>
  <c r="R946" i="31"/>
  <c r="S946" i="31" s="1"/>
  <c r="A947" i="31"/>
  <c r="C947" i="31"/>
  <c r="E947" i="31"/>
  <c r="G947" i="31"/>
  <c r="I947" i="31"/>
  <c r="K947" i="31"/>
  <c r="M947" i="31"/>
  <c r="O947" i="31"/>
  <c r="Q947" i="31"/>
  <c r="R947" i="31"/>
  <c r="S947" i="31" s="1"/>
  <c r="A948" i="31"/>
  <c r="C948" i="31"/>
  <c r="E948" i="31"/>
  <c r="G948" i="31"/>
  <c r="I948" i="31"/>
  <c r="K948" i="31"/>
  <c r="M948" i="31"/>
  <c r="O948" i="31"/>
  <c r="Q948" i="31"/>
  <c r="R948" i="31"/>
  <c r="S948" i="31" s="1"/>
  <c r="A949" i="31"/>
  <c r="C949" i="31"/>
  <c r="E949" i="31"/>
  <c r="G949" i="31"/>
  <c r="I949" i="31"/>
  <c r="K949" i="31"/>
  <c r="M949" i="31"/>
  <c r="O949" i="31"/>
  <c r="Q949" i="31"/>
  <c r="R949" i="31"/>
  <c r="S949" i="31" s="1"/>
  <c r="A950" i="31"/>
  <c r="C950" i="31"/>
  <c r="E950" i="31"/>
  <c r="G950" i="31"/>
  <c r="I950" i="31"/>
  <c r="K950" i="31"/>
  <c r="M950" i="31"/>
  <c r="O950" i="31"/>
  <c r="Q950" i="31"/>
  <c r="R950" i="31"/>
  <c r="S950" i="31" s="1"/>
  <c r="A951" i="31"/>
  <c r="C951" i="31"/>
  <c r="E951" i="31"/>
  <c r="G951" i="31"/>
  <c r="I951" i="31"/>
  <c r="K951" i="31"/>
  <c r="M951" i="31"/>
  <c r="O951" i="31"/>
  <c r="Q951" i="31"/>
  <c r="R951" i="31"/>
  <c r="S951" i="31" s="1"/>
  <c r="A952" i="31"/>
  <c r="C952" i="31"/>
  <c r="E952" i="31"/>
  <c r="G952" i="31"/>
  <c r="I952" i="31"/>
  <c r="K952" i="31"/>
  <c r="M952" i="31"/>
  <c r="O952" i="31"/>
  <c r="Q952" i="31"/>
  <c r="R952" i="31"/>
  <c r="S952" i="31" s="1"/>
  <c r="A953" i="31"/>
  <c r="C953" i="31"/>
  <c r="E953" i="31"/>
  <c r="G953" i="31"/>
  <c r="I953" i="31"/>
  <c r="K953" i="31"/>
  <c r="M953" i="31"/>
  <c r="O953" i="31"/>
  <c r="Q953" i="31"/>
  <c r="R953" i="31"/>
  <c r="S953" i="31" s="1"/>
  <c r="A954" i="31"/>
  <c r="C954" i="31"/>
  <c r="E954" i="31"/>
  <c r="G954" i="31"/>
  <c r="I954" i="31"/>
  <c r="K954" i="31"/>
  <c r="M954" i="31"/>
  <c r="O954" i="31"/>
  <c r="Q954" i="31"/>
  <c r="R954" i="31"/>
  <c r="S954" i="31" s="1"/>
  <c r="A955" i="31"/>
  <c r="C955" i="31"/>
  <c r="E955" i="31"/>
  <c r="G955" i="31"/>
  <c r="I955" i="31"/>
  <c r="K955" i="31"/>
  <c r="M955" i="31"/>
  <c r="O955" i="31"/>
  <c r="Q955" i="31"/>
  <c r="R955" i="31"/>
  <c r="S955" i="31" s="1"/>
  <c r="A956" i="31"/>
  <c r="C956" i="31"/>
  <c r="E956" i="31"/>
  <c r="G956" i="31"/>
  <c r="I956" i="31"/>
  <c r="K956" i="31"/>
  <c r="M956" i="31"/>
  <c r="O956" i="31"/>
  <c r="Q956" i="31"/>
  <c r="R956" i="31"/>
  <c r="S956" i="31" s="1"/>
  <c r="A957" i="31"/>
  <c r="C957" i="31"/>
  <c r="E957" i="31"/>
  <c r="G957" i="31"/>
  <c r="I957" i="31"/>
  <c r="K957" i="31"/>
  <c r="M957" i="31"/>
  <c r="O957" i="31"/>
  <c r="Q957" i="31"/>
  <c r="R957" i="31"/>
  <c r="S957" i="31" s="1"/>
  <c r="A958" i="31"/>
  <c r="C958" i="31"/>
  <c r="E958" i="31"/>
  <c r="G958" i="31"/>
  <c r="I958" i="31"/>
  <c r="K958" i="31"/>
  <c r="M958" i="31"/>
  <c r="O958" i="31"/>
  <c r="Q958" i="31"/>
  <c r="R958" i="31"/>
  <c r="S958" i="31" s="1"/>
  <c r="A959" i="31"/>
  <c r="C959" i="31"/>
  <c r="E959" i="31"/>
  <c r="G959" i="31"/>
  <c r="I959" i="31"/>
  <c r="K959" i="31"/>
  <c r="M959" i="31"/>
  <c r="O959" i="31"/>
  <c r="Q959" i="31"/>
  <c r="R959" i="31"/>
  <c r="S959" i="31" s="1"/>
  <c r="A960" i="31"/>
  <c r="C960" i="31"/>
  <c r="E960" i="31"/>
  <c r="G960" i="31"/>
  <c r="I960" i="31"/>
  <c r="K960" i="31"/>
  <c r="M960" i="31"/>
  <c r="O960" i="31"/>
  <c r="Q960" i="31"/>
  <c r="R960" i="31"/>
  <c r="S960" i="31" s="1"/>
  <c r="A961" i="31"/>
  <c r="C961" i="31"/>
  <c r="E961" i="31"/>
  <c r="G961" i="31"/>
  <c r="I961" i="31"/>
  <c r="K961" i="31"/>
  <c r="M961" i="31"/>
  <c r="O961" i="31"/>
  <c r="Q961" i="31"/>
  <c r="R961" i="31"/>
  <c r="S961" i="31" s="1"/>
  <c r="A962" i="31"/>
  <c r="C962" i="31"/>
  <c r="E962" i="31"/>
  <c r="G962" i="31"/>
  <c r="I962" i="31"/>
  <c r="K962" i="31"/>
  <c r="M962" i="31"/>
  <c r="O962" i="31"/>
  <c r="Q962" i="31"/>
  <c r="R962" i="31"/>
  <c r="S962" i="31" s="1"/>
  <c r="A963" i="31"/>
  <c r="C963" i="31"/>
  <c r="E963" i="31"/>
  <c r="G963" i="31"/>
  <c r="I963" i="31"/>
  <c r="K963" i="31"/>
  <c r="M963" i="31"/>
  <c r="O963" i="31"/>
  <c r="Q963" i="31"/>
  <c r="R963" i="31"/>
  <c r="S963" i="31" s="1"/>
  <c r="A964" i="31"/>
  <c r="C964" i="31"/>
  <c r="E964" i="31"/>
  <c r="G964" i="31"/>
  <c r="I964" i="31"/>
  <c r="K964" i="31"/>
  <c r="M964" i="31"/>
  <c r="O964" i="31"/>
  <c r="Q964" i="31"/>
  <c r="R964" i="31"/>
  <c r="S964" i="31" s="1"/>
  <c r="A965" i="31"/>
  <c r="C965" i="31"/>
  <c r="E965" i="31"/>
  <c r="G965" i="31"/>
  <c r="I965" i="31"/>
  <c r="K965" i="31"/>
  <c r="M965" i="31"/>
  <c r="O965" i="31"/>
  <c r="Q965" i="31"/>
  <c r="R965" i="31"/>
  <c r="S965" i="31" s="1"/>
  <c r="A966" i="31"/>
  <c r="C966" i="31"/>
  <c r="E966" i="31"/>
  <c r="G966" i="31"/>
  <c r="I966" i="31"/>
  <c r="K966" i="31"/>
  <c r="M966" i="31"/>
  <c r="O966" i="31"/>
  <c r="Q966" i="31"/>
  <c r="R966" i="31"/>
  <c r="S966" i="31" s="1"/>
  <c r="A967" i="31"/>
  <c r="C967" i="31"/>
  <c r="E967" i="31"/>
  <c r="G967" i="31"/>
  <c r="I967" i="31"/>
  <c r="K967" i="31"/>
  <c r="M967" i="31"/>
  <c r="O967" i="31"/>
  <c r="Q967" i="31"/>
  <c r="R967" i="31"/>
  <c r="S967" i="31" s="1"/>
  <c r="A968" i="31"/>
  <c r="C968" i="31"/>
  <c r="E968" i="31"/>
  <c r="G968" i="31"/>
  <c r="I968" i="31"/>
  <c r="K968" i="31"/>
  <c r="M968" i="31"/>
  <c r="O968" i="31"/>
  <c r="Q968" i="31"/>
  <c r="R968" i="31"/>
  <c r="S968" i="31" s="1"/>
  <c r="A969" i="31"/>
  <c r="C969" i="31"/>
  <c r="E969" i="31"/>
  <c r="G969" i="31"/>
  <c r="I969" i="31"/>
  <c r="K969" i="31"/>
  <c r="M969" i="31"/>
  <c r="O969" i="31"/>
  <c r="Q969" i="31"/>
  <c r="R969" i="31"/>
  <c r="S969" i="31" s="1"/>
  <c r="A970" i="31"/>
  <c r="C970" i="31"/>
  <c r="E970" i="31"/>
  <c r="G970" i="31"/>
  <c r="I970" i="31"/>
  <c r="K970" i="31"/>
  <c r="M970" i="31"/>
  <c r="O970" i="31"/>
  <c r="Q970" i="31"/>
  <c r="R970" i="31"/>
  <c r="S970" i="31" s="1"/>
  <c r="A971" i="31"/>
  <c r="C971" i="31"/>
  <c r="E971" i="31"/>
  <c r="G971" i="31"/>
  <c r="I971" i="31"/>
  <c r="K971" i="31"/>
  <c r="M971" i="31"/>
  <c r="O971" i="31"/>
  <c r="Q971" i="31"/>
  <c r="R971" i="31"/>
  <c r="S971" i="31" s="1"/>
  <c r="A972" i="31"/>
  <c r="C972" i="31"/>
  <c r="E972" i="31"/>
  <c r="G972" i="31"/>
  <c r="I972" i="31"/>
  <c r="K972" i="31"/>
  <c r="M972" i="31"/>
  <c r="O972" i="31"/>
  <c r="Q972" i="31"/>
  <c r="R972" i="31"/>
  <c r="S972" i="31" s="1"/>
  <c r="A973" i="31"/>
  <c r="C973" i="31"/>
  <c r="E973" i="31"/>
  <c r="G973" i="31"/>
  <c r="I973" i="31"/>
  <c r="K973" i="31"/>
  <c r="M973" i="31"/>
  <c r="O973" i="31"/>
  <c r="Q973" i="31"/>
  <c r="R973" i="31"/>
  <c r="S973" i="31" s="1"/>
  <c r="A974" i="31"/>
  <c r="C974" i="31"/>
  <c r="E974" i="31"/>
  <c r="G974" i="31"/>
  <c r="I974" i="31"/>
  <c r="K974" i="31"/>
  <c r="M974" i="31"/>
  <c r="O974" i="31"/>
  <c r="Q974" i="31"/>
  <c r="R974" i="31"/>
  <c r="S974" i="31" s="1"/>
  <c r="A975" i="31"/>
  <c r="C975" i="31"/>
  <c r="E975" i="31"/>
  <c r="G975" i="31"/>
  <c r="I975" i="31"/>
  <c r="K975" i="31"/>
  <c r="M975" i="31"/>
  <c r="O975" i="31"/>
  <c r="Q975" i="31"/>
  <c r="R975" i="31"/>
  <c r="S975" i="31" s="1"/>
  <c r="A976" i="31"/>
  <c r="C976" i="31"/>
  <c r="E976" i="31"/>
  <c r="G976" i="31"/>
  <c r="I976" i="31"/>
  <c r="K976" i="31"/>
  <c r="M976" i="31"/>
  <c r="O976" i="31"/>
  <c r="Q976" i="31"/>
  <c r="R976" i="31"/>
  <c r="S976" i="31" s="1"/>
  <c r="A977" i="31"/>
  <c r="C977" i="31"/>
  <c r="E977" i="31"/>
  <c r="G977" i="31"/>
  <c r="I977" i="31"/>
  <c r="K977" i="31"/>
  <c r="M977" i="31"/>
  <c r="O977" i="31"/>
  <c r="Q977" i="31"/>
  <c r="R977" i="31"/>
  <c r="S977" i="31" s="1"/>
  <c r="A978" i="31"/>
  <c r="C978" i="31"/>
  <c r="E978" i="31"/>
  <c r="G978" i="31"/>
  <c r="I978" i="31"/>
  <c r="K978" i="31"/>
  <c r="M978" i="31"/>
  <c r="O978" i="31"/>
  <c r="Q978" i="31"/>
  <c r="R978" i="31"/>
  <c r="S978" i="31" s="1"/>
  <c r="A979" i="31"/>
  <c r="C979" i="31"/>
  <c r="E979" i="31"/>
  <c r="G979" i="31"/>
  <c r="I979" i="31"/>
  <c r="K979" i="31"/>
  <c r="M979" i="31"/>
  <c r="O979" i="31"/>
  <c r="Q979" i="31"/>
  <c r="R979" i="31"/>
  <c r="S979" i="31" s="1"/>
  <c r="A980" i="31"/>
  <c r="C980" i="31"/>
  <c r="E980" i="31"/>
  <c r="G980" i="31"/>
  <c r="I980" i="31"/>
  <c r="K980" i="31"/>
  <c r="M980" i="31"/>
  <c r="O980" i="31"/>
  <c r="Q980" i="31"/>
  <c r="R980" i="31"/>
  <c r="S980" i="31" s="1"/>
  <c r="A981" i="31"/>
  <c r="C981" i="31"/>
  <c r="E981" i="31"/>
  <c r="G981" i="31"/>
  <c r="I981" i="31"/>
  <c r="K981" i="31"/>
  <c r="M981" i="31"/>
  <c r="O981" i="31"/>
  <c r="Q981" i="31"/>
  <c r="R981" i="31"/>
  <c r="S981" i="31" s="1"/>
  <c r="A982" i="31"/>
  <c r="C982" i="31"/>
  <c r="E982" i="31"/>
  <c r="G982" i="31"/>
  <c r="I982" i="31"/>
  <c r="K982" i="31"/>
  <c r="M982" i="31"/>
  <c r="O982" i="31"/>
  <c r="Q982" i="31"/>
  <c r="R982" i="31"/>
  <c r="S982" i="31" s="1"/>
  <c r="A983" i="31"/>
  <c r="C983" i="31"/>
  <c r="E983" i="31"/>
  <c r="G983" i="31"/>
  <c r="I983" i="31"/>
  <c r="K983" i="31"/>
  <c r="M983" i="31"/>
  <c r="O983" i="31"/>
  <c r="Q983" i="31"/>
  <c r="R983" i="31"/>
  <c r="S983" i="31" s="1"/>
  <c r="A984" i="31"/>
  <c r="C984" i="31"/>
  <c r="E984" i="31"/>
  <c r="G984" i="31"/>
  <c r="I984" i="31"/>
  <c r="K984" i="31"/>
  <c r="M984" i="31"/>
  <c r="O984" i="31"/>
  <c r="Q984" i="31"/>
  <c r="R984" i="31"/>
  <c r="S984" i="31" s="1"/>
  <c r="A985" i="31"/>
  <c r="C985" i="31"/>
  <c r="E985" i="31"/>
  <c r="G985" i="31"/>
  <c r="I985" i="31"/>
  <c r="K985" i="31"/>
  <c r="M985" i="31"/>
  <c r="O985" i="31"/>
  <c r="Q985" i="31"/>
  <c r="R985" i="31"/>
  <c r="S985" i="31" s="1"/>
  <c r="A986" i="31"/>
  <c r="C986" i="31"/>
  <c r="E986" i="31"/>
  <c r="G986" i="31"/>
  <c r="I986" i="31"/>
  <c r="K986" i="31"/>
  <c r="M986" i="31"/>
  <c r="O986" i="31"/>
  <c r="Q986" i="31"/>
  <c r="R986" i="31"/>
  <c r="S986" i="31" s="1"/>
  <c r="A987" i="31"/>
  <c r="C987" i="31"/>
  <c r="E987" i="31"/>
  <c r="G987" i="31"/>
  <c r="I987" i="31"/>
  <c r="K987" i="31"/>
  <c r="M987" i="31"/>
  <c r="O987" i="31"/>
  <c r="Q987" i="31"/>
  <c r="R987" i="31"/>
  <c r="S987" i="31" s="1"/>
  <c r="A988" i="31"/>
  <c r="C988" i="31"/>
  <c r="E988" i="31"/>
  <c r="G988" i="31"/>
  <c r="I988" i="31"/>
  <c r="K988" i="31"/>
  <c r="M988" i="31"/>
  <c r="O988" i="31"/>
  <c r="Q988" i="31"/>
  <c r="R988" i="31"/>
  <c r="S988" i="31" s="1"/>
  <c r="A989" i="31"/>
  <c r="C989" i="31"/>
  <c r="E989" i="31"/>
  <c r="G989" i="31"/>
  <c r="I989" i="31"/>
  <c r="K989" i="31"/>
  <c r="M989" i="31"/>
  <c r="O989" i="31"/>
  <c r="Q989" i="31"/>
  <c r="R989" i="31"/>
  <c r="S989" i="31" s="1"/>
  <c r="A990" i="31"/>
  <c r="C990" i="31"/>
  <c r="E990" i="31"/>
  <c r="G990" i="31"/>
  <c r="I990" i="31"/>
  <c r="K990" i="31"/>
  <c r="M990" i="31"/>
  <c r="O990" i="31"/>
  <c r="Q990" i="31"/>
  <c r="R990" i="31"/>
  <c r="S990" i="31" s="1"/>
  <c r="A991" i="31"/>
  <c r="C991" i="31"/>
  <c r="E991" i="31"/>
  <c r="G991" i="31"/>
  <c r="I991" i="31"/>
  <c r="K991" i="31"/>
  <c r="M991" i="31"/>
  <c r="O991" i="31"/>
  <c r="Q991" i="31"/>
  <c r="R991" i="31"/>
  <c r="S991" i="31" s="1"/>
  <c r="A992" i="31"/>
  <c r="C992" i="31"/>
  <c r="E992" i="31"/>
  <c r="G992" i="31"/>
  <c r="I992" i="31"/>
  <c r="K992" i="31"/>
  <c r="M992" i="31"/>
  <c r="O992" i="31"/>
  <c r="Q992" i="31"/>
  <c r="R992" i="31"/>
  <c r="S992" i="31" s="1"/>
  <c r="A993" i="31"/>
  <c r="C993" i="31"/>
  <c r="E993" i="31"/>
  <c r="G993" i="31"/>
  <c r="I993" i="31"/>
  <c r="K993" i="31"/>
  <c r="M993" i="31"/>
  <c r="O993" i="31"/>
  <c r="Q993" i="31"/>
  <c r="R993" i="31"/>
  <c r="S993" i="31" s="1"/>
  <c r="A994" i="31"/>
  <c r="C994" i="31"/>
  <c r="E994" i="31"/>
  <c r="G994" i="31"/>
  <c r="I994" i="31"/>
  <c r="K994" i="31"/>
  <c r="M994" i="31"/>
  <c r="O994" i="31"/>
  <c r="Q994" i="31"/>
  <c r="R994" i="31"/>
  <c r="S994" i="31" s="1"/>
  <c r="A995" i="31"/>
  <c r="C995" i="31"/>
  <c r="E995" i="31"/>
  <c r="G995" i="31"/>
  <c r="I995" i="31"/>
  <c r="K995" i="31"/>
  <c r="M995" i="31"/>
  <c r="O995" i="31"/>
  <c r="Q995" i="31"/>
  <c r="R995" i="31"/>
  <c r="S995" i="31" s="1"/>
  <c r="A996" i="31"/>
  <c r="C996" i="31"/>
  <c r="E996" i="31"/>
  <c r="G996" i="31"/>
  <c r="I996" i="31"/>
  <c r="K996" i="31"/>
  <c r="M996" i="31"/>
  <c r="O996" i="31"/>
  <c r="Q996" i="31"/>
  <c r="R996" i="31"/>
  <c r="S996" i="31" s="1"/>
  <c r="A997" i="31"/>
  <c r="C997" i="31"/>
  <c r="E997" i="31"/>
  <c r="G997" i="31"/>
  <c r="I997" i="31"/>
  <c r="K997" i="31"/>
  <c r="M997" i="31"/>
  <c r="O997" i="31"/>
  <c r="Q997" i="31"/>
  <c r="R997" i="31"/>
  <c r="S997" i="31" s="1"/>
  <c r="A998" i="31"/>
  <c r="C998" i="31"/>
  <c r="E998" i="31"/>
  <c r="G998" i="31"/>
  <c r="I998" i="31"/>
  <c r="K998" i="31"/>
  <c r="M998" i="31"/>
  <c r="O998" i="31"/>
  <c r="Q998" i="31"/>
  <c r="R998" i="31"/>
  <c r="S998" i="31" s="1"/>
  <c r="A999" i="31"/>
  <c r="C999" i="31"/>
  <c r="E999" i="31"/>
  <c r="G999" i="31"/>
  <c r="I999" i="31"/>
  <c r="K999" i="31"/>
  <c r="M999" i="31"/>
  <c r="O999" i="31"/>
  <c r="Q999" i="31"/>
  <c r="R999" i="31"/>
  <c r="S999" i="31" s="1"/>
  <c r="A1000" i="31"/>
  <c r="C1000" i="31"/>
  <c r="E1000" i="31"/>
  <c r="G1000" i="31"/>
  <c r="I1000" i="31"/>
  <c r="K1000" i="31"/>
  <c r="M1000" i="31"/>
  <c r="O1000" i="31"/>
  <c r="Q1000" i="31"/>
  <c r="R1000" i="31"/>
  <c r="S1000" i="31" s="1"/>
  <c r="A1001" i="31"/>
  <c r="C1001" i="31"/>
  <c r="E1001" i="31"/>
  <c r="G1001" i="31"/>
  <c r="I1001" i="31"/>
  <c r="K1001" i="31"/>
  <c r="M1001" i="31"/>
  <c r="O1001" i="31"/>
  <c r="Q1001" i="31"/>
  <c r="R1001" i="31"/>
  <c r="S1001" i="31" s="1"/>
  <c r="A1002" i="31"/>
  <c r="C1002" i="31"/>
  <c r="E1002" i="31"/>
  <c r="G1002" i="31"/>
  <c r="I1002" i="31"/>
  <c r="K1002" i="31"/>
  <c r="M1002" i="31"/>
  <c r="O1002" i="31"/>
  <c r="Q1002" i="31"/>
  <c r="R1002" i="31"/>
  <c r="S1002" i="31" s="1"/>
  <c r="A1003" i="31"/>
  <c r="C1003" i="31"/>
  <c r="E1003" i="31"/>
  <c r="G1003" i="31"/>
  <c r="I1003" i="31"/>
  <c r="K1003" i="31"/>
  <c r="M1003" i="31"/>
  <c r="O1003" i="31"/>
  <c r="Q1003" i="31"/>
  <c r="R1003" i="31"/>
  <c r="S1003" i="31" s="1"/>
  <c r="A1004" i="31"/>
  <c r="C1004" i="31"/>
  <c r="E1004" i="31"/>
  <c r="G1004" i="31"/>
  <c r="I1004" i="31"/>
  <c r="K1004" i="31"/>
  <c r="M1004" i="31"/>
  <c r="O1004" i="31"/>
  <c r="Q1004" i="31"/>
  <c r="R1004" i="31"/>
  <c r="S1004" i="31" s="1"/>
  <c r="A1005" i="31"/>
  <c r="C1005" i="31"/>
  <c r="E1005" i="31"/>
  <c r="G1005" i="31"/>
  <c r="I1005" i="31"/>
  <c r="K1005" i="31"/>
  <c r="M1005" i="31"/>
  <c r="O1005" i="31"/>
  <c r="Q1005" i="31"/>
  <c r="R1005" i="31"/>
  <c r="S1005" i="31" s="1"/>
  <c r="A1006" i="31"/>
  <c r="C1006" i="31"/>
  <c r="E1006" i="31"/>
  <c r="G1006" i="31"/>
  <c r="I1006" i="31"/>
  <c r="K1006" i="31"/>
  <c r="M1006" i="31"/>
  <c r="O1006" i="31"/>
  <c r="Q1006" i="31"/>
  <c r="R1006" i="31"/>
  <c r="S1006" i="31" s="1"/>
  <c r="A1007" i="31"/>
  <c r="C1007" i="31"/>
  <c r="E1007" i="31"/>
  <c r="G1007" i="31"/>
  <c r="I1007" i="31"/>
  <c r="K1007" i="31"/>
  <c r="M1007" i="31"/>
  <c r="O1007" i="31"/>
  <c r="Q1007" i="31"/>
  <c r="R1007" i="31"/>
  <c r="S1007" i="31" s="1"/>
  <c r="A1008" i="31"/>
  <c r="C1008" i="31"/>
  <c r="E1008" i="31"/>
  <c r="G1008" i="31"/>
  <c r="I1008" i="31"/>
  <c r="K1008" i="31"/>
  <c r="M1008" i="31"/>
  <c r="O1008" i="31"/>
  <c r="Q1008" i="31"/>
  <c r="R1008" i="31"/>
  <c r="S1008" i="31" s="1"/>
  <c r="A1009" i="31"/>
  <c r="C1009" i="31"/>
  <c r="E1009" i="31"/>
  <c r="G1009" i="31"/>
  <c r="I1009" i="31"/>
  <c r="K1009" i="31"/>
  <c r="M1009" i="31"/>
  <c r="O1009" i="31"/>
  <c r="Q1009" i="31"/>
  <c r="R1009" i="31"/>
  <c r="S1009" i="31" s="1"/>
  <c r="A1010" i="31"/>
  <c r="C1010" i="31"/>
  <c r="E1010" i="31"/>
  <c r="G1010" i="31"/>
  <c r="I1010" i="31"/>
  <c r="K1010" i="31"/>
  <c r="M1010" i="31"/>
  <c r="O1010" i="31"/>
  <c r="Q1010" i="31"/>
  <c r="R1010" i="31"/>
  <c r="S1010" i="31" s="1"/>
  <c r="A1011" i="31"/>
  <c r="C1011" i="31"/>
  <c r="E1011" i="31"/>
  <c r="G1011" i="31"/>
  <c r="I1011" i="31"/>
  <c r="K1011" i="31"/>
  <c r="M1011" i="31"/>
  <c r="O1011" i="31"/>
  <c r="Q1011" i="31"/>
  <c r="R1011" i="31"/>
  <c r="S1011" i="31" s="1"/>
  <c r="A1012" i="31"/>
  <c r="C1012" i="31"/>
  <c r="E1012" i="31"/>
  <c r="G1012" i="31"/>
  <c r="I1012" i="31"/>
  <c r="K1012" i="31"/>
  <c r="M1012" i="31"/>
  <c r="O1012" i="31"/>
  <c r="Q1012" i="31"/>
  <c r="R1012" i="31"/>
  <c r="S1012" i="31" s="1"/>
  <c r="A1013" i="31"/>
  <c r="C1013" i="31"/>
  <c r="E1013" i="31"/>
  <c r="G1013" i="31"/>
  <c r="I1013" i="31"/>
  <c r="K1013" i="31"/>
  <c r="M1013" i="31"/>
  <c r="O1013" i="31"/>
  <c r="Q1013" i="31"/>
  <c r="R1013" i="31"/>
  <c r="S1013" i="31" s="1"/>
  <c r="A1014" i="31"/>
  <c r="C1014" i="31"/>
  <c r="E1014" i="31"/>
  <c r="G1014" i="31"/>
  <c r="I1014" i="31"/>
  <c r="K1014" i="31"/>
  <c r="M1014" i="31"/>
  <c r="O1014" i="31"/>
  <c r="Q1014" i="31"/>
  <c r="R1014" i="31"/>
  <c r="S1014" i="31" s="1"/>
  <c r="A1015" i="31"/>
  <c r="C1015" i="31"/>
  <c r="E1015" i="31"/>
  <c r="G1015" i="31"/>
  <c r="I1015" i="31"/>
  <c r="K1015" i="31"/>
  <c r="M1015" i="31"/>
  <c r="O1015" i="31"/>
  <c r="Q1015" i="31"/>
  <c r="R1015" i="31"/>
  <c r="S1015" i="31" s="1"/>
  <c r="A1016" i="31"/>
  <c r="C1016" i="31"/>
  <c r="E1016" i="31"/>
  <c r="G1016" i="31"/>
  <c r="I1016" i="31"/>
  <c r="K1016" i="31"/>
  <c r="M1016" i="31"/>
  <c r="O1016" i="31"/>
  <c r="Q1016" i="31"/>
  <c r="R1016" i="31"/>
  <c r="S1016" i="31" s="1"/>
  <c r="A1017" i="31"/>
  <c r="C1017" i="31"/>
  <c r="E1017" i="31"/>
  <c r="G1017" i="31"/>
  <c r="I1017" i="31"/>
  <c r="K1017" i="31"/>
  <c r="M1017" i="31"/>
  <c r="O1017" i="31"/>
  <c r="Q1017" i="31"/>
  <c r="R1017" i="31"/>
  <c r="S1017" i="31" s="1"/>
  <c r="A1018" i="31"/>
  <c r="C1018" i="31"/>
  <c r="E1018" i="31"/>
  <c r="G1018" i="31"/>
  <c r="I1018" i="31"/>
  <c r="K1018" i="31"/>
  <c r="M1018" i="31"/>
  <c r="O1018" i="31"/>
  <c r="Q1018" i="31"/>
  <c r="R1018" i="31"/>
  <c r="S1018" i="31" s="1"/>
  <c r="A1019" i="31"/>
  <c r="C1019" i="31"/>
  <c r="E1019" i="31"/>
  <c r="G1019" i="31"/>
  <c r="I1019" i="31"/>
  <c r="K1019" i="31"/>
  <c r="M1019" i="31"/>
  <c r="O1019" i="31"/>
  <c r="Q1019" i="31"/>
  <c r="R1019" i="31"/>
  <c r="S1019" i="31" s="1"/>
  <c r="A1020" i="31"/>
  <c r="C1020" i="31"/>
  <c r="E1020" i="31"/>
  <c r="G1020" i="31"/>
  <c r="I1020" i="31"/>
  <c r="K1020" i="31"/>
  <c r="M1020" i="31"/>
  <c r="O1020" i="31"/>
  <c r="Q1020" i="31"/>
  <c r="R1020" i="31"/>
  <c r="S1020" i="31" s="1"/>
  <c r="A1021" i="31"/>
  <c r="C1021" i="31"/>
  <c r="E1021" i="31"/>
  <c r="G1021" i="31"/>
  <c r="I1021" i="31"/>
  <c r="K1021" i="31"/>
  <c r="M1021" i="31"/>
  <c r="O1021" i="31"/>
  <c r="Q1021" i="31"/>
  <c r="R1021" i="31"/>
  <c r="S1021" i="31" s="1"/>
  <c r="A1022" i="31"/>
  <c r="C1022" i="31"/>
  <c r="E1022" i="31"/>
  <c r="G1022" i="31"/>
  <c r="I1022" i="31"/>
  <c r="K1022" i="31"/>
  <c r="M1022" i="31"/>
  <c r="O1022" i="31"/>
  <c r="Q1022" i="31"/>
  <c r="R1022" i="31"/>
  <c r="S1022" i="31" s="1"/>
  <c r="A1023" i="31"/>
  <c r="C1023" i="31"/>
  <c r="E1023" i="31"/>
  <c r="G1023" i="31"/>
  <c r="I1023" i="31"/>
  <c r="K1023" i="31"/>
  <c r="M1023" i="31"/>
  <c r="O1023" i="31"/>
  <c r="Q1023" i="31"/>
  <c r="R1023" i="31"/>
  <c r="S1023" i="31" s="1"/>
  <c r="A1024" i="31"/>
  <c r="C1024" i="31"/>
  <c r="E1024" i="31"/>
  <c r="G1024" i="31"/>
  <c r="I1024" i="31"/>
  <c r="K1024" i="31"/>
  <c r="M1024" i="31"/>
  <c r="O1024" i="31"/>
  <c r="Q1024" i="31"/>
  <c r="R1024" i="31"/>
  <c r="S1024" i="31" s="1"/>
  <c r="A1025" i="31"/>
  <c r="C1025" i="31"/>
  <c r="E1025" i="31"/>
  <c r="G1025" i="31"/>
  <c r="I1025" i="31"/>
  <c r="K1025" i="31"/>
  <c r="M1025" i="31"/>
  <c r="O1025" i="31"/>
  <c r="Q1025" i="31"/>
  <c r="R1025" i="31"/>
  <c r="S1025" i="31" s="1"/>
  <c r="A1026" i="31"/>
  <c r="C1026" i="31"/>
  <c r="E1026" i="31"/>
  <c r="G1026" i="31"/>
  <c r="I1026" i="31"/>
  <c r="K1026" i="31"/>
  <c r="M1026" i="31"/>
  <c r="O1026" i="31"/>
  <c r="Q1026" i="31"/>
  <c r="R1026" i="31"/>
  <c r="S1026" i="31" s="1"/>
  <c r="A1027" i="31"/>
  <c r="C1027" i="31"/>
  <c r="E1027" i="31"/>
  <c r="G1027" i="31"/>
  <c r="I1027" i="31"/>
  <c r="K1027" i="31"/>
  <c r="M1027" i="31"/>
  <c r="O1027" i="31"/>
  <c r="Q1027" i="31"/>
  <c r="R1027" i="31"/>
  <c r="S1027" i="31" s="1"/>
  <c r="A1028" i="31"/>
  <c r="C1028" i="31"/>
  <c r="E1028" i="31"/>
  <c r="G1028" i="31"/>
  <c r="I1028" i="31"/>
  <c r="K1028" i="31"/>
  <c r="M1028" i="31"/>
  <c r="O1028" i="31"/>
  <c r="Q1028" i="31"/>
  <c r="R1028" i="31"/>
  <c r="S1028" i="31" s="1"/>
  <c r="A1029" i="31"/>
  <c r="C1029" i="31"/>
  <c r="E1029" i="31"/>
  <c r="G1029" i="31"/>
  <c r="I1029" i="31"/>
  <c r="K1029" i="31"/>
  <c r="M1029" i="31"/>
  <c r="O1029" i="31"/>
  <c r="Q1029" i="31"/>
  <c r="R1029" i="31"/>
  <c r="S1029" i="31" s="1"/>
  <c r="A1030" i="31"/>
  <c r="C1030" i="31"/>
  <c r="E1030" i="31"/>
  <c r="G1030" i="31"/>
  <c r="I1030" i="31"/>
  <c r="K1030" i="31"/>
  <c r="M1030" i="31"/>
  <c r="O1030" i="31"/>
  <c r="Q1030" i="31"/>
  <c r="R1030" i="31"/>
  <c r="S1030" i="31" s="1"/>
  <c r="A1031" i="31"/>
  <c r="C1031" i="31"/>
  <c r="E1031" i="31"/>
  <c r="G1031" i="31"/>
  <c r="I1031" i="31"/>
  <c r="K1031" i="31"/>
  <c r="M1031" i="31"/>
  <c r="O1031" i="31"/>
  <c r="Q1031" i="31"/>
  <c r="R1031" i="31"/>
  <c r="S1031" i="31" s="1"/>
  <c r="A1032" i="31"/>
  <c r="C1032" i="31"/>
  <c r="E1032" i="31"/>
  <c r="G1032" i="31"/>
  <c r="I1032" i="31"/>
  <c r="K1032" i="31"/>
  <c r="M1032" i="31"/>
  <c r="O1032" i="31"/>
  <c r="Q1032" i="31"/>
  <c r="R1032" i="31"/>
  <c r="S1032" i="31" s="1"/>
  <c r="A1033" i="31"/>
  <c r="C1033" i="31"/>
  <c r="E1033" i="31"/>
  <c r="G1033" i="31"/>
  <c r="I1033" i="31"/>
  <c r="K1033" i="31"/>
  <c r="M1033" i="31"/>
  <c r="O1033" i="31"/>
  <c r="Q1033" i="31"/>
  <c r="R1033" i="31"/>
  <c r="S1033" i="31" s="1"/>
  <c r="A1034" i="31"/>
  <c r="C1034" i="31"/>
  <c r="E1034" i="31"/>
  <c r="G1034" i="31"/>
  <c r="I1034" i="31"/>
  <c r="K1034" i="31"/>
  <c r="M1034" i="31"/>
  <c r="O1034" i="31"/>
  <c r="Q1034" i="31"/>
  <c r="R1034" i="31"/>
  <c r="S1034" i="31" s="1"/>
  <c r="A1035" i="31"/>
  <c r="C1035" i="31"/>
  <c r="E1035" i="31"/>
  <c r="G1035" i="31"/>
  <c r="I1035" i="31"/>
  <c r="K1035" i="31"/>
  <c r="M1035" i="31"/>
  <c r="O1035" i="31"/>
  <c r="Q1035" i="31"/>
  <c r="R1035" i="31"/>
  <c r="S1035" i="31" s="1"/>
  <c r="A1036" i="31"/>
  <c r="C1036" i="31"/>
  <c r="E1036" i="31"/>
  <c r="G1036" i="31"/>
  <c r="I1036" i="31"/>
  <c r="K1036" i="31"/>
  <c r="M1036" i="31"/>
  <c r="O1036" i="31"/>
  <c r="Q1036" i="31"/>
  <c r="R1036" i="31"/>
  <c r="S1036" i="31" s="1"/>
  <c r="A1037" i="31"/>
  <c r="C1037" i="31"/>
  <c r="E1037" i="31"/>
  <c r="G1037" i="31"/>
  <c r="I1037" i="31"/>
  <c r="K1037" i="31"/>
  <c r="M1037" i="31"/>
  <c r="O1037" i="31"/>
  <c r="Q1037" i="31"/>
  <c r="R1037" i="31"/>
  <c r="S1037" i="31" s="1"/>
  <c r="A1038" i="31"/>
  <c r="C1038" i="31"/>
  <c r="E1038" i="31"/>
  <c r="G1038" i="31"/>
  <c r="I1038" i="31"/>
  <c r="K1038" i="31"/>
  <c r="M1038" i="31"/>
  <c r="O1038" i="31"/>
  <c r="Q1038" i="31"/>
  <c r="R1038" i="31"/>
  <c r="S1038" i="31" s="1"/>
  <c r="A1039" i="31"/>
  <c r="C1039" i="31"/>
  <c r="E1039" i="31"/>
  <c r="G1039" i="31"/>
  <c r="I1039" i="31"/>
  <c r="K1039" i="31"/>
  <c r="M1039" i="31"/>
  <c r="O1039" i="31"/>
  <c r="Q1039" i="31"/>
  <c r="R1039" i="31"/>
  <c r="S1039" i="31" s="1"/>
  <c r="A1040" i="31"/>
  <c r="C1040" i="31"/>
  <c r="E1040" i="31"/>
  <c r="G1040" i="31"/>
  <c r="I1040" i="31"/>
  <c r="K1040" i="31"/>
  <c r="M1040" i="31"/>
  <c r="O1040" i="31"/>
  <c r="Q1040" i="31"/>
  <c r="R1040" i="31"/>
  <c r="S1040" i="31" s="1"/>
  <c r="A1041" i="31"/>
  <c r="C1041" i="31"/>
  <c r="E1041" i="31"/>
  <c r="G1041" i="31"/>
  <c r="I1041" i="31"/>
  <c r="K1041" i="31"/>
  <c r="M1041" i="31"/>
  <c r="O1041" i="31"/>
  <c r="Q1041" i="31"/>
  <c r="R1041" i="31"/>
  <c r="S1041" i="31" s="1"/>
  <c r="A1042" i="31"/>
  <c r="C1042" i="31"/>
  <c r="E1042" i="31"/>
  <c r="G1042" i="31"/>
  <c r="I1042" i="31"/>
  <c r="K1042" i="31"/>
  <c r="M1042" i="31"/>
  <c r="O1042" i="31"/>
  <c r="Q1042" i="31"/>
  <c r="R1042" i="31"/>
  <c r="S104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4" i="31"/>
  <c r="C860" i="31" s="1"/>
  <c r="A24" i="31"/>
  <c r="I13" i="3"/>
  <c r="G19" i="6" s="1"/>
  <c r="D39" i="43" s="1"/>
  <c r="F904" i="79"/>
  <c r="G904" i="79" l="1"/>
  <c r="C922" i="79" s="1"/>
  <c r="I14" i="3"/>
  <c r="G20" i="6" s="1"/>
  <c r="B922" i="79"/>
  <c r="C29" i="35"/>
  <c r="N7" i="1"/>
  <c r="Y6" i="1"/>
  <c r="C923" i="31"/>
  <c r="C921" i="31"/>
  <c r="C919" i="31"/>
  <c r="C917" i="31"/>
  <c r="C915" i="31"/>
  <c r="C913" i="31"/>
  <c r="C911" i="31"/>
  <c r="C909" i="31"/>
  <c r="C907" i="31"/>
  <c r="C905" i="31"/>
  <c r="C903" i="31"/>
  <c r="C901" i="31"/>
  <c r="C899" i="31"/>
  <c r="C897" i="31"/>
  <c r="C895" i="31"/>
  <c r="C893" i="31"/>
  <c r="C891" i="31"/>
  <c r="C889" i="31"/>
  <c r="C887" i="31"/>
  <c r="C885" i="31"/>
  <c r="C883" i="31"/>
  <c r="C881" i="31"/>
  <c r="C879" i="31"/>
  <c r="C877" i="31"/>
  <c r="C875" i="31"/>
  <c r="C873" i="31"/>
  <c r="C871" i="31"/>
  <c r="C869" i="31"/>
  <c r="C867" i="31"/>
  <c r="C865" i="31"/>
  <c r="C863"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0"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525"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1"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84" i="31"/>
  <c r="C688" i="31"/>
  <c r="C692" i="31"/>
  <c r="C694"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766" i="31"/>
  <c r="C768" i="31"/>
  <c r="C770" i="31"/>
  <c r="C772" i="31"/>
  <c r="C774" i="31"/>
  <c r="C776" i="31"/>
  <c r="C778" i="31"/>
  <c r="C780" i="31"/>
  <c r="C782" i="31"/>
  <c r="C784" i="31"/>
  <c r="C786" i="31"/>
  <c r="C788" i="31"/>
  <c r="C790" i="31"/>
  <c r="C792" i="31"/>
  <c r="C794" i="31"/>
  <c r="C796" i="31"/>
  <c r="C798" i="31"/>
  <c r="C800" i="31"/>
  <c r="C802" i="31"/>
  <c r="C804" i="31"/>
  <c r="C806" i="31"/>
  <c r="C808" i="31"/>
  <c r="C810" i="31"/>
  <c r="C812" i="31"/>
  <c r="C814" i="31"/>
  <c r="C816" i="31"/>
  <c r="C818" i="31"/>
  <c r="C820" i="31"/>
  <c r="C822" i="31"/>
  <c r="C824" i="31"/>
  <c r="C826" i="31"/>
  <c r="C828" i="31"/>
  <c r="C830" i="31"/>
  <c r="C832" i="31"/>
  <c r="C834" i="31"/>
  <c r="C836" i="31"/>
  <c r="C838" i="31"/>
  <c r="C840" i="31"/>
  <c r="C842" i="31"/>
  <c r="C844" i="31"/>
  <c r="C846" i="31"/>
  <c r="C848" i="31"/>
  <c r="C850" i="31"/>
  <c r="C852" i="31"/>
  <c r="C854" i="31"/>
  <c r="C856" i="31"/>
  <c r="C686" i="31"/>
  <c r="C690" i="31"/>
  <c r="C693" i="31"/>
  <c r="C695"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765" i="31"/>
  <c r="C767" i="31"/>
  <c r="C769" i="31"/>
  <c r="C771" i="31"/>
  <c r="C773" i="31"/>
  <c r="C775" i="31"/>
  <c r="C777" i="31"/>
  <c r="C779" i="31"/>
  <c r="C781" i="31"/>
  <c r="C783" i="31"/>
  <c r="C785" i="31"/>
  <c r="C787" i="31"/>
  <c r="C789" i="31"/>
  <c r="C791" i="31"/>
  <c r="C793" i="31"/>
  <c r="C795" i="31"/>
  <c r="C797" i="31"/>
  <c r="C799" i="31"/>
  <c r="C801" i="31"/>
  <c r="C803" i="31"/>
  <c r="C805" i="31"/>
  <c r="C807" i="31"/>
  <c r="C809" i="31"/>
  <c r="C811" i="31"/>
  <c r="C813" i="31"/>
  <c r="C815" i="31"/>
  <c r="C817" i="31"/>
  <c r="C819" i="31"/>
  <c r="C821" i="31"/>
  <c r="C823" i="31"/>
  <c r="C825" i="31"/>
  <c r="C827" i="31"/>
  <c r="C829" i="31"/>
  <c r="C831" i="31"/>
  <c r="C833" i="31"/>
  <c r="C835" i="31"/>
  <c r="C837" i="31"/>
  <c r="C839" i="31"/>
  <c r="C841" i="31"/>
  <c r="C843" i="31"/>
  <c r="C845" i="31"/>
  <c r="C847" i="31"/>
  <c r="C849" i="31"/>
  <c r="C851" i="31"/>
  <c r="C853" i="31"/>
  <c r="C855" i="31"/>
  <c r="C857" i="31"/>
  <c r="C859" i="31"/>
  <c r="C861" i="31"/>
  <c r="C922" i="31"/>
  <c r="C920" i="31"/>
  <c r="C918" i="31"/>
  <c r="C916" i="31"/>
  <c r="C914" i="31"/>
  <c r="C912" i="31"/>
  <c r="C910" i="31"/>
  <c r="C908" i="31"/>
  <c r="C906" i="31"/>
  <c r="C904" i="31"/>
  <c r="C902" i="31"/>
  <c r="C900" i="31"/>
  <c r="C898" i="31"/>
  <c r="C896" i="31"/>
  <c r="C894" i="31"/>
  <c r="C892" i="31"/>
  <c r="C890" i="31"/>
  <c r="C888" i="31"/>
  <c r="C886" i="31"/>
  <c r="C884" i="31"/>
  <c r="C882" i="31"/>
  <c r="C880" i="31"/>
  <c r="C878" i="31"/>
  <c r="C876" i="31"/>
  <c r="C874" i="31"/>
  <c r="C872" i="31"/>
  <c r="C870" i="31"/>
  <c r="C868" i="31"/>
  <c r="C866" i="31"/>
  <c r="C864" i="31"/>
  <c r="C862" i="31"/>
  <c r="C858" i="31"/>
  <c r="A120" i="78"/>
  <c r="E111" i="78"/>
  <c r="H112" i="78" s="1"/>
  <c r="E109" i="78"/>
  <c r="A124" i="78" s="1"/>
  <c r="E107" i="78"/>
  <c r="A122" i="78" s="1"/>
  <c r="H106" i="78"/>
  <c r="H105" i="78"/>
  <c r="H104" i="78"/>
  <c r="D101" i="78"/>
  <c r="C101" i="78"/>
  <c r="C91" i="78"/>
  <c r="E90" i="78"/>
  <c r="D89" i="78"/>
  <c r="C89" i="78" s="1"/>
  <c r="C87" i="78" s="1"/>
  <c r="H77" i="78"/>
  <c r="D77" i="78"/>
  <c r="C76" i="78"/>
  <c r="F59" i="78"/>
  <c r="O55" i="78" s="1"/>
  <c r="E59" i="78"/>
  <c r="N55" i="78" s="1"/>
  <c r="F56" i="78"/>
  <c r="O54" i="78" s="1"/>
  <c r="K55" i="78"/>
  <c r="J55" i="78"/>
  <c r="I55" i="78"/>
  <c r="F55" i="78"/>
  <c r="O53" i="78" s="1"/>
  <c r="N54" i="78"/>
  <c r="N53" i="78"/>
  <c r="K49" i="78"/>
  <c r="E48" i="78"/>
  <c r="N52" i="78" s="1"/>
  <c r="D48" i="78"/>
  <c r="M52" i="78" s="1"/>
  <c r="F33" i="78"/>
  <c r="D27" i="78"/>
  <c r="C25" i="78"/>
  <c r="C24" i="78"/>
  <c r="D17" i="78"/>
  <c r="C17" i="78"/>
  <c r="L4" i="78"/>
  <c r="K4" i="78"/>
  <c r="H1" i="78"/>
  <c r="H103" i="78" l="1"/>
  <c r="D120" i="78" s="1"/>
  <c r="H111" i="78"/>
  <c r="D126" i="78" s="1"/>
  <c r="D127" i="78" s="1"/>
  <c r="A126" i="78"/>
  <c r="C18" i="78"/>
  <c r="D18" i="78" s="1"/>
  <c r="C92" i="78"/>
  <c r="C94" i="78"/>
  <c r="K120" i="78"/>
  <c r="D121" i="78"/>
  <c r="H109" i="78"/>
  <c r="AH5" i="71"/>
  <c r="AG5" i="71"/>
  <c r="AE5" i="71"/>
  <c r="AF5" i="71" s="1"/>
  <c r="AD5" i="71"/>
  <c r="Q5" i="71"/>
  <c r="P5" i="71"/>
  <c r="O5" i="71"/>
  <c r="N5" i="71"/>
  <c r="D124" i="78" l="1"/>
  <c r="D125" i="78" s="1"/>
  <c r="H110"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F21" i="71" s="1"/>
  <c r="F20" i="71" s="1"/>
  <c r="F19" i="71" s="1"/>
  <c r="P21" i="71"/>
  <c r="O21" i="71"/>
  <c r="Q22" i="71"/>
  <c r="P22" i="71"/>
  <c r="E21" i="71"/>
  <c r="E20" i="71" s="1"/>
  <c r="E19" i="71" s="1"/>
  <c r="O22" i="71"/>
  <c r="N22"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B15" i="72" s="1"/>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B64" i="71"/>
  <c r="B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AA36" i="71" s="1"/>
  <c r="O36" i="71"/>
  <c r="Y36" i="71" s="1"/>
  <c r="Z36" i="71" s="1"/>
  <c r="N36" i="71"/>
  <c r="X36" i="71" s="1"/>
  <c r="Q35" i="71"/>
  <c r="AB35" i="71" s="1"/>
  <c r="P35" i="71"/>
  <c r="AA35" i="71" s="1"/>
  <c r="O35" i="71"/>
  <c r="Y35" i="71" s="1"/>
  <c r="Z35" i="71" s="1"/>
  <c r="N35" i="71"/>
  <c r="Q34" i="71"/>
  <c r="F35" i="71" s="1"/>
  <c r="F36" i="71" s="1"/>
  <c r="F37" i="71" s="1"/>
  <c r="V37" i="71" s="1"/>
  <c r="P34" i="71"/>
  <c r="O34" i="71"/>
  <c r="C35" i="71" s="1"/>
  <c r="N34" i="71"/>
  <c r="X34" i="71" s="1"/>
  <c r="D34" i="71"/>
  <c r="Q33" i="71"/>
  <c r="AB33" i="71" s="1"/>
  <c r="P33" i="71"/>
  <c r="O33" i="71"/>
  <c r="Y33" i="71" s="1"/>
  <c r="Z33" i="71" s="1"/>
  <c r="N33" i="71"/>
  <c r="Q32" i="71"/>
  <c r="P32" i="71"/>
  <c r="O32" i="71"/>
  <c r="Y32" i="71" s="1"/>
  <c r="Z32" i="71" s="1"/>
  <c r="N32" i="71"/>
  <c r="Q31" i="71"/>
  <c r="AB31" i="71" s="1"/>
  <c r="P31" i="71"/>
  <c r="O31" i="71"/>
  <c r="N31" i="71"/>
  <c r="Q30" i="71"/>
  <c r="F31" i="71" s="1"/>
  <c r="P30" i="71"/>
  <c r="O30" i="71"/>
  <c r="C31" i="71" s="1"/>
  <c r="C32" i="71" s="1"/>
  <c r="N30" i="71"/>
  <c r="D30" i="71"/>
  <c r="Q29" i="71"/>
  <c r="AB29" i="71" s="1"/>
  <c r="P29" i="71"/>
  <c r="O29" i="71"/>
  <c r="N29" i="71"/>
  <c r="Q28" i="71"/>
  <c r="P28" i="71"/>
  <c r="O28" i="71"/>
  <c r="N28" i="71"/>
  <c r="Q27" i="71"/>
  <c r="P27" i="71"/>
  <c r="O27" i="71"/>
  <c r="N27" i="71"/>
  <c r="Q26" i="71"/>
  <c r="F27" i="71" s="1"/>
  <c r="P26" i="71"/>
  <c r="AA26" i="71" s="1"/>
  <c r="O26" i="71"/>
  <c r="N26" i="71"/>
  <c r="X22" i="71" s="1"/>
  <c r="D26" i="71"/>
  <c r="O25" i="71"/>
  <c r="N25" i="71"/>
  <c r="B25" i="71" s="1"/>
  <c r="B27" i="71"/>
  <c r="B28" i="71" s="1"/>
  <c r="B29" i="71" s="1"/>
  <c r="S29" i="71" s="1"/>
  <c r="B31" i="71"/>
  <c r="B32" i="71" s="1"/>
  <c r="B33" i="71" s="1"/>
  <c r="S33" i="71" s="1"/>
  <c r="E35" i="71"/>
  <c r="E36" i="71" s="1"/>
  <c r="E37" i="71" s="1"/>
  <c r="U37" i="71" s="1"/>
  <c r="E31" i="71"/>
  <c r="E32" i="71" s="1"/>
  <c r="C27" i="71"/>
  <c r="D27" i="71" s="1"/>
  <c r="X29" i="71"/>
  <c r="AA31" i="71"/>
  <c r="Y34" i="71"/>
  <c r="Z34" i="71" s="1"/>
  <c r="AB34" i="71"/>
  <c r="X35" i="71"/>
  <c r="C25" i="71"/>
  <c r="C24" i="71" s="1"/>
  <c r="C28" i="71"/>
  <c r="D28" i="71" s="1"/>
  <c r="P25" i="71"/>
  <c r="E25" i="71" s="1"/>
  <c r="E24" i="71" s="1"/>
  <c r="E23" i="71" s="1"/>
  <c r="E64" i="71"/>
  <c r="E63" i="71" s="1"/>
  <c r="Q25" i="71"/>
  <c r="N64" i="71"/>
  <c r="T65" i="71"/>
  <c r="O65" i="71"/>
  <c r="D65" i="71"/>
  <c r="C64" i="71"/>
  <c r="O64" i="71" s="1"/>
  <c r="Q65" i="71"/>
  <c r="C68" i="71"/>
  <c r="D68" i="71" s="1"/>
  <c r="E68" i="71"/>
  <c r="E67" i="71" s="1"/>
  <c r="D69" i="71"/>
  <c r="C72" i="71"/>
  <c r="C71" i="71" s="1"/>
  <c r="D71" i="71" s="1"/>
  <c r="E72" i="71"/>
  <c r="E71" i="71" s="1"/>
  <c r="D73" i="71"/>
  <c r="C76" i="71"/>
  <c r="C75" i="71" s="1"/>
  <c r="D75" i="71" s="1"/>
  <c r="E76" i="71"/>
  <c r="E75" i="71" s="1"/>
  <c r="D77" i="71"/>
  <c r="C80" i="71"/>
  <c r="D80" i="71" s="1"/>
  <c r="C84" i="71"/>
  <c r="D84" i="71" s="1"/>
  <c r="F25" i="71"/>
  <c r="F24" i="71" s="1"/>
  <c r="F23" i="71" s="1"/>
  <c r="AB25" i="71"/>
  <c r="AA24" i="71"/>
  <c r="C63" i="71"/>
  <c r="D63" i="71" s="1"/>
  <c r="C79" i="71"/>
  <c r="D79" i="71" s="1"/>
  <c r="D76" i="71"/>
  <c r="C29" i="71"/>
  <c r="T2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Q29" i="39"/>
  <c r="Z29" i="39" s="1"/>
  <c r="D103" i="39"/>
  <c r="E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29" i="39"/>
  <c r="U18" i="36"/>
  <c r="S21" i="34"/>
  <c r="F94" i="40"/>
  <c r="H25" i="40"/>
  <c r="G94" i="40"/>
  <c r="J25" i="40"/>
  <c r="F103" i="39"/>
  <c r="H29" i="39"/>
  <c r="G103" i="39"/>
  <c r="J29" i="39"/>
  <c r="W29" i="39" s="1"/>
  <c r="J18" i="36"/>
  <c r="F68" i="35"/>
  <c r="H18" i="35"/>
  <c r="U18" i="35" s="1"/>
  <c r="G68" i="35"/>
  <c r="J18" i="35"/>
  <c r="AC18" i="35" s="1"/>
  <c r="H21" i="37"/>
  <c r="U21" i="37" s="1"/>
  <c r="F21" i="37"/>
  <c r="AA21" i="37" s="1"/>
  <c r="H21" i="34"/>
  <c r="AB21" i="34" s="1"/>
  <c r="H21" i="33"/>
  <c r="U21" i="33" s="1"/>
  <c r="F21" i="33"/>
  <c r="S21" i="33" s="1"/>
  <c r="E83" i="21"/>
  <c r="F83" i="21" s="1"/>
  <c r="G83" i="21" s="1"/>
  <c r="S21" i="21"/>
  <c r="H1" i="69"/>
  <c r="AC25" i="40"/>
  <c r="W25" i="40"/>
  <c r="AB25" i="40"/>
  <c r="U25" i="40"/>
  <c r="AB29" i="39"/>
  <c r="U29" i="39"/>
  <c r="AC29" i="39"/>
  <c r="AC18" i="36"/>
  <c r="W18" i="36"/>
  <c r="S21" i="37"/>
  <c r="J21" i="37"/>
  <c r="AC21" i="37" s="1"/>
  <c r="J21" i="34"/>
  <c r="AC21" i="34" s="1"/>
  <c r="J21" i="33"/>
  <c r="AC21" i="33" s="1"/>
  <c r="H21" i="21"/>
  <c r="AB21" i="21" s="1"/>
  <c r="F38" i="69"/>
  <c r="E37" i="69"/>
  <c r="F36" i="69"/>
  <c r="F35" i="69"/>
  <c r="F21" i="69"/>
  <c r="F40" i="69" s="1"/>
  <c r="F20" i="69"/>
  <c r="F39" i="69" s="1"/>
  <c r="E10" i="69"/>
  <c r="E9" i="69"/>
  <c r="W21" i="34"/>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7" i="43"/>
  <c r="D73" i="43"/>
  <c r="D71"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8" s="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B13" i="1" s="1"/>
  <c r="E13" i="1" s="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c r="F26" i="35" s="1"/>
  <c r="J31" i="35"/>
  <c r="W31" i="35" s="1"/>
  <c r="H31" i="35"/>
  <c r="U31" i="35" s="1"/>
  <c r="F31" i="35"/>
  <c r="AA31" i="35" s="1"/>
  <c r="D87" i="35"/>
  <c r="E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J45" i="33" s="1"/>
  <c r="B126" i="33"/>
  <c r="B98" i="33"/>
  <c r="J31" i="33" s="1"/>
  <c r="B96" i="33"/>
  <c r="B94" i="33"/>
  <c r="H29" i="33" s="1"/>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H44" i="21" s="1"/>
  <c r="B98" i="21"/>
  <c r="H31" i="21" s="1"/>
  <c r="B96" i="21"/>
  <c r="H30" i="21" s="1"/>
  <c r="B94" i="21"/>
  <c r="J29" i="21" s="1"/>
  <c r="AC29" i="21" s="1"/>
  <c r="B92" i="21"/>
  <c r="F28" i="21" s="1"/>
  <c r="B90" i="21"/>
  <c r="J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AC44" i="39" s="1"/>
  <c r="J35" i="39"/>
  <c r="AC35" i="39" s="1"/>
  <c r="F35" i="39"/>
  <c r="AA35" i="39" s="1"/>
  <c r="U9" i="39"/>
  <c r="W40" i="39"/>
  <c r="U30" i="37"/>
  <c r="F39" i="37"/>
  <c r="S39" i="37" s="1"/>
  <c r="U14" i="37"/>
  <c r="F29" i="36"/>
  <c r="AA29" i="36" s="1"/>
  <c r="F16" i="36"/>
  <c r="AA16" i="36" s="1"/>
  <c r="S30" i="36"/>
  <c r="U31" i="36"/>
  <c r="H22" i="35"/>
  <c r="AB22" i="35" s="1"/>
  <c r="AC27" i="35"/>
  <c r="S34" i="35"/>
  <c r="W34" i="35"/>
  <c r="S31" i="35"/>
  <c r="F36" i="34"/>
  <c r="J35" i="34"/>
  <c r="H39" i="33"/>
  <c r="AB39" i="33" s="1"/>
  <c r="S9" i="33"/>
  <c r="U33" i="33"/>
  <c r="U35" i="33"/>
  <c r="S40" i="33"/>
  <c r="W33" i="33"/>
  <c r="H39" i="37"/>
  <c r="AB39" i="37" s="1"/>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J34" i="36"/>
  <c r="W34" i="36" s="1"/>
  <c r="J30" i="35"/>
  <c r="W30" i="35" s="1"/>
  <c r="H30" i="35"/>
  <c r="AB30" i="35" s="1"/>
  <c r="F22" i="35"/>
  <c r="AA22" i="35" s="1"/>
  <c r="H10" i="35"/>
  <c r="U10" i="35" s="1"/>
  <c r="AC16" i="36"/>
  <c r="F33" i="36"/>
  <c r="AA33" i="36" s="1"/>
  <c r="W30" i="36"/>
  <c r="H16" i="36"/>
  <c r="AB16" i="36" s="1"/>
  <c r="J29" i="36"/>
  <c r="AC29" i="36" s="1"/>
  <c r="F12" i="36"/>
  <c r="F24" i="36"/>
  <c r="AA24" i="36" s="1"/>
  <c r="F34" i="36"/>
  <c r="S34" i="36" s="1"/>
  <c r="S10" i="36"/>
  <c r="AB8" i="36"/>
  <c r="S8" i="36"/>
  <c r="U8" i="35"/>
  <c r="F14" i="35"/>
  <c r="AA14" i="35" s="1"/>
  <c r="F23" i="35"/>
  <c r="AA23" i="35" s="1"/>
  <c r="J32" i="35"/>
  <c r="AC32" i="35" s="1"/>
  <c r="H16" i="35"/>
  <c r="U16" i="35" s="1"/>
  <c r="H14" i="35"/>
  <c r="AB14" i="35" s="1"/>
  <c r="H33" i="35"/>
  <c r="AB33" i="35" s="1"/>
  <c r="AC8" i="35"/>
  <c r="J20" i="35"/>
  <c r="W20" i="35" s="1"/>
  <c r="F35" i="37"/>
  <c r="S35" i="37" s="1"/>
  <c r="J34" i="37"/>
  <c r="W34" i="37" s="1"/>
  <c r="S10" i="37"/>
  <c r="AB34" i="37"/>
  <c r="J33" i="37"/>
  <c r="AC33" i="37" s="1"/>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S12" i="36"/>
  <c r="AA12" i="36"/>
  <c r="AC34" i="36"/>
  <c r="U30" i="35"/>
  <c r="U33" i="35"/>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AB11" i="36"/>
  <c r="J10" i="36"/>
  <c r="AC10" i="36" s="1"/>
  <c r="W13" i="36"/>
  <c r="W11" i="35"/>
  <c r="AC30" i="34"/>
  <c r="S45" i="33"/>
  <c r="AB31" i="33"/>
  <c r="W29" i="33"/>
  <c r="AC28" i="21"/>
  <c r="BA586" i="3"/>
  <c r="F17" i="21"/>
  <c r="AA17" i="21" s="1"/>
  <c r="H17" i="21"/>
  <c r="AB17" i="21" s="1"/>
  <c r="F15" i="21"/>
  <c r="S15" i="21" s="1"/>
  <c r="AB11"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AZ546" i="3" s="1"/>
  <c r="BA544" i="3"/>
  <c r="BA542" i="3"/>
  <c r="AZ542" i="3" s="1"/>
  <c r="BA540" i="3"/>
  <c r="BA538" i="3"/>
  <c r="BA536" i="3"/>
  <c r="BA534" i="3"/>
  <c r="AZ534" i="3" s="1"/>
  <c r="BA532" i="3"/>
  <c r="BA530" i="3"/>
  <c r="BA528" i="3"/>
  <c r="BA526" i="3"/>
  <c r="AZ526" i="3" s="1"/>
  <c r="BA524" i="3"/>
  <c r="BA522" i="3"/>
  <c r="AZ522" i="3" s="1"/>
  <c r="BA520" i="3"/>
  <c r="BA518" i="3"/>
  <c r="BA516" i="3"/>
  <c r="BA514" i="3"/>
  <c r="BA512" i="3"/>
  <c r="BA510" i="3"/>
  <c r="AZ510" i="3" s="1"/>
  <c r="BA508" i="3"/>
  <c r="BA506" i="3"/>
  <c r="AZ506" i="3" s="1"/>
  <c r="BA504" i="3"/>
  <c r="BA502" i="3"/>
  <c r="AZ502" i="3" s="1"/>
  <c r="BA500" i="3"/>
  <c r="BA498" i="3"/>
  <c r="AZ498" i="3" s="1"/>
  <c r="BA496" i="3"/>
  <c r="BA494"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AZ513" i="3" s="1"/>
  <c r="BQ511" i="3"/>
  <c r="BL511" i="3"/>
  <c r="AZ511" i="3" s="1"/>
  <c r="BA509" i="3"/>
  <c r="AC509" i="3"/>
  <c r="AC5" i="3" s="1"/>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AZ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c r="G125" i="33"/>
  <c r="J43" i="33"/>
  <c r="AC43" i="33" s="1"/>
  <c r="U14" i="40"/>
  <c r="AC32" i="36"/>
  <c r="AB28" i="37"/>
  <c r="U33" i="37"/>
  <c r="U39" i="37"/>
  <c r="W26" i="37"/>
  <c r="AC8" i="37"/>
  <c r="U26" i="37"/>
  <c r="W47" i="34"/>
  <c r="W37" i="34"/>
  <c r="AC36" i="34"/>
  <c r="W44" i="33"/>
  <c r="U19" i="21"/>
  <c r="U26" i="21"/>
  <c r="AB38" i="21"/>
  <c r="F43" i="33"/>
  <c r="AA43" i="33" s="1"/>
  <c r="W15" i="34"/>
  <c r="W40" i="37"/>
  <c r="G107" i="37"/>
  <c r="H107" i="37"/>
  <c r="I107" i="37" s="1"/>
  <c r="J107" i="37" s="1"/>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K5" i="4" s="1"/>
  <c r="B47" i="48" s="1"/>
  <c r="A2" i="9"/>
  <c r="F59" i="43"/>
  <c r="H62" i="43" s="1"/>
  <c r="AZ24" i="3"/>
  <c r="AZ28" i="3"/>
  <c r="AZ494" i="3"/>
  <c r="AZ514" i="3"/>
  <c r="AZ530" i="3"/>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BL378" i="3"/>
  <c r="G379" i="3"/>
  <c r="BA380" i="3"/>
  <c r="AZ380" i="3" s="1"/>
  <c r="G388" i="3"/>
  <c r="BL389" i="3"/>
  <c r="G390" i="3"/>
  <c r="BL391" i="3"/>
  <c r="BA393" i="3"/>
  <c r="BA394" i="3"/>
  <c r="AZ394" i="3" s="1"/>
  <c r="BL394" i="3"/>
  <c r="G113" i="3"/>
  <c r="BA115" i="3"/>
  <c r="AZ115" i="3"/>
  <c r="BL116" i="3"/>
  <c r="AZ116" i="3"/>
  <c r="G117" i="3"/>
  <c r="BA119" i="3"/>
  <c r="AZ119" i="3" s="1"/>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G201" i="3"/>
  <c r="BA203" i="3"/>
  <c r="AZ203" i="3" s="1"/>
  <c r="BL204" i="3"/>
  <c r="AZ204" i="3" s="1"/>
  <c r="AZ51" i="3"/>
  <c r="AZ55" i="3"/>
  <c r="AZ79" i="3"/>
  <c r="AZ152" i="3"/>
  <c r="AZ168" i="3"/>
  <c r="AZ200"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BA390" i="3"/>
  <c r="BL390" i="3"/>
  <c r="G391" i="3"/>
  <c r="G394" i="3"/>
  <c r="AZ198" i="3"/>
  <c r="AZ202" i="3"/>
  <c r="AZ206" i="3"/>
  <c r="AZ500" i="3"/>
  <c r="BA16" i="3"/>
  <c r="BL303" i="3"/>
  <c r="AZ303" i="3" s="1"/>
  <c r="G304" i="3"/>
  <c r="BA306" i="3"/>
  <c r="AZ306" i="3" s="1"/>
  <c r="BL307" i="3"/>
  <c r="AZ307" i="3" s="1"/>
  <c r="G308" i="3"/>
  <c r="BA310" i="3"/>
  <c r="BL311" i="3"/>
  <c r="G312" i="3"/>
  <c r="BA314" i="3"/>
  <c r="BL315" i="3"/>
  <c r="G316" i="3"/>
  <c r="BA318" i="3"/>
  <c r="BL319" i="3"/>
  <c r="G320" i="3"/>
  <c r="BA322" i="3"/>
  <c r="BL323" i="3"/>
  <c r="G324" i="3"/>
  <c r="BA326" i="3"/>
  <c r="AZ326" i="3" s="1"/>
  <c r="BL327" i="3"/>
  <c r="AZ327" i="3" s="1"/>
  <c r="G328" i="3"/>
  <c r="BA330" i="3"/>
  <c r="BL331" i="3"/>
  <c r="G332" i="3"/>
  <c r="BA334" i="3"/>
  <c r="AZ334" i="3" s="1"/>
  <c r="BL335" i="3"/>
  <c r="G336" i="3"/>
  <c r="BA338" i="3"/>
  <c r="AZ338" i="3" s="1"/>
  <c r="BL339" i="3"/>
  <c r="G340" i="3"/>
  <c r="BL343" i="3"/>
  <c r="AZ343" i="3" s="1"/>
  <c r="G344" i="3"/>
  <c r="G348" i="3"/>
  <c r="G355" i="3"/>
  <c r="G342" i="3"/>
  <c r="BL345" i="3"/>
  <c r="G346" i="3"/>
  <c r="AZ348" i="3"/>
  <c r="BL349" i="3"/>
  <c r="AZ349" i="3" s="1"/>
  <c r="BL352" i="3"/>
  <c r="G353" i="3"/>
  <c r="BA357" i="3"/>
  <c r="AZ357" i="3" s="1"/>
  <c r="BL358" i="3"/>
  <c r="G359" i="3"/>
  <c r="BA361" i="3"/>
  <c r="BL362" i="3"/>
  <c r="G363" i="3"/>
  <c r="BA365" i="3"/>
  <c r="AZ365" i="3" s="1"/>
  <c r="BL366" i="3"/>
  <c r="AZ366" i="3" s="1"/>
  <c r="G367" i="3"/>
  <c r="BA369" i="3"/>
  <c r="AZ369" i="3" s="1"/>
  <c r="BL370" i="3"/>
  <c r="G371" i="3"/>
  <c r="BA373" i="3"/>
  <c r="BL374" i="3"/>
  <c r="G375" i="3"/>
  <c r="BA377" i="3"/>
  <c r="AZ377" i="3" s="1"/>
  <c r="BA379" i="3"/>
  <c r="BL380" i="3"/>
  <c r="G381" i="3"/>
  <c r="BA383" i="3"/>
  <c r="BL384" i="3"/>
  <c r="G385" i="3"/>
  <c r="BA387" i="3"/>
  <c r="AZ387" i="3" s="1"/>
  <c r="BL388" i="3"/>
  <c r="AZ388" i="3" s="1"/>
  <c r="G389" i="3"/>
  <c r="BA391" i="3"/>
  <c r="BL392" i="3"/>
  <c r="G393" i="3"/>
  <c r="AZ287" i="3"/>
  <c r="BO5" i="3"/>
  <c r="BM5" i="3"/>
  <c r="F29" i="6" s="1"/>
  <c r="BJ5" i="3"/>
  <c r="BH5" i="3"/>
  <c r="BF5" i="3"/>
  <c r="BD5" i="3"/>
  <c r="BQ5" i="3"/>
  <c r="AZ496" i="3"/>
  <c r="G548" i="3"/>
  <c r="G538" i="3"/>
  <c r="G520" i="3"/>
  <c r="G502" i="3"/>
  <c r="BS5" i="3"/>
  <c r="BP5" i="3"/>
  <c r="BN5" i="3"/>
  <c r="BK5" i="3"/>
  <c r="BI5" i="3"/>
  <c r="BG5" i="3"/>
  <c r="BE5" i="3"/>
  <c r="BC5" i="3"/>
  <c r="G17" i="3"/>
  <c r="BA17" i="3"/>
  <c r="BT5" i="3"/>
  <c r="AZ368" i="3"/>
  <c r="BA15" i="3"/>
  <c r="AZ15" i="3" s="1"/>
  <c r="BB5" i="3"/>
  <c r="E15" i="6" s="1"/>
  <c r="BR5" i="3"/>
  <c r="G28" i="6" s="1"/>
  <c r="AZ392" i="3"/>
  <c r="E8" i="6"/>
  <c r="F27" i="6" s="1"/>
  <c r="G509" i="3"/>
  <c r="BL493" i="3"/>
  <c r="AZ493" i="3" s="1"/>
  <c r="AZ382" i="3"/>
  <c r="U36" i="40"/>
  <c r="F36" i="43"/>
  <c r="F81" i="43"/>
  <c r="H83" i="43" s="1"/>
  <c r="H113" i="43"/>
  <c r="F48" i="43"/>
  <c r="H52" i="43" s="1"/>
  <c r="M11" i="43"/>
  <c r="D17" i="43"/>
  <c r="F39" i="43"/>
  <c r="I17" i="43"/>
  <c r="F35" i="43"/>
  <c r="J17" i="43"/>
  <c r="F6" i="1"/>
  <c r="U17" i="39"/>
  <c r="U43" i="21"/>
  <c r="U35" i="21"/>
  <c r="AC35" i="21"/>
  <c r="U10" i="21"/>
  <c r="G8" i="1"/>
  <c r="G9"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80" i="3"/>
  <c r="AZ288" i="3"/>
  <c r="AZ296" i="3"/>
  <c r="AZ114" i="3"/>
  <c r="AZ21" i="3"/>
  <c r="AZ50" i="3"/>
  <c r="AZ53" i="3"/>
  <c r="AZ77" i="3"/>
  <c r="AZ82" i="3"/>
  <c r="AZ86"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M6" i="1" s="1"/>
  <c r="O6" i="1" s="1"/>
  <c r="AC26" i="33"/>
  <c r="W26" i="33"/>
  <c r="W27" i="34"/>
  <c r="AC27" i="34"/>
  <c r="AC12" i="39"/>
  <c r="W12" i="39"/>
  <c r="F28" i="6"/>
  <c r="BL14" i="3"/>
  <c r="U30" i="33"/>
  <c r="AC13" i="34"/>
  <c r="AA47" i="34"/>
  <c r="W28" i="37"/>
  <c r="S19" i="39"/>
  <c r="F12" i="33"/>
  <c r="H12" i="39"/>
  <c r="AB12" i="39" s="1"/>
  <c r="F39" i="40"/>
  <c r="BA14" i="3"/>
  <c r="AZ14" i="3" s="1"/>
  <c r="AZ286" i="3"/>
  <c r="AZ197" i="3"/>
  <c r="AZ19" i="3"/>
  <c r="AZ26" i="3"/>
  <c r="S12" i="1"/>
  <c r="AQ12" i="1" s="1"/>
  <c r="R12" i="1"/>
  <c r="B12" i="1"/>
  <c r="E12" i="1" s="1"/>
  <c r="S10" i="1"/>
  <c r="AQ10" i="1" s="1"/>
  <c r="R10" i="1"/>
  <c r="B10" i="1"/>
  <c r="E10" i="1" s="1"/>
  <c r="AZ80" i="3"/>
  <c r="AZ84" i="3"/>
  <c r="K12" i="1"/>
  <c r="M12" i="1" s="1"/>
  <c r="S13" i="1"/>
  <c r="AR13" i="1" s="1"/>
  <c r="R13" i="1"/>
  <c r="S11" i="1"/>
  <c r="AQ11" i="1" s="1"/>
  <c r="R11" i="1"/>
  <c r="S9" i="1"/>
  <c r="AR9" i="1" s="1"/>
  <c r="R9" i="1"/>
  <c r="J51" i="67"/>
  <c r="C42" i="1"/>
  <c r="C77" i="78" s="1"/>
  <c r="C74" i="78" s="1"/>
  <c r="H100" i="43"/>
  <c r="B41" i="1"/>
  <c r="F53" i="9" s="1"/>
  <c r="J100" i="43"/>
  <c r="AB37" i="40"/>
  <c r="S35" i="40"/>
  <c r="U35" i="40"/>
  <c r="AA32" i="40"/>
  <c r="S17" i="40"/>
  <c r="S23" i="40"/>
  <c r="AC17" i="40"/>
  <c r="AC15" i="40"/>
  <c r="AA19" i="40"/>
  <c r="S28" i="40"/>
  <c r="U21" i="40"/>
  <c r="W42" i="39"/>
  <c r="S43" i="39"/>
  <c r="S37" i="39"/>
  <c r="U35" i="39"/>
  <c r="F32" i="39"/>
  <c r="F107" i="39"/>
  <c r="G107" i="39" s="1"/>
  <c r="H107" i="39" s="1"/>
  <c r="I107" i="39" s="1"/>
  <c r="J107" i="39" s="1"/>
  <c r="K107" i="39" s="1"/>
  <c r="L107" i="39" s="1"/>
  <c r="M107" i="39" s="1"/>
  <c r="U25" i="39"/>
  <c r="AB27" i="39"/>
  <c r="U31" i="39"/>
  <c r="S25" i="39"/>
  <c r="J21" i="39"/>
  <c r="F21" i="39"/>
  <c r="AA21" i="39" s="1"/>
  <c r="G95" i="39"/>
  <c r="H21" i="39"/>
  <c r="AB21" i="39" s="1"/>
  <c r="W19" i="39"/>
  <c r="U19" i="39"/>
  <c r="S17" i="39"/>
  <c r="AC15" i="39"/>
  <c r="AB15" i="39"/>
  <c r="AA12" i="39"/>
  <c r="S9" i="39"/>
  <c r="U14" i="39"/>
  <c r="AC13" i="39"/>
  <c r="U13" i="36"/>
  <c r="AC27" i="36"/>
  <c r="U26" i="36"/>
  <c r="S33" i="36"/>
  <c r="AA26" i="36"/>
  <c r="AA34" i="36"/>
  <c r="S29" i="36"/>
  <c r="AC26" i="36"/>
  <c r="W14" i="36"/>
  <c r="AB14" i="36"/>
  <c r="U22" i="36"/>
  <c r="S16" i="36"/>
  <c r="AA25" i="36"/>
  <c r="S24"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H26" i="35"/>
  <c r="U26" i="35" s="1"/>
  <c r="AB40" i="37"/>
  <c r="S25" i="37"/>
  <c r="W27" i="37"/>
  <c r="S26" i="37"/>
  <c r="AC9" i="37"/>
  <c r="AC29" i="37"/>
  <c r="U29"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AB10" i="37" s="1"/>
  <c r="H60" i="37"/>
  <c r="F63" i="37"/>
  <c r="G63" i="37" s="1"/>
  <c r="H63" i="37" s="1"/>
  <c r="I63" i="37" s="1"/>
  <c r="J63" i="37" s="1"/>
  <c r="K63" i="37" s="1"/>
  <c r="L63" i="37" s="1"/>
  <c r="M63" i="37" s="1"/>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J35" i="33"/>
  <c r="S37" i="33"/>
  <c r="AA37" i="33"/>
  <c r="S39" i="33"/>
  <c r="J32" i="33"/>
  <c r="S46" i="33"/>
  <c r="W43" i="33"/>
  <c r="S43" i="33"/>
  <c r="F91" i="33"/>
  <c r="H27" i="33"/>
  <c r="U27" i="33" s="1"/>
  <c r="H25" i="33"/>
  <c r="F25" i="33"/>
  <c r="S25" i="33" s="1"/>
  <c r="J23" i="33"/>
  <c r="H23" i="33"/>
  <c r="U23" i="33" s="1"/>
  <c r="F19" i="33"/>
  <c r="S19" i="33" s="1"/>
  <c r="W19" i="33"/>
  <c r="J17"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M20" i="67"/>
  <c r="F34" i="15"/>
  <c r="F62" i="15" s="1"/>
  <c r="BA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11" i="43"/>
  <c r="E10" i="43"/>
  <c r="E9" i="43"/>
  <c r="E8" i="43"/>
  <c r="E81" i="43"/>
  <c r="B79" i="43" s="1"/>
  <c r="E48" i="43"/>
  <c r="B46" i="43" s="1"/>
  <c r="F100" i="43"/>
  <c r="H17" i="43"/>
  <c r="G6" i="1"/>
  <c r="H85" i="43"/>
  <c r="H84" i="43"/>
  <c r="H53"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C52" i="37"/>
  <c r="D52" i="37" s="1"/>
  <c r="C4" i="12"/>
  <c r="H66" i="43"/>
  <c r="H64" i="43"/>
  <c r="H55" i="43"/>
  <c r="H56" i="43"/>
  <c r="L20" i="6"/>
  <c r="E56" i="39"/>
  <c r="B6" i="1"/>
  <c r="E6" i="1" s="1"/>
  <c r="S8" i="1"/>
  <c r="AQ8"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U40" i="21"/>
  <c r="AB31" i="21"/>
  <c r="U31" i="21"/>
  <c r="U13" i="21"/>
  <c r="AB13" i="21"/>
  <c r="W8" i="21"/>
  <c r="S35" i="21"/>
  <c r="AB37" i="21"/>
  <c r="J37" i="21"/>
  <c r="W37" i="21" s="1"/>
  <c r="H15" i="21"/>
  <c r="U15" i="21" s="1"/>
  <c r="J17" i="21"/>
  <c r="AC17" i="21" s="1"/>
  <c r="AC19" i="21"/>
  <c r="W39" i="21"/>
  <c r="H45" i="21"/>
  <c r="F29" i="21"/>
  <c r="S29" i="21" s="1"/>
  <c r="F13" i="21"/>
  <c r="AA13" i="21" s="1"/>
  <c r="AC38" i="21"/>
  <c r="H32" i="21"/>
  <c r="H9" i="21"/>
  <c r="U9" i="21" s="1"/>
  <c r="J9" i="21"/>
  <c r="J32" i="21"/>
  <c r="AC32" i="21" s="1"/>
  <c r="F32" i="21"/>
  <c r="S32" i="21" s="1"/>
  <c r="AA31" i="21"/>
  <c r="U17" i="21"/>
  <c r="W29" i="21"/>
  <c r="S19" i="21"/>
  <c r="S9" i="21"/>
  <c r="AA9" i="21"/>
  <c r="K141" i="21"/>
  <c r="K144" i="21"/>
  <c r="K143" i="21"/>
  <c r="U27" i="21"/>
  <c r="AB25" i="21"/>
  <c r="AA30" i="21"/>
  <c r="W13" i="21"/>
  <c r="W42" i="21"/>
  <c r="AC45" i="21"/>
  <c r="F10" i="21"/>
  <c r="S10" i="21" s="1"/>
  <c r="K145" i="21"/>
  <c r="W17" i="21"/>
  <c r="W25" i="21"/>
  <c r="AA29" i="21"/>
  <c r="W31" i="21"/>
  <c r="S27" i="21"/>
  <c r="S17" i="21"/>
  <c r="AA15" i="21"/>
  <c r="AC26" i="21"/>
  <c r="AB29" i="21"/>
  <c r="AC34" i="21"/>
  <c r="W10" i="21"/>
  <c r="AB36" i="21"/>
  <c r="W30" i="40"/>
  <c r="C19" i="39"/>
  <c r="C15" i="40"/>
  <c r="C17" i="40"/>
  <c r="C23" i="40"/>
  <c r="C21" i="40"/>
  <c r="U30" i="40"/>
  <c r="B54" i="43"/>
  <c r="B65" i="43"/>
  <c r="B49" i="43"/>
  <c r="B52" i="43"/>
  <c r="B56" i="43"/>
  <c r="B60" i="43"/>
  <c r="B63" i="43"/>
  <c r="B67" i="43"/>
  <c r="D23" i="15"/>
  <c r="D22" i="15"/>
  <c r="E4" i="4"/>
  <c r="B5" i="62" s="1"/>
  <c r="B73" i="72" s="1"/>
  <c r="C4" i="4"/>
  <c r="D19" i="12"/>
  <c r="C19" i="12" s="1"/>
  <c r="E7" i="70"/>
  <c r="AA39" i="40"/>
  <c r="S39" i="40"/>
  <c r="S12" i="33"/>
  <c r="AA12" i="33"/>
  <c r="J32" i="39"/>
  <c r="H32" i="39"/>
  <c r="AB32" i="39" s="1"/>
  <c r="AA32" i="39"/>
  <c r="S32" i="39"/>
  <c r="U21" i="39"/>
  <c r="S21" i="39"/>
  <c r="AC21" i="39"/>
  <c r="W21" i="39"/>
  <c r="AB9" i="35"/>
  <c r="AA9" i="35"/>
  <c r="S9" i="35"/>
  <c r="AB26" i="35"/>
  <c r="AC17" i="37"/>
  <c r="S17" i="37"/>
  <c r="J19" i="37"/>
  <c r="AC19" i="37" s="1"/>
  <c r="G75" i="37"/>
  <c r="S19" i="37"/>
  <c r="AA23" i="37"/>
  <c r="J23" i="37"/>
  <c r="G79" i="37"/>
  <c r="J10" i="37"/>
  <c r="I60" i="37"/>
  <c r="H11" i="37"/>
  <c r="U11" i="37" s="1"/>
  <c r="U10" i="37"/>
  <c r="G70" i="34"/>
  <c r="H11" i="34"/>
  <c r="U11" i="34" s="1"/>
  <c r="U10" i="34"/>
  <c r="J10" i="34"/>
  <c r="I67" i="34"/>
  <c r="AB41" i="33"/>
  <c r="U41" i="33"/>
  <c r="W35" i="33"/>
  <c r="AC35" i="33"/>
  <c r="J36" i="33"/>
  <c r="AC36" i="33" s="1"/>
  <c r="H36" i="33"/>
  <c r="AB36" i="33" s="1"/>
  <c r="S36" i="33"/>
  <c r="AA36" i="33"/>
  <c r="AC32" i="33"/>
  <c r="W32" i="33"/>
  <c r="AB27" i="33"/>
  <c r="G91" i="33"/>
  <c r="H91" i="33" s="1"/>
  <c r="I91" i="33" s="1"/>
  <c r="J91" i="33" s="1"/>
  <c r="K91" i="33" s="1"/>
  <c r="L91" i="33" s="1"/>
  <c r="M91" i="33" s="1"/>
  <c r="J27" i="33"/>
  <c r="AC27" i="33" s="1"/>
  <c r="U25" i="33"/>
  <c r="AB25" i="33"/>
  <c r="AA25" i="33"/>
  <c r="J25" i="33"/>
  <c r="AC25" i="33" s="1"/>
  <c r="AB23" i="33"/>
  <c r="F23" i="33"/>
  <c r="S23" i="33" s="1"/>
  <c r="AC23" i="33"/>
  <c r="W23" i="33"/>
  <c r="AA19" i="33"/>
  <c r="H19" i="33"/>
  <c r="U19" i="33" s="1"/>
  <c r="H17" i="33"/>
  <c r="F17" i="33"/>
  <c r="S17" i="33" s="1"/>
  <c r="W17" i="33"/>
  <c r="AC17" i="33"/>
  <c r="U10" i="33"/>
  <c r="AB10" i="33"/>
  <c r="W10" i="33"/>
  <c r="U33" i="21"/>
  <c r="S37" i="21"/>
  <c r="AA23" i="21"/>
  <c r="J23" i="21"/>
  <c r="W23" i="21" s="1"/>
  <c r="F85" i="21"/>
  <c r="G85" i="21"/>
  <c r="H23" i="21"/>
  <c r="S13" i="21"/>
  <c r="AP7" i="1"/>
  <c r="S33" i="21"/>
  <c r="AA33" i="21"/>
  <c r="W32" i="21"/>
  <c r="AA32" i="21"/>
  <c r="W9" i="21"/>
  <c r="AC9" i="21"/>
  <c r="AB32" i="21"/>
  <c r="U32" i="21"/>
  <c r="AC32" i="39"/>
  <c r="W32" i="39"/>
  <c r="W23" i="37"/>
  <c r="AC23" i="37"/>
  <c r="AB11" i="37"/>
  <c r="J11" i="37"/>
  <c r="W11" i="37" s="1"/>
  <c r="W10" i="37"/>
  <c r="AC10" i="37"/>
  <c r="AB11" i="34"/>
  <c r="AC10" i="34"/>
  <c r="W10" i="34"/>
  <c r="H70" i="34"/>
  <c r="I70" i="34"/>
  <c r="J70" i="34" s="1"/>
  <c r="K70" i="34" s="1"/>
  <c r="L70" i="34" s="1"/>
  <c r="M70" i="34" s="1"/>
  <c r="J11" i="34"/>
  <c r="AC11" i="34" s="1"/>
  <c r="W36" i="33"/>
  <c r="AA23" i="33"/>
  <c r="U17" i="33"/>
  <c r="AB17" i="33"/>
  <c r="U23" i="21"/>
  <c r="AB23" i="21"/>
  <c r="AC11" i="37"/>
  <c r="W11" i="34"/>
  <c r="F34" i="11"/>
  <c r="C36" i="11" s="1"/>
  <c r="F11" i="12"/>
  <c r="F34" i="68"/>
  <c r="R8" i="1"/>
  <c r="AE7" i="1"/>
  <c r="AE8" i="1"/>
  <c r="H109" i="9"/>
  <c r="D16" i="53" s="1"/>
  <c r="H112" i="9"/>
  <c r="D21" i="53" s="1"/>
  <c r="B39" i="72" s="1"/>
  <c r="H111" i="9"/>
  <c r="D126" i="9" s="1"/>
  <c r="I14" i="74" s="1"/>
  <c r="B8" i="74" s="1"/>
  <c r="AD3" i="71"/>
  <c r="J1" i="73"/>
  <c r="H51" i="43"/>
  <c r="H67" i="43"/>
  <c r="H59" i="43"/>
  <c r="H60" i="43"/>
  <c r="H61" i="43"/>
  <c r="M4" i="43"/>
  <c r="C6" i="43" s="1"/>
  <c r="M5" i="43"/>
  <c r="N12" i="43"/>
  <c r="N11" i="43"/>
  <c r="M10" i="43"/>
  <c r="M2" i="43"/>
  <c r="M7" i="43"/>
  <c r="H54" i="43"/>
  <c r="N9" i="43"/>
  <c r="M8" i="43"/>
  <c r="N10" i="43"/>
  <c r="H48" i="43"/>
  <c r="M6" i="43"/>
  <c r="N7" i="43"/>
  <c r="N4" i="43"/>
  <c r="F70" i="43" s="1"/>
  <c r="N2" i="43"/>
  <c r="H49" i="43"/>
  <c r="N17" i="43"/>
  <c r="L17" i="43"/>
  <c r="O17" i="43"/>
  <c r="M17" i="43"/>
  <c r="E17" i="43"/>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I59" i="34"/>
  <c r="J59" i="34" s="1"/>
  <c r="AO13" i="1"/>
  <c r="B7" i="76"/>
  <c r="F36" i="15"/>
  <c r="E7" i="76"/>
  <c r="M23" i="67"/>
  <c r="M22" i="15"/>
  <c r="F9" i="15"/>
  <c r="D6" i="73"/>
  <c r="F42" i="15"/>
  <c r="F42" i="67"/>
  <c r="D35" i="9"/>
  <c r="M28" i="15"/>
  <c r="F5" i="73"/>
  <c r="B11" i="76"/>
  <c r="M8" i="67"/>
  <c r="F6" i="73"/>
  <c r="B12" i="76"/>
  <c r="F37" i="15"/>
  <c r="F4" i="73"/>
  <c r="AO10" i="1"/>
  <c r="F13" i="15"/>
  <c r="M24" i="15"/>
  <c r="E2" i="68"/>
  <c r="D2" i="33"/>
  <c r="L48" i="15"/>
  <c r="F8" i="67"/>
  <c r="F7" i="15"/>
  <c r="E11" i="76"/>
  <c r="D2" i="37"/>
  <c r="M29" i="67"/>
  <c r="D4" i="73"/>
  <c r="M9" i="67"/>
  <c r="F13" i="67"/>
  <c r="M9" i="15"/>
  <c r="J15" i="67"/>
  <c r="E8" i="76"/>
  <c r="L47" i="67"/>
  <c r="D2" i="36"/>
  <c r="M6" i="67"/>
  <c r="F38" i="15"/>
  <c r="E9" i="76"/>
  <c r="F26" i="15"/>
  <c r="F7" i="73"/>
  <c r="F43" i="15"/>
  <c r="M26" i="15"/>
  <c r="F35" i="15"/>
  <c r="D9" i="69"/>
  <c r="F43" i="67"/>
  <c r="AO11" i="1"/>
  <c r="F7" i="67"/>
  <c r="B13" i="76"/>
  <c r="M29" i="15"/>
  <c r="F9" i="67"/>
  <c r="M24" i="67"/>
  <c r="F16" i="67"/>
  <c r="B9" i="76"/>
  <c r="F26" i="67"/>
  <c r="F40" i="67"/>
  <c r="M21" i="15"/>
  <c r="E12" i="76"/>
  <c r="F6" i="67"/>
  <c r="B10" i="76"/>
  <c r="F40" i="15"/>
  <c r="AO7" i="1"/>
  <c r="D7" i="73"/>
  <c r="L48" i="67"/>
  <c r="B8" i="76"/>
  <c r="M8" i="15"/>
  <c r="J15" i="15"/>
  <c r="M27" i="15"/>
  <c r="M26" i="67"/>
  <c r="D34" i="9"/>
  <c r="E10" i="76"/>
  <c r="AO9" i="1"/>
  <c r="E2" i="69"/>
  <c r="F41" i="15"/>
  <c r="AO12" i="1"/>
  <c r="C76" i="67"/>
  <c r="E13" i="76"/>
  <c r="AO8" i="1"/>
  <c r="F8" i="15"/>
  <c r="L47" i="15"/>
  <c r="M6" i="15"/>
  <c r="M22" i="67"/>
  <c r="D2" i="34"/>
  <c r="F3" i="73"/>
  <c r="F6" i="15"/>
  <c r="M23" i="15"/>
  <c r="F16" i="15"/>
  <c r="M28" i="67"/>
  <c r="D2" i="21"/>
  <c r="F20" i="31"/>
  <c r="C76" i="15"/>
  <c r="C23" i="12" l="1"/>
  <c r="S7" i="43"/>
  <c r="AR12" i="1"/>
  <c r="S5" i="43"/>
  <c r="T12" i="1"/>
  <c r="H101" i="43"/>
  <c r="H105" i="43" s="1"/>
  <c r="S6" i="43"/>
  <c r="AC11" i="43"/>
  <c r="AD11" i="43"/>
  <c r="E101" i="43"/>
  <c r="G101" i="43"/>
  <c r="G105" i="43" s="1"/>
  <c r="H104" i="43"/>
  <c r="S4" i="43"/>
  <c r="Y11" i="43"/>
  <c r="Y13" i="43" s="1"/>
  <c r="AG11" i="43"/>
  <c r="Z11" i="43"/>
  <c r="AH11" i="43"/>
  <c r="S2" i="43"/>
  <c r="M101" i="43"/>
  <c r="M103" i="43" s="1"/>
  <c r="H22" i="43"/>
  <c r="E10" i="6"/>
  <c r="K101" i="43"/>
  <c r="K104" i="43" s="1"/>
  <c r="H5" i="3"/>
  <c r="AR8" i="1"/>
  <c r="J101" i="43"/>
  <c r="J103" i="43" s="1"/>
  <c r="N101" i="43"/>
  <c r="N109" i="43" s="1"/>
  <c r="F22" i="43"/>
  <c r="B115" i="43"/>
  <c r="C115"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H103" i="43"/>
  <c r="M102" i="43"/>
  <c r="J22" i="43"/>
  <c r="S3" i="43"/>
  <c r="C23" i="43"/>
  <c r="T13" i="1"/>
  <c r="E51" i="40"/>
  <c r="AA11" i="43"/>
  <c r="AA13" i="43" s="1"/>
  <c r="AE11" i="43"/>
  <c r="AE13" i="43" s="1"/>
  <c r="AI11" i="43"/>
  <c r="AI13" i="43" s="1"/>
  <c r="Z7" i="43"/>
  <c r="AB11" i="43"/>
  <c r="AB13" i="43" s="1"/>
  <c r="AF11" i="43"/>
  <c r="AF13" i="43" s="1"/>
  <c r="AJ11" i="43"/>
  <c r="AJ13" i="43" s="1"/>
  <c r="G22" i="43"/>
  <c r="I101" i="43"/>
  <c r="I104" i="43" s="1"/>
  <c r="D101" i="43"/>
  <c r="D109" i="43" s="1"/>
  <c r="L101" i="43"/>
  <c r="L109" i="43" s="1"/>
  <c r="N104" i="46"/>
  <c r="C101" i="43"/>
  <c r="E22" i="43"/>
  <c r="F101" i="43"/>
  <c r="E11" i="6"/>
  <c r="E61" i="39" s="1"/>
  <c r="W14" i="21"/>
  <c r="AC14" i="21"/>
  <c r="AA28" i="21"/>
  <c r="S28" i="21"/>
  <c r="U44" i="21"/>
  <c r="AB44" i="21"/>
  <c r="U46" i="21"/>
  <c r="AB46" i="21"/>
  <c r="W13" i="33"/>
  <c r="AC13" i="33"/>
  <c r="U29" i="33"/>
  <c r="AB29" i="33"/>
  <c r="W31" i="33"/>
  <c r="AC31" i="33"/>
  <c r="W45" i="33"/>
  <c r="AC45" i="33"/>
  <c r="E60" i="40"/>
  <c r="E65" i="39"/>
  <c r="AZ563" i="3"/>
  <c r="AZ167" i="3"/>
  <c r="AA34" i="21"/>
  <c r="S34" i="21"/>
  <c r="AA40" i="21"/>
  <c r="S40" i="21"/>
  <c r="B74" i="43"/>
  <c r="C27" i="39"/>
  <c r="AC28" i="35"/>
  <c r="W28" i="35"/>
  <c r="AB34" i="35"/>
  <c r="U34" i="35"/>
  <c r="F12" i="34"/>
  <c r="H12" i="34"/>
  <c r="H12" i="35"/>
  <c r="F12" i="35"/>
  <c r="AC22" i="35"/>
  <c r="W22" i="35"/>
  <c r="AC8" i="36"/>
  <c r="W8" i="36"/>
  <c r="AB9" i="36"/>
  <c r="U9" i="36"/>
  <c r="F36" i="39"/>
  <c r="J36" i="39"/>
  <c r="D124" i="9"/>
  <c r="H14" i="74" s="1"/>
  <c r="B7" i="74" s="1"/>
  <c r="W27" i="33"/>
  <c r="AA10" i="21"/>
  <c r="AB9" i="21"/>
  <c r="AC33" i="21"/>
  <c r="T8" i="1"/>
  <c r="AB15" i="21"/>
  <c r="AC37" i="21"/>
  <c r="D9" i="68"/>
  <c r="C9" i="68" s="1"/>
  <c r="AQ9" i="1"/>
  <c r="AB23" i="39"/>
  <c r="H63" i="43"/>
  <c r="H65" i="43"/>
  <c r="N104" i="43"/>
  <c r="J105" i="43"/>
  <c r="E14" i="6"/>
  <c r="E64" i="39" s="1"/>
  <c r="D120" i="9"/>
  <c r="AA35" i="33"/>
  <c r="AC39" i="34"/>
  <c r="S32" i="37"/>
  <c r="AB20" i="36"/>
  <c r="AA22" i="36"/>
  <c r="S15" i="39"/>
  <c r="U37" i="39"/>
  <c r="AB19" i="40"/>
  <c r="S30" i="40"/>
  <c r="AC36" i="40"/>
  <c r="AC34" i="33"/>
  <c r="E13" i="6"/>
  <c r="S15" i="37"/>
  <c r="AZ391" i="3"/>
  <c r="AZ383" i="3"/>
  <c r="AZ373" i="3"/>
  <c r="AZ322" i="3"/>
  <c r="AZ311" i="3"/>
  <c r="AZ390" i="3"/>
  <c r="AZ389" i="3"/>
  <c r="AZ163" i="3"/>
  <c r="AZ139" i="3"/>
  <c r="AZ393" i="3"/>
  <c r="AB33" i="40"/>
  <c r="AC46" i="21"/>
  <c r="W44" i="21"/>
  <c r="U11" i="33"/>
  <c r="AB37" i="34"/>
  <c r="AB13" i="34"/>
  <c r="W14" i="37"/>
  <c r="U35" i="35"/>
  <c r="AZ504" i="3"/>
  <c r="AZ516" i="3"/>
  <c r="AZ524" i="3"/>
  <c r="AZ528" i="3"/>
  <c r="AZ532" i="3"/>
  <c r="AZ536" i="3"/>
  <c r="AZ544" i="3"/>
  <c r="AZ554" i="3"/>
  <c r="AZ566" i="3"/>
  <c r="AZ574" i="3"/>
  <c r="AZ582" i="3"/>
  <c r="AZ560" i="3"/>
  <c r="AZ584" i="3"/>
  <c r="W44" i="39"/>
  <c r="S44" i="34"/>
  <c r="U13" i="33"/>
  <c r="AB45" i="33"/>
  <c r="AA14" i="34"/>
  <c r="AB46" i="34"/>
  <c r="W11" i="36"/>
  <c r="AA14" i="37"/>
  <c r="AA14" i="33"/>
  <c r="U31" i="34"/>
  <c r="F31" i="33"/>
  <c r="F13" i="33"/>
  <c r="F46" i="21"/>
  <c r="J30" i="21"/>
  <c r="H14" i="21"/>
  <c r="AB17" i="34"/>
  <c r="AB30" i="36"/>
  <c r="W40" i="33"/>
  <c r="F16" i="35"/>
  <c r="J16" i="35"/>
  <c r="AC16" i="35" s="1"/>
  <c r="C21" i="39"/>
  <c r="W9" i="34"/>
  <c r="H36" i="39"/>
  <c r="AA34" i="34"/>
  <c r="S34" i="34"/>
  <c r="H9" i="34"/>
  <c r="F9" i="34"/>
  <c r="J23" i="36"/>
  <c r="W23" i="36" s="1"/>
  <c r="H23" i="36"/>
  <c r="W31" i="36"/>
  <c r="AC31" i="36"/>
  <c r="F31" i="39"/>
  <c r="J31" i="39"/>
  <c r="U41" i="21"/>
  <c r="AB41" i="21"/>
  <c r="AC41" i="33"/>
  <c r="W41" i="33"/>
  <c r="G566" i="3"/>
  <c r="G558" i="3"/>
  <c r="G556" i="3"/>
  <c r="BA3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BA420" i="3"/>
  <c r="G421" i="3"/>
  <c r="G423" i="3"/>
  <c r="BA424" i="3"/>
  <c r="BL424" i="3"/>
  <c r="BA425" i="3"/>
  <c r="AZ425" i="3" s="1"/>
  <c r="BL427" i="3"/>
  <c r="G428" i="3"/>
  <c r="BA429" i="3"/>
  <c r="BL429" i="3"/>
  <c r="AZ429" i="3" s="1"/>
  <c r="BA430" i="3"/>
  <c r="AZ430" i="3" s="1"/>
  <c r="BA432" i="3"/>
  <c r="AZ432" i="3" s="1"/>
  <c r="BA433" i="3"/>
  <c r="AZ433" i="3" s="1"/>
  <c r="BA434" i="3"/>
  <c r="AZ434" i="3" s="1"/>
  <c r="BL434" i="3"/>
  <c r="BA436" i="3"/>
  <c r="AZ436" i="3" s="1"/>
  <c r="BL436" i="3"/>
  <c r="BA438" i="3"/>
  <c r="AZ438" i="3" s="1"/>
  <c r="BL440" i="3"/>
  <c r="G441" i="3"/>
  <c r="G443" i="3"/>
  <c r="BA444" i="3"/>
  <c r="G445" i="3"/>
  <c r="G447" i="3"/>
  <c r="BA448" i="3"/>
  <c r="BL448" i="3"/>
  <c r="BA449" i="3"/>
  <c r="AZ449" i="3" s="1"/>
  <c r="BA450" i="3"/>
  <c r="AZ450" i="3" s="1"/>
  <c r="BL450" i="3"/>
  <c r="BA452" i="3"/>
  <c r="AZ452" i="3" s="1"/>
  <c r="BL452" i="3"/>
  <c r="BA453" i="3"/>
  <c r="AZ453" i="3" s="1"/>
  <c r="BA454" i="3"/>
  <c r="BL454" i="3"/>
  <c r="BA455" i="3"/>
  <c r="AZ455" i="3" s="1"/>
  <c r="BA457" i="3"/>
  <c r="AZ457" i="3" s="1"/>
  <c r="BL457" i="3"/>
  <c r="G460" i="3"/>
  <c r="BA461" i="3"/>
  <c r="BL461" i="3"/>
  <c r="BA463" i="3"/>
  <c r="BL463" i="3"/>
  <c r="AZ463" i="3" s="1"/>
  <c r="BA464" i="3"/>
  <c r="AZ464" i="3" s="1"/>
  <c r="BA465" i="3"/>
  <c r="AZ465" i="3" s="1"/>
  <c r="BL467" i="3"/>
  <c r="G468" i="3"/>
  <c r="BA469" i="3"/>
  <c r="BL469" i="3"/>
  <c r="AZ469" i="3" s="1"/>
  <c r="G470" i="3"/>
  <c r="BL471" i="3"/>
  <c r="G474" i="3"/>
  <c r="BA475" i="3"/>
  <c r="G476" i="3"/>
  <c r="G478" i="3"/>
  <c r="BA479" i="3"/>
  <c r="BL479" i="3"/>
  <c r="AZ479" i="3" s="1"/>
  <c r="BA480" i="3"/>
  <c r="AZ480" i="3" s="1"/>
  <c r="BA481" i="3"/>
  <c r="AZ481" i="3" s="1"/>
  <c r="BL481" i="3"/>
  <c r="BA482" i="3"/>
  <c r="AZ482" i="3" s="1"/>
  <c r="BL484" i="3"/>
  <c r="G485" i="3"/>
  <c r="BL486" i="3"/>
  <c r="BL488" i="3"/>
  <c r="G491" i="3"/>
  <c r="N62" i="71"/>
  <c r="N63" i="71"/>
  <c r="BL312" i="3"/>
  <c r="BL314" i="3"/>
  <c r="AZ314" i="3" s="1"/>
  <c r="G315" i="3"/>
  <c r="BA317" i="3"/>
  <c r="AZ317" i="3" s="1"/>
  <c r="G323" i="3"/>
  <c r="BL324" i="3"/>
  <c r="AZ324" i="3" s="1"/>
  <c r="G327" i="3"/>
  <c r="BL333" i="3"/>
  <c r="BA335" i="3"/>
  <c r="AZ335" i="3" s="1"/>
  <c r="BA339" i="3"/>
  <c r="AZ339" i="3" s="1"/>
  <c r="BA352" i="3"/>
  <c r="AZ352" i="3" s="1"/>
  <c r="BL354" i="3"/>
  <c r="BA358" i="3"/>
  <c r="AZ358" i="3" s="1"/>
  <c r="BL383" i="3"/>
  <c r="BA385" i="3"/>
  <c r="AZ385" i="3" s="1"/>
  <c r="BL385" i="3"/>
  <c r="G392" i="3"/>
  <c r="BL393" i="3"/>
  <c r="BL395" i="3"/>
  <c r="BA397" i="3"/>
  <c r="G208" i="3"/>
  <c r="BL209" i="3"/>
  <c r="G210" i="3"/>
  <c r="BL211" i="3"/>
  <c r="G214" i="3"/>
  <c r="G216" i="3"/>
  <c r="BA217" i="3"/>
  <c r="G218" i="3"/>
  <c r="BL219" i="3"/>
  <c r="G226" i="3"/>
  <c r="BL227" i="3"/>
  <c r="G230" i="3"/>
  <c r="BA231" i="3"/>
  <c r="G232" i="3"/>
  <c r="BA233" i="3"/>
  <c r="G234" i="3"/>
  <c r="BA235" i="3"/>
  <c r="G236" i="3"/>
  <c r="BL237" i="3"/>
  <c r="G238" i="3"/>
  <c r="BA239" i="3"/>
  <c r="AZ239" i="3" s="1"/>
  <c r="BL239" i="3"/>
  <c r="BL241" i="3"/>
  <c r="G242" i="3"/>
  <c r="BA243" i="3"/>
  <c r="G244" i="3"/>
  <c r="BL245" i="3"/>
  <c r="BL247" i="3"/>
  <c r="BL249" i="3"/>
  <c r="BL251" i="3"/>
  <c r="G254" i="3"/>
  <c r="G268" i="3"/>
  <c r="G270" i="3"/>
  <c r="BL271" i="3"/>
  <c r="G274" i="3"/>
  <c r="BL275" i="3"/>
  <c r="G122" i="3"/>
  <c r="G124" i="3"/>
  <c r="BL125" i="3"/>
  <c r="BA129" i="3"/>
  <c r="G130" i="3"/>
  <c r="BL131" i="3"/>
  <c r="AZ131" i="3" s="1"/>
  <c r="BL133" i="3"/>
  <c r="G134" i="3"/>
  <c r="BL135" i="3"/>
  <c r="AZ135" i="3" s="1"/>
  <c r="BA137" i="3"/>
  <c r="BL137" i="3"/>
  <c r="BL139" i="3"/>
  <c r="G140" i="3"/>
  <c r="BA142" i="3"/>
  <c r="BL142" i="3"/>
  <c r="BA144" i="3"/>
  <c r="AZ144" i="3" s="1"/>
  <c r="BA146" i="3"/>
  <c r="G147" i="3"/>
  <c r="BL150" i="3"/>
  <c r="G152" i="3"/>
  <c r="BL153" i="3"/>
  <c r="G156" i="3"/>
  <c r="BA157" i="3"/>
  <c r="G158" i="3"/>
  <c r="BL159" i="3"/>
  <c r="AZ159" i="3" s="1"/>
  <c r="BA161" i="3"/>
  <c r="BL161" i="3"/>
  <c r="BL163" i="3"/>
  <c r="G164" i="3"/>
  <c r="BA165" i="3"/>
  <c r="AZ165" i="3" s="1"/>
  <c r="BA166" i="3"/>
  <c r="AZ166" i="3" s="1"/>
  <c r="BL167" i="3"/>
  <c r="BA169" i="3"/>
  <c r="AZ169" i="3" s="1"/>
  <c r="BA170" i="3"/>
  <c r="AZ170" i="3" s="1"/>
  <c r="BL171" i="3"/>
  <c r="AZ171" i="3" s="1"/>
  <c r="BA174" i="3"/>
  <c r="BL174" i="3"/>
  <c r="BA176" i="3"/>
  <c r="AZ176" i="3" s="1"/>
  <c r="BA178" i="3"/>
  <c r="G179" i="3"/>
  <c r="BL182" i="3"/>
  <c r="BA184" i="3"/>
  <c r="AZ184" i="3" s="1"/>
  <c r="BL186" i="3"/>
  <c r="BA188" i="3"/>
  <c r="AZ188" i="3" s="1"/>
  <c r="G191" i="3"/>
  <c r="G61" i="3"/>
  <c r="G65" i="3"/>
  <c r="BL66" i="3"/>
  <c r="BA68" i="3"/>
  <c r="G69" i="3"/>
  <c r="BL70" i="3"/>
  <c r="BL72" i="3"/>
  <c r="G75" i="3"/>
  <c r="G91" i="3"/>
  <c r="BA92" i="3"/>
  <c r="AZ92" i="3" s="1"/>
  <c r="BL92" i="3"/>
  <c r="BA94" i="3"/>
  <c r="AZ94" i="3" s="1"/>
  <c r="BL94" i="3"/>
  <c r="BL95" i="3"/>
  <c r="G96" i="3"/>
  <c r="BA97" i="3"/>
  <c r="G98" i="3"/>
  <c r="BA99" i="3"/>
  <c r="AZ99" i="3" s="1"/>
  <c r="BL99" i="3"/>
  <c r="BA100" i="3"/>
  <c r="AZ100" i="3" s="1"/>
  <c r="BA101" i="3"/>
  <c r="AZ101" i="3" s="1"/>
  <c r="BA102" i="3"/>
  <c r="AZ102" i="3" s="1"/>
  <c r="BL104" i="3"/>
  <c r="G105" i="3"/>
  <c r="BA106" i="3"/>
  <c r="BL106" i="3"/>
  <c r="BL108" i="3"/>
  <c r="G109" i="3"/>
  <c r="BL110" i="3"/>
  <c r="G111" i="3"/>
  <c r="BA112" i="3"/>
  <c r="BL112" i="3"/>
  <c r="AZ112" i="3" s="1"/>
  <c r="K13" i="1"/>
  <c r="M13" i="1" s="1"/>
  <c r="O13" i="1" s="1"/>
  <c r="P13" i="1" s="1"/>
  <c r="AA21" i="33"/>
  <c r="AB21" i="37"/>
  <c r="D72" i="71"/>
  <c r="AB23" i="71"/>
  <c r="AB22" i="71"/>
  <c r="U65" i="71"/>
  <c r="X33" i="71"/>
  <c r="Y30" i="71"/>
  <c r="Z30" i="71" s="1"/>
  <c r="N65" i="71"/>
  <c r="B35" i="71"/>
  <c r="B36" i="71" s="1"/>
  <c r="B37" i="71" s="1"/>
  <c r="S37" i="71" s="1"/>
  <c r="E27" i="71"/>
  <c r="E28" i="71" s="1"/>
  <c r="E29" i="71" s="1"/>
  <c r="U29" i="71" s="1"/>
  <c r="AB27" i="71"/>
  <c r="Y28" i="71"/>
  <c r="Z28" i="71" s="1"/>
  <c r="AB28" i="71"/>
  <c r="Y29" i="71"/>
  <c r="Z29" i="71" s="1"/>
  <c r="F32" i="71"/>
  <c r="F33" i="71" s="1"/>
  <c r="V33" i="71" s="1"/>
  <c r="Y31" i="71"/>
  <c r="Z31" i="71" s="1"/>
  <c r="X30" i="71"/>
  <c r="AA32" i="71"/>
  <c r="AA33" i="71"/>
  <c r="U12" i="35"/>
  <c r="AB12" i="35"/>
  <c r="AC23" i="36"/>
  <c r="S32" i="36"/>
  <c r="AA32" i="36"/>
  <c r="W27" i="21"/>
  <c r="AC27" i="21"/>
  <c r="U34" i="36"/>
  <c r="AB34" i="36"/>
  <c r="U33" i="36"/>
  <c r="AB33" i="36"/>
  <c r="AC23" i="21"/>
  <c r="D19" i="53"/>
  <c r="AB19" i="33"/>
  <c r="U36" i="33"/>
  <c r="U32" i="39"/>
  <c r="AC15" i="21"/>
  <c r="AC11" i="39"/>
  <c r="E12" i="6"/>
  <c r="E62" i="39" s="1"/>
  <c r="G29" i="6"/>
  <c r="E29" i="6" s="1"/>
  <c r="K15" i="1" s="1"/>
  <c r="AZ361" i="3"/>
  <c r="AZ310" i="3"/>
  <c r="AZ351" i="3"/>
  <c r="AZ313" i="3"/>
  <c r="AZ312" i="3"/>
  <c r="AZ378" i="3"/>
  <c r="AZ360" i="3"/>
  <c r="U43" i="33"/>
  <c r="AZ495" i="3"/>
  <c r="AZ499" i="3"/>
  <c r="AZ553" i="3"/>
  <c r="AZ512" i="3"/>
  <c r="AB26" i="33"/>
  <c r="AB11" i="35"/>
  <c r="AA39" i="37"/>
  <c r="W39" i="33"/>
  <c r="F26" i="33"/>
  <c r="U34" i="34"/>
  <c r="J33" i="36"/>
  <c r="AA31" i="36"/>
  <c r="W28" i="36"/>
  <c r="W31" i="37"/>
  <c r="W25" i="37"/>
  <c r="J12" i="34"/>
  <c r="F23" i="36"/>
  <c r="G574" i="3"/>
  <c r="G570" i="3"/>
  <c r="G551" i="3"/>
  <c r="BL548" i="3"/>
  <c r="AZ548" i="3" s="1"/>
  <c r="BL16" i="3"/>
  <c r="AZ16" i="3" s="1"/>
  <c r="BL399" i="3"/>
  <c r="G400" i="3"/>
  <c r="G402" i="3"/>
  <c r="G406" i="3"/>
  <c r="G408" i="3"/>
  <c r="G411" i="3"/>
  <c r="BL412" i="3"/>
  <c r="G413" i="3"/>
  <c r="G416" i="3"/>
  <c r="BL417" i="3"/>
  <c r="G418" i="3"/>
  <c r="BA419" i="3"/>
  <c r="AZ419" i="3" s="1"/>
  <c r="BL421" i="3"/>
  <c r="G422" i="3"/>
  <c r="BL423" i="3"/>
  <c r="G424" i="3"/>
  <c r="G427" i="3"/>
  <c r="BL428" i="3"/>
  <c r="G429" i="3"/>
  <c r="G432" i="3"/>
  <c r="BL435" i="3"/>
  <c r="AZ435" i="3" s="1"/>
  <c r="G436" i="3"/>
  <c r="G438" i="3"/>
  <c r="G440" i="3"/>
  <c r="BL441" i="3"/>
  <c r="G442" i="3"/>
  <c r="BA443" i="3"/>
  <c r="AZ443" i="3" s="1"/>
  <c r="BL445" i="3"/>
  <c r="G446" i="3"/>
  <c r="BL447" i="3"/>
  <c r="G448" i="3"/>
  <c r="BL451" i="3"/>
  <c r="G452" i="3"/>
  <c r="G457" i="3"/>
  <c r="BL458" i="3"/>
  <c r="AZ458" i="3" s="1"/>
  <c r="G459" i="3"/>
  <c r="BL460" i="3"/>
  <c r="G461" i="3"/>
  <c r="BL462" i="3"/>
  <c r="G463" i="3"/>
  <c r="G467" i="3"/>
  <c r="BA468" i="3"/>
  <c r="BL468" i="3"/>
  <c r="BA470" i="3"/>
  <c r="BL470" i="3"/>
  <c r="BA471" i="3"/>
  <c r="BA473" i="3"/>
  <c r="AZ473" i="3" s="1"/>
  <c r="BL473" i="3"/>
  <c r="BA474" i="3"/>
  <c r="AZ474" i="3" s="1"/>
  <c r="BL476" i="3"/>
  <c r="G477" i="3"/>
  <c r="BL478" i="3"/>
  <c r="G479" i="3"/>
  <c r="G484" i="3"/>
  <c r="BA485" i="3"/>
  <c r="BL485" i="3"/>
  <c r="BA486" i="3"/>
  <c r="AZ486" i="3" s="1"/>
  <c r="BA487" i="3"/>
  <c r="BL487" i="3"/>
  <c r="BA488" i="3"/>
  <c r="BA490" i="3"/>
  <c r="AZ490" i="3" s="1"/>
  <c r="BL490" i="3"/>
  <c r="BL492" i="3"/>
  <c r="G307" i="3"/>
  <c r="BL308" i="3"/>
  <c r="AZ308" i="3" s="1"/>
  <c r="G311" i="3"/>
  <c r="D59" i="71"/>
  <c r="C60" i="71"/>
  <c r="F30" i="6"/>
  <c r="AZ558" i="3"/>
  <c r="AZ540" i="3"/>
  <c r="F7" i="1"/>
  <c r="G7" i="1" s="1"/>
  <c r="O62" i="71"/>
  <c r="C67" i="71"/>
  <c r="D67" i="71" s="1"/>
  <c r="C83" i="71"/>
  <c r="D83" i="71" s="1"/>
  <c r="D64" i="71"/>
  <c r="D25" i="71"/>
  <c r="U25" i="71" s="1"/>
  <c r="AB24" i="71"/>
  <c r="T25" i="71"/>
  <c r="AA3" i="71"/>
  <c r="AB30" i="71"/>
  <c r="X28" i="71"/>
  <c r="E33" i="71"/>
  <c r="U33" i="71" s="1"/>
  <c r="Y26" i="71"/>
  <c r="Z26" i="71" s="1"/>
  <c r="F28" i="71"/>
  <c r="F29" i="71" s="1"/>
  <c r="V29" i="71" s="1"/>
  <c r="Y27" i="71"/>
  <c r="Z27" i="71" s="1"/>
  <c r="X26" i="71"/>
  <c r="AB32" i="71"/>
  <c r="P61" i="15"/>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5" i="3"/>
  <c r="BA396" i="3"/>
  <c r="AZ396" i="3" s="1"/>
  <c r="BL208" i="3"/>
  <c r="G209" i="3"/>
  <c r="BA210" i="3"/>
  <c r="BL210" i="3"/>
  <c r="BA211" i="3"/>
  <c r="AZ211" i="3" s="1"/>
  <c r="BA213" i="3"/>
  <c r="BL213" i="3"/>
  <c r="BA215" i="3"/>
  <c r="BL215" i="3"/>
  <c r="BA216" i="3"/>
  <c r="AZ216" i="3" s="1"/>
  <c r="BA218" i="3"/>
  <c r="BL218" i="3"/>
  <c r="BA219" i="3"/>
  <c r="BL221" i="3"/>
  <c r="G222" i="3"/>
  <c r="BL223" i="3"/>
  <c r="G224" i="3"/>
  <c r="BA225" i="3"/>
  <c r="AZ225" i="3" s="1"/>
  <c r="BL225" i="3"/>
  <c r="BA226" i="3"/>
  <c r="AZ226" i="3" s="1"/>
  <c r="BA227" i="3"/>
  <c r="BA229" i="3"/>
  <c r="BL229" i="3"/>
  <c r="BA230" i="3"/>
  <c r="AZ230" i="3" s="1"/>
  <c r="BA232" i="3"/>
  <c r="BL232" i="3"/>
  <c r="BA234" i="3"/>
  <c r="BL234" i="3"/>
  <c r="BL236" i="3"/>
  <c r="G237" i="3"/>
  <c r="BL238" i="3"/>
  <c r="G239" i="3"/>
  <c r="G241" i="3"/>
  <c r="BA242" i="3"/>
  <c r="BL242" i="3"/>
  <c r="BA244" i="3"/>
  <c r="AZ244" i="3" s="1"/>
  <c r="BA245"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AZ267" i="3" s="1"/>
  <c r="BA269" i="3"/>
  <c r="BL269" i="3"/>
  <c r="BA270" i="3"/>
  <c r="AZ270" i="3" s="1"/>
  <c r="BA271" i="3"/>
  <c r="AZ271" i="3" s="1"/>
  <c r="BA273" i="3"/>
  <c r="BL273" i="3"/>
  <c r="BA274" i="3"/>
  <c r="AZ274" i="3" s="1"/>
  <c r="BA275" i="3"/>
  <c r="AZ275" i="3" s="1"/>
  <c r="BL277" i="3"/>
  <c r="G278" i="3"/>
  <c r="G280" i="3"/>
  <c r="G282" i="3"/>
  <c r="BL283" i="3"/>
  <c r="G284" i="3"/>
  <c r="G290" i="3"/>
  <c r="BL291" i="3"/>
  <c r="G292" i="3"/>
  <c r="BL293" i="3"/>
  <c r="G294" i="3"/>
  <c r="G296" i="3"/>
  <c r="G298" i="3"/>
  <c r="BL299" i="3"/>
  <c r="G300" i="3"/>
  <c r="G114" i="3"/>
  <c r="BL117" i="3"/>
  <c r="G118" i="3"/>
  <c r="BA121" i="3"/>
  <c r="BL121" i="3"/>
  <c r="BA122" i="3"/>
  <c r="AZ122" i="3" s="1"/>
  <c r="BL123" i="3"/>
  <c r="AZ123" i="3" s="1"/>
  <c r="BA125" i="3"/>
  <c r="BL127" i="3"/>
  <c r="AZ127" i="3" s="1"/>
  <c r="G128" i="3"/>
  <c r="BA130" i="3"/>
  <c r="BL130" i="3"/>
  <c r="BA132" i="3"/>
  <c r="AZ132" i="3" s="1"/>
  <c r="BA134" i="3"/>
  <c r="BL134" i="3"/>
  <c r="BA136" i="3"/>
  <c r="AZ136" i="3" s="1"/>
  <c r="G139" i="3"/>
  <c r="G142" i="3"/>
  <c r="BA145" i="3"/>
  <c r="BL145" i="3"/>
  <c r="BL147" i="3"/>
  <c r="AZ147" i="3" s="1"/>
  <c r="G148" i="3"/>
  <c r="BA149" i="3"/>
  <c r="AZ149" i="3" s="1"/>
  <c r="BA150" i="3"/>
  <c r="BL151" i="3"/>
  <c r="AZ151" i="3" s="1"/>
  <c r="BA153" i="3"/>
  <c r="BA154" i="3"/>
  <c r="AZ154" i="3" s="1"/>
  <c r="BL155" i="3"/>
  <c r="AZ155" i="3" s="1"/>
  <c r="BA158" i="3"/>
  <c r="BL158" i="3"/>
  <c r="BA160" i="3"/>
  <c r="AZ160" i="3" s="1"/>
  <c r="G163" i="3"/>
  <c r="G174" i="3"/>
  <c r="BA177" i="3"/>
  <c r="BL177" i="3"/>
  <c r="BL179" i="3"/>
  <c r="AZ179" i="3" s="1"/>
  <c r="G180" i="3"/>
  <c r="BA181" i="3"/>
  <c r="AZ181" i="3" s="1"/>
  <c r="BA182" i="3"/>
  <c r="AZ182" i="3" s="1"/>
  <c r="BL183" i="3"/>
  <c r="AZ183" i="3" s="1"/>
  <c r="BA185" i="3"/>
  <c r="AZ185" i="3" s="1"/>
  <c r="BA186" i="3"/>
  <c r="BL187" i="3"/>
  <c r="AZ187" i="3" s="1"/>
  <c r="BA190" i="3"/>
  <c r="BL190" i="3"/>
  <c r="BA192" i="3"/>
  <c r="AZ192" i="3" s="1"/>
  <c r="G195" i="3"/>
  <c r="G206" i="3"/>
  <c r="G19" i="3"/>
  <c r="G21" i="3"/>
  <c r="G24" i="3"/>
  <c r="G28" i="3"/>
  <c r="G30" i="3"/>
  <c r="BL31" i="3"/>
  <c r="G32" i="3"/>
  <c r="BL33" i="3"/>
  <c r="G34" i="3"/>
  <c r="G36" i="3"/>
  <c r="BL37" i="3"/>
  <c r="G38" i="3"/>
  <c r="G40" i="3"/>
  <c r="BL41" i="3"/>
  <c r="G42" i="3"/>
  <c r="BL43" i="3"/>
  <c r="G44" i="3"/>
  <c r="G46" i="3"/>
  <c r="BL47" i="3"/>
  <c r="G48" i="3"/>
  <c r="G53" i="3"/>
  <c r="G57" i="3"/>
  <c r="BL58" i="3"/>
  <c r="G59" i="3"/>
  <c r="BA60" i="3"/>
  <c r="BL60" i="3"/>
  <c r="BL62" i="3"/>
  <c r="G63" i="3"/>
  <c r="BA64" i="3"/>
  <c r="BL64" i="3"/>
  <c r="BA65" i="3"/>
  <c r="AZ65" i="3" s="1"/>
  <c r="BA66" i="3"/>
  <c r="AZ66" i="3" s="1"/>
  <c r="BA67" i="3"/>
  <c r="AZ67" i="3" s="1"/>
  <c r="BA69" i="3"/>
  <c r="BL69" i="3"/>
  <c r="BA70" i="3"/>
  <c r="BA71" i="3"/>
  <c r="AZ71" i="3" s="1"/>
  <c r="BA72" i="3"/>
  <c r="AZ72" i="3" s="1"/>
  <c r="BA74" i="3"/>
  <c r="BL74" i="3"/>
  <c r="G77" i="3"/>
  <c r="G82" i="3"/>
  <c r="G84" i="3"/>
  <c r="G86" i="3"/>
  <c r="BL88" i="3"/>
  <c r="G89" i="3"/>
  <c r="BA90" i="3"/>
  <c r="BL90" i="3"/>
  <c r="BL91" i="3"/>
  <c r="G92" i="3"/>
  <c r="G94" i="3"/>
  <c r="BA96" i="3"/>
  <c r="BL96" i="3"/>
  <c r="BL98" i="3"/>
  <c r="G99" i="3"/>
  <c r="G104" i="3"/>
  <c r="BL105" i="3"/>
  <c r="G106" i="3"/>
  <c r="G108" i="3"/>
  <c r="BL109" i="3"/>
  <c r="G110" i="3"/>
  <c r="BL111" i="3"/>
  <c r="G112" i="3"/>
  <c r="F3" i="35"/>
  <c r="E59" i="43"/>
  <c r="B57" i="43" s="1"/>
  <c r="W21" i="33"/>
  <c r="U21" i="34"/>
  <c r="B55" i="43"/>
  <c r="H106" i="43"/>
  <c r="M105" i="43"/>
  <c r="E107" i="43"/>
  <c r="S41" i="34"/>
  <c r="AA41" i="34"/>
  <c r="S12" i="21"/>
  <c r="AA12" i="21"/>
  <c r="S12" i="34"/>
  <c r="AA12" i="34"/>
  <c r="AC31" i="40"/>
  <c r="W31" i="40"/>
  <c r="F87" i="35"/>
  <c r="G87" i="35" s="1"/>
  <c r="H87" i="35" s="1"/>
  <c r="I87" i="35" s="1"/>
  <c r="J87" i="35" s="1"/>
  <c r="K87" i="35" s="1"/>
  <c r="L87" i="35" s="1"/>
  <c r="M87" i="35" s="1"/>
  <c r="H110" i="9"/>
  <c r="D18" i="53" s="1"/>
  <c r="B35" i="72" s="1"/>
  <c r="AA17" i="33"/>
  <c r="W25" i="33"/>
  <c r="W19" i="37"/>
  <c r="C7" i="43"/>
  <c r="S27" i="36"/>
  <c r="W39" i="39"/>
  <c r="AB27" i="40"/>
  <c r="D117" i="43"/>
  <c r="E117" i="43" s="1"/>
  <c r="F117" i="43" s="1"/>
  <c r="G117" i="43" s="1"/>
  <c r="H117" i="43" s="1"/>
  <c r="AA39" i="34"/>
  <c r="H87" i="43"/>
  <c r="AZ379" i="3"/>
  <c r="AZ345" i="3"/>
  <c r="AZ318" i="3"/>
  <c r="AZ372" i="3"/>
  <c r="AZ337" i="3"/>
  <c r="AZ320" i="3"/>
  <c r="AZ305" i="3"/>
  <c r="AZ362" i="3"/>
  <c r="AZ559" i="3"/>
  <c r="AZ581" i="3"/>
  <c r="AZ518" i="3"/>
  <c r="S11" i="36"/>
  <c r="H12" i="21"/>
  <c r="J12" i="21"/>
  <c r="BL585" i="3"/>
  <c r="J36" i="35"/>
  <c r="F44" i="39"/>
  <c r="G578" i="3"/>
  <c r="G562" i="3"/>
  <c r="G526" i="3"/>
  <c r="A15" i="62"/>
  <c r="B61" i="72" s="1"/>
  <c r="G398" i="3"/>
  <c r="BL398" i="3"/>
  <c r="BA399" i="3"/>
  <c r="AZ399" i="3" s="1"/>
  <c r="BL401" i="3"/>
  <c r="AZ401" i="3" s="1"/>
  <c r="G403" i="3"/>
  <c r="G405" i="3"/>
  <c r="BL405" i="3"/>
  <c r="AZ405" i="3" s="1"/>
  <c r="G407" i="3"/>
  <c r="BL407" i="3"/>
  <c r="G410" i="3"/>
  <c r="BL410" i="3"/>
  <c r="AZ410" i="3" s="1"/>
  <c r="BA411" i="3"/>
  <c r="AZ411" i="3" s="1"/>
  <c r="BA412" i="3"/>
  <c r="AZ412" i="3" s="1"/>
  <c r="G415" i="3"/>
  <c r="BL415" i="3"/>
  <c r="BA416" i="3"/>
  <c r="BA417" i="3"/>
  <c r="AZ417" i="3" s="1"/>
  <c r="BA418" i="3"/>
  <c r="BL418" i="3"/>
  <c r="G420" i="3"/>
  <c r="BL420" i="3"/>
  <c r="AZ420" i="3" s="1"/>
  <c r="BA421" i="3"/>
  <c r="BA422" i="3"/>
  <c r="AZ422" i="3" s="1"/>
  <c r="BL422" i="3"/>
  <c r="BA423" i="3"/>
  <c r="AZ423" i="3" s="1"/>
  <c r="G426" i="3"/>
  <c r="BL426" i="3"/>
  <c r="BA427" i="3"/>
  <c r="AZ427" i="3" s="1"/>
  <c r="BA428" i="3"/>
  <c r="AZ428" i="3" s="1"/>
  <c r="G431" i="3"/>
  <c r="BL431" i="3"/>
  <c r="AZ431" i="3" s="1"/>
  <c r="AZ451" i="3"/>
  <c r="AZ462" i="3"/>
  <c r="AZ397" i="3"/>
  <c r="AZ552" i="3"/>
  <c r="AZ538" i="3"/>
  <c r="AZ585" i="3"/>
  <c r="BL586" i="3"/>
  <c r="AZ586" i="3" s="1"/>
  <c r="BA550" i="3"/>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G465" i="3"/>
  <c r="G466" i="3"/>
  <c r="BL466" i="3"/>
  <c r="AZ466" i="3" s="1"/>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BA222" i="3"/>
  <c r="AZ222" i="3" s="1"/>
  <c r="BA223" i="3"/>
  <c r="BA224" i="3"/>
  <c r="AZ224" i="3" s="1"/>
  <c r="G227" i="3"/>
  <c r="G228" i="3"/>
  <c r="BL228" i="3"/>
  <c r="AZ228" i="3" s="1"/>
  <c r="G231" i="3"/>
  <c r="BL231" i="3"/>
  <c r="BL233" i="3"/>
  <c r="AZ233" i="3" s="1"/>
  <c r="BL235" i="3"/>
  <c r="BA236" i="3"/>
  <c r="AZ236" i="3" s="1"/>
  <c r="BA237" i="3"/>
  <c r="BA238" i="3"/>
  <c r="AZ238" i="3" s="1"/>
  <c r="BL240" i="3"/>
  <c r="AZ240" i="3" s="1"/>
  <c r="BA241" i="3"/>
  <c r="AZ241" i="3" s="1"/>
  <c r="BL243" i="3"/>
  <c r="G245" i="3"/>
  <c r="G246" i="3"/>
  <c r="BL246" i="3"/>
  <c r="G248" i="3"/>
  <c r="G249" i="3"/>
  <c r="G250" i="3"/>
  <c r="G251" i="3"/>
  <c r="G252" i="3"/>
  <c r="BL252" i="3"/>
  <c r="AZ252" i="3" s="1"/>
  <c r="BL254" i="3"/>
  <c r="AZ254" i="3" s="1"/>
  <c r="BA255" i="3"/>
  <c r="AZ255" i="3" s="1"/>
  <c r="BA256" i="3"/>
  <c r="AZ256" i="3" s="1"/>
  <c r="BA257" i="3"/>
  <c r="AZ257" i="3" s="1"/>
  <c r="BL259" i="3"/>
  <c r="AZ259" i="3" s="1"/>
  <c r="BA260" i="3"/>
  <c r="AZ260" i="3" s="1"/>
  <c r="BA261" i="3"/>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AZ289" i="3" s="1"/>
  <c r="BA290" i="3"/>
  <c r="AZ290" i="3" s="1"/>
  <c r="BA291" i="3"/>
  <c r="AZ291" i="3" s="1"/>
  <c r="BA293" i="3"/>
  <c r="BL295" i="3"/>
  <c r="AZ295" i="3" s="1"/>
  <c r="BL297" i="3"/>
  <c r="AZ297" i="3" s="1"/>
  <c r="BA298" i="3"/>
  <c r="AZ298" i="3" s="1"/>
  <c r="BA299" i="3"/>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BL39" i="3"/>
  <c r="AZ39" i="3" s="1"/>
  <c r="BA40" i="3"/>
  <c r="AZ40" i="3" s="1"/>
  <c r="BA41" i="3"/>
  <c r="AZ41" i="3" s="1"/>
  <c r="BA42" i="3"/>
  <c r="AZ42" i="3" s="1"/>
  <c r="BA43" i="3"/>
  <c r="AZ43" i="3" s="1"/>
  <c r="BL45" i="3"/>
  <c r="AZ45" i="3" s="1"/>
  <c r="BA46" i="3"/>
  <c r="AZ46" i="3" s="1"/>
  <c r="BA47" i="3"/>
  <c r="G50" i="3"/>
  <c r="G51" i="3"/>
  <c r="G52" i="3"/>
  <c r="BL52" i="3"/>
  <c r="G55" i="3"/>
  <c r="G56" i="3"/>
  <c r="BL56" i="3"/>
  <c r="AZ56" i="3" s="1"/>
  <c r="BA57" i="3"/>
  <c r="AZ57" i="3" s="1"/>
  <c r="BA58" i="3"/>
  <c r="AZ58" i="3" s="1"/>
  <c r="BA59" i="3"/>
  <c r="AZ59" i="3" s="1"/>
  <c r="BL61" i="3"/>
  <c r="AZ61" i="3" s="1"/>
  <c r="C29" i="39"/>
  <c r="B66" i="43"/>
  <c r="X21" i="71"/>
  <c r="M19" i="43"/>
  <c r="BA62" i="3"/>
  <c r="BA63" i="3"/>
  <c r="AZ63" i="3" s="1"/>
  <c r="G66" i="3"/>
  <c r="G67" i="3"/>
  <c r="G68" i="3"/>
  <c r="BL68" i="3"/>
  <c r="G71" i="3"/>
  <c r="G72" i="3"/>
  <c r="G73" i="3"/>
  <c r="BL73" i="3"/>
  <c r="AZ73" i="3" s="1"/>
  <c r="BL75" i="3"/>
  <c r="AZ75" i="3" s="1"/>
  <c r="BA76" i="3"/>
  <c r="BL76" i="3"/>
  <c r="G79" i="3"/>
  <c r="G80" i="3"/>
  <c r="G81" i="3"/>
  <c r="BL81" i="3"/>
  <c r="AZ81" i="3" s="1"/>
  <c r="BL83" i="3"/>
  <c r="AZ83" i="3" s="1"/>
  <c r="BL85" i="3"/>
  <c r="AZ85" i="3" s="1"/>
  <c r="BA87" i="3"/>
  <c r="AZ87" i="3" s="1"/>
  <c r="BA88" i="3"/>
  <c r="BA89" i="3"/>
  <c r="AZ89" i="3" s="1"/>
  <c r="BA91" i="3"/>
  <c r="BL93" i="3"/>
  <c r="AZ93" i="3" s="1"/>
  <c r="BA95" i="3"/>
  <c r="BL97" i="3"/>
  <c r="AZ97" i="3" s="1"/>
  <c r="BA98" i="3"/>
  <c r="AZ98" i="3" s="1"/>
  <c r="G101" i="3"/>
  <c r="G102" i="3"/>
  <c r="G103" i="3"/>
  <c r="BL103" i="3"/>
  <c r="AZ103" i="3" s="1"/>
  <c r="BA104" i="3"/>
  <c r="AZ104" i="3" s="1"/>
  <c r="BA105" i="3"/>
  <c r="BL107" i="3"/>
  <c r="AZ107" i="3" s="1"/>
  <c r="BA108" i="3"/>
  <c r="AZ108" i="3" s="1"/>
  <c r="BA109" i="3"/>
  <c r="AZ109" i="3" s="1"/>
  <c r="BA110" i="3"/>
  <c r="AZ110" i="3" s="1"/>
  <c r="BA111" i="3"/>
  <c r="AZ111" i="3" s="1"/>
  <c r="K100" i="43"/>
  <c r="C51" i="10"/>
  <c r="A13" i="51" s="1"/>
  <c r="B11" i="72" s="1"/>
  <c r="A2" i="78"/>
  <c r="A118" i="78"/>
  <c r="W21" i="37"/>
  <c r="AB21" i="33"/>
  <c r="D29" i="71"/>
  <c r="O63" i="71"/>
  <c r="P64" i="71"/>
  <c r="AA22" i="71"/>
  <c r="D31" i="71"/>
  <c r="X24" i="71"/>
  <c r="X27" i="71"/>
  <c r="AA27" i="71"/>
  <c r="AA30" i="71"/>
  <c r="AI10" i="43"/>
  <c r="M56" i="78"/>
  <c r="N56" i="78"/>
  <c r="K56" i="78"/>
  <c r="J56" i="78"/>
  <c r="J57" i="78" s="1"/>
  <c r="J59" i="78" s="1"/>
  <c r="J61" i="78" s="1"/>
  <c r="V21" i="71"/>
  <c r="Y21" i="71"/>
  <c r="Z21" i="71" s="1"/>
  <c r="F70" i="67"/>
  <c r="F66" i="67"/>
  <c r="F65" i="67"/>
  <c r="F64" i="67"/>
  <c r="S14" i="35"/>
  <c r="P74" i="67"/>
  <c r="F29" i="35"/>
  <c r="S29" i="35" s="1"/>
  <c r="W18" i="35"/>
  <c r="AB18" i="35"/>
  <c r="S18" i="35"/>
  <c r="W16" i="35"/>
  <c r="AC14" i="35"/>
  <c r="S26" i="35"/>
  <c r="AA26" i="35"/>
  <c r="J26" i="35"/>
  <c r="C9" i="69"/>
  <c r="H86" i="43"/>
  <c r="H73" i="43"/>
  <c r="G73" i="43" s="1"/>
  <c r="H71" i="43"/>
  <c r="G71" i="43" s="1"/>
  <c r="H72" i="43"/>
  <c r="G72" i="43" s="1"/>
  <c r="H76" i="43"/>
  <c r="G76" i="43" s="1"/>
  <c r="F32" i="67"/>
  <c r="F60" i="67" s="1"/>
  <c r="F54" i="9"/>
  <c r="F28" i="15"/>
  <c r="C28" i="15" s="1"/>
  <c r="F28" i="67"/>
  <c r="C28" i="67" s="1"/>
  <c r="F32" i="15"/>
  <c r="F60" i="15" s="1"/>
  <c r="F52" i="9"/>
  <c r="F30" i="68"/>
  <c r="F48" i="68" s="1"/>
  <c r="C77" i="9"/>
  <c r="C74" i="9" s="1"/>
  <c r="C13" i="12"/>
  <c r="D68" i="9"/>
  <c r="M18" i="15"/>
  <c r="F30" i="69"/>
  <c r="C30" i="69" s="1"/>
  <c r="M18" i="67"/>
  <c r="F31" i="12"/>
  <c r="C31" i="12" s="1"/>
  <c r="F30" i="11"/>
  <c r="C48" i="11" s="1"/>
  <c r="F48" i="9"/>
  <c r="O52" i="9" s="1"/>
  <c r="F48" i="78"/>
  <c r="O52" i="78" s="1"/>
  <c r="D68" i="78"/>
  <c r="F54" i="78"/>
  <c r="F53" i="78"/>
  <c r="F52" i="78"/>
  <c r="D78" i="78"/>
  <c r="D93" i="78"/>
  <c r="C40" i="69"/>
  <c r="C21" i="69"/>
  <c r="D22" i="67"/>
  <c r="L106" i="43"/>
  <c r="I105" i="43"/>
  <c r="L102" i="43"/>
  <c r="D107" i="43"/>
  <c r="I103" i="43"/>
  <c r="T9" i="1"/>
  <c r="AR11" i="1"/>
  <c r="T11" i="1"/>
  <c r="AQ13" i="1"/>
  <c r="AR10" i="1"/>
  <c r="L27" i="6"/>
  <c r="G14" i="3"/>
  <c r="P6" i="1"/>
  <c r="O11" i="1"/>
  <c r="P11" i="1" s="1"/>
  <c r="E28" i="6"/>
  <c r="AZ13" i="3"/>
  <c r="F31" i="6"/>
  <c r="H74" i="43"/>
  <c r="G74" i="43" s="1"/>
  <c r="H70" i="43"/>
  <c r="G70" i="43" s="1"/>
  <c r="H77" i="43"/>
  <c r="G77" i="43" s="1"/>
  <c r="H78" i="43"/>
  <c r="G78" i="43" s="1"/>
  <c r="H88" i="43"/>
  <c r="H81" i="43"/>
  <c r="H82" i="43"/>
  <c r="H75" i="43"/>
  <c r="G75" i="43" s="1"/>
  <c r="G17" i="43"/>
  <c r="C16" i="43" s="1"/>
  <c r="C5" i="43" s="1"/>
  <c r="H50" i="43"/>
  <c r="C70" i="39"/>
  <c r="D68" i="39"/>
  <c r="B34" i="72"/>
  <c r="D17" i="53"/>
  <c r="B36" i="72" s="1"/>
  <c r="D125" i="9"/>
  <c r="D11" i="52" s="1"/>
  <c r="D10" i="52"/>
  <c r="E16" i="71"/>
  <c r="E15" i="71" s="1"/>
  <c r="E14" i="71" s="1"/>
  <c r="E13" i="71" s="1"/>
  <c r="V17" i="71"/>
  <c r="C48" i="69"/>
  <c r="D12" i="52"/>
  <c r="D127" i="9"/>
  <c r="D13" i="52" s="1"/>
  <c r="U45" i="21"/>
  <c r="AB45" i="21"/>
  <c r="M7" i="1"/>
  <c r="O12" i="1"/>
  <c r="P12" i="1" s="1"/>
  <c r="U44" i="34"/>
  <c r="AB27" i="36"/>
  <c r="U12" i="39"/>
  <c r="AA27" i="40"/>
  <c r="AA34" i="33"/>
  <c r="AC31" i="34"/>
  <c r="W31" i="34"/>
  <c r="U30" i="21"/>
  <c r="AB30" i="21"/>
  <c r="AZ557" i="3"/>
  <c r="AZ517" i="3"/>
  <c r="AZ567" i="3"/>
  <c r="AZ571" i="3"/>
  <c r="AZ575" i="3"/>
  <c r="AZ579" i="3"/>
  <c r="AZ568" i="3"/>
  <c r="AZ576" i="3"/>
  <c r="S13" i="35"/>
  <c r="AA13" i="35"/>
  <c r="S41" i="33"/>
  <c r="J12" i="33"/>
  <c r="H12" i="33"/>
  <c r="J39" i="40"/>
  <c r="H39" i="40"/>
  <c r="BA551" i="3"/>
  <c r="J12" i="36"/>
  <c r="H12" i="36"/>
  <c r="J24" i="36"/>
  <c r="H24" i="36"/>
  <c r="H23" i="35"/>
  <c r="J23" i="35"/>
  <c r="F38" i="40"/>
  <c r="J38" i="40"/>
  <c r="H38" i="40"/>
  <c r="BL550" i="3"/>
  <c r="AZ398" i="3"/>
  <c r="AZ407" i="3"/>
  <c r="AZ415" i="3"/>
  <c r="AZ426" i="3"/>
  <c r="AZ448" i="3"/>
  <c r="AZ461" i="3"/>
  <c r="AZ468" i="3"/>
  <c r="AZ485" i="3"/>
  <c r="AZ210" i="3"/>
  <c r="AZ424" i="3"/>
  <c r="AZ439" i="3"/>
  <c r="AZ472" i="3"/>
  <c r="AZ475" i="3"/>
  <c r="AZ489" i="3"/>
  <c r="AZ316" i="3"/>
  <c r="AZ220" i="3"/>
  <c r="AZ258" i="3"/>
  <c r="AZ262" i="3"/>
  <c r="AZ278" i="3"/>
  <c r="AZ284" i="3"/>
  <c r="AZ292" i="3"/>
  <c r="AZ302" i="3"/>
  <c r="AZ113" i="3"/>
  <c r="AZ129" i="3"/>
  <c r="AZ205" i="3"/>
  <c r="AZ18" i="3"/>
  <c r="AZ23" i="3"/>
  <c r="AZ27" i="3"/>
  <c r="AZ52" i="3"/>
  <c r="AZ68" i="3"/>
  <c r="AZ246" i="3"/>
  <c r="AZ90" i="3"/>
  <c r="AZ96" i="3"/>
  <c r="AZ106" i="3"/>
  <c r="X5" i="71"/>
  <c r="Y5" i="71"/>
  <c r="Z5" i="71" s="1"/>
  <c r="AA5" i="71"/>
  <c r="AB5" i="71"/>
  <c r="S18" i="36"/>
  <c r="P62" i="71"/>
  <c r="P63" i="71"/>
  <c r="C33" i="71"/>
  <c r="D32" i="71"/>
  <c r="B24" i="71"/>
  <c r="B23" i="71" s="1"/>
  <c r="S25" i="71"/>
  <c r="D35" i="71"/>
  <c r="C36" i="71"/>
  <c r="D39" i="71"/>
  <c r="C40" i="71"/>
  <c r="C44" i="71"/>
  <c r="D44" i="71" s="1"/>
  <c r="D43" i="71"/>
  <c r="C48" i="71"/>
  <c r="D47" i="71"/>
  <c r="C52" i="71"/>
  <c r="D51" i="71"/>
  <c r="C56" i="71"/>
  <c r="D55" i="71"/>
  <c r="M100" i="43"/>
  <c r="I100" i="43"/>
  <c r="E100" i="43"/>
  <c r="D100" i="43"/>
  <c r="C40" i="68"/>
  <c r="C21" i="68"/>
  <c r="C23" i="71"/>
  <c r="D23" i="71" s="1"/>
  <c r="D24" i="71"/>
  <c r="V25" i="71"/>
  <c r="AA25" i="71"/>
  <c r="AA23" i="71"/>
  <c r="X25" i="71"/>
  <c r="X23" i="71"/>
  <c r="Y25" i="71"/>
  <c r="Z25" i="71" s="1"/>
  <c r="Y24" i="71"/>
  <c r="Z24" i="71" s="1"/>
  <c r="Y23" i="71"/>
  <c r="Z23" i="71" s="1"/>
  <c r="Y22" i="71"/>
  <c r="Z22" i="71" s="1"/>
  <c r="X32" i="71"/>
  <c r="X31" i="71"/>
  <c r="AA29" i="71"/>
  <c r="AA28" i="71"/>
  <c r="AB26" i="71"/>
  <c r="AA34" i="71"/>
  <c r="X6" i="71"/>
  <c r="X7" i="71"/>
  <c r="AB7" i="71"/>
  <c r="AB6" i="71"/>
  <c r="F64" i="71"/>
  <c r="AE10" i="43"/>
  <c r="Z12" i="43"/>
  <c r="Z13" i="43" s="1"/>
  <c r="Z10" i="43"/>
  <c r="AD12" i="43"/>
  <c r="AD13" i="43" s="1"/>
  <c r="AD10" i="43"/>
  <c r="AH12" i="43"/>
  <c r="AH10" i="43"/>
  <c r="AA19" i="71"/>
  <c r="AA20" i="71"/>
  <c r="AA21" i="71"/>
  <c r="X19" i="71"/>
  <c r="B21" i="71"/>
  <c r="AA18" i="71"/>
  <c r="X18" i="71"/>
  <c r="X14" i="71"/>
  <c r="Y14" i="71"/>
  <c r="Z14" i="71" s="1"/>
  <c r="AA14" i="71"/>
  <c r="AB15" i="71"/>
  <c r="Y11" i="71"/>
  <c r="Z11" i="71" s="1"/>
  <c r="Y6" i="71"/>
  <c r="Z6" i="71" s="1"/>
  <c r="Y7" i="71"/>
  <c r="Z7" i="71" s="1"/>
  <c r="AA6" i="71"/>
  <c r="AA7" i="71"/>
  <c r="AC12" i="43"/>
  <c r="AC13" i="43" s="1"/>
  <c r="AC10" i="43"/>
  <c r="AG12" i="43"/>
  <c r="AG10" i="43"/>
  <c r="Y18" i="71"/>
  <c r="Z18" i="71" s="1"/>
  <c r="Y19" i="71"/>
  <c r="Z19" i="71" s="1"/>
  <c r="Y20" i="71"/>
  <c r="Z20" i="71" s="1"/>
  <c r="C21" i="71"/>
  <c r="AB20" i="71"/>
  <c r="AB21" i="71"/>
  <c r="AB18" i="71"/>
  <c r="Y15" i="71"/>
  <c r="Z15" i="71" s="1"/>
  <c r="X15" i="71"/>
  <c r="AA15" i="71"/>
  <c r="X11" i="71"/>
  <c r="AA9" i="71"/>
  <c r="AB12" i="71"/>
  <c r="AB14" i="71"/>
  <c r="AB9" i="71"/>
  <c r="AB11" i="71"/>
  <c r="Y10" i="71"/>
  <c r="Z10" i="71" s="1"/>
  <c r="X8" i="71"/>
  <c r="AA10" i="71"/>
  <c r="X12" i="71"/>
  <c r="AA12" i="71"/>
  <c r="AB8" i="71"/>
  <c r="AB10" i="71"/>
  <c r="Y9" i="71"/>
  <c r="Z9" i="71" s="1"/>
  <c r="Y8" i="71"/>
  <c r="Z8" i="71" s="1"/>
  <c r="X9" i="71"/>
  <c r="X10" i="71"/>
  <c r="AA8" i="71"/>
  <c r="AA11" i="71"/>
  <c r="D5"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B12" i="70"/>
  <c r="J53" i="67"/>
  <c r="J57" i="67"/>
  <c r="J55" i="67" s="1"/>
  <c r="J58" i="67" s="1"/>
  <c r="Q50" i="67" s="1"/>
  <c r="L56" i="67"/>
  <c r="I54" i="67"/>
  <c r="F69" i="15"/>
  <c r="M7" i="15"/>
  <c r="J6" i="15" s="1"/>
  <c r="F50" i="15"/>
  <c r="F51" i="15"/>
  <c r="F71" i="15"/>
  <c r="B7" i="70"/>
  <c r="C6" i="15"/>
  <c r="B11" i="70"/>
  <c r="L59" i="15"/>
  <c r="N59" i="15"/>
  <c r="L58" i="15"/>
  <c r="M59" i="15"/>
  <c r="B8" i="70"/>
  <c r="F66" i="15"/>
  <c r="Q71" i="67"/>
  <c r="F64" i="15"/>
  <c r="C27" i="67"/>
  <c r="F71" i="67"/>
  <c r="C27" i="15"/>
  <c r="F65" i="15"/>
  <c r="B9" i="70"/>
  <c r="N59" i="67"/>
  <c r="L59" i="67"/>
  <c r="L58" i="67"/>
  <c r="M59" i="67"/>
  <c r="B13" i="70"/>
  <c r="M7" i="67"/>
  <c r="J6" i="67" s="1"/>
  <c r="F50" i="67"/>
  <c r="F68" i="67"/>
  <c r="J20" i="15"/>
  <c r="F68" i="15"/>
  <c r="C16" i="15"/>
  <c r="C17" i="15"/>
  <c r="D3" i="73"/>
  <c r="C14" i="15"/>
  <c r="C36" i="69"/>
  <c r="D5" i="73"/>
  <c r="G1" i="73"/>
  <c r="C16" i="67"/>
  <c r="H109" i="43" l="1"/>
  <c r="N103" i="43"/>
  <c r="D105" i="43"/>
  <c r="G103" i="43"/>
  <c r="G104" i="43"/>
  <c r="D106" i="43"/>
  <c r="M104" i="43"/>
  <c r="G102" i="43"/>
  <c r="G106" i="43"/>
  <c r="J107" i="43"/>
  <c r="J106" i="43"/>
  <c r="G107" i="43"/>
  <c r="G109" i="43"/>
  <c r="H107" i="43"/>
  <c r="H102" i="43"/>
  <c r="E104" i="43"/>
  <c r="E103" i="43"/>
  <c r="I102" i="43"/>
  <c r="L104" i="43"/>
  <c r="L107" i="43"/>
  <c r="E57" i="40"/>
  <c r="E105" i="43"/>
  <c r="M107" i="43"/>
  <c r="E106" i="43"/>
  <c r="E109" i="43"/>
  <c r="E102" i="43"/>
  <c r="K103" i="43"/>
  <c r="K109" i="43"/>
  <c r="K106" i="43"/>
  <c r="AG13" i="43"/>
  <c r="AH13" i="43"/>
  <c r="I106" i="43"/>
  <c r="L105" i="43"/>
  <c r="L103" i="43"/>
  <c r="N106" i="43"/>
  <c r="K107" i="43"/>
  <c r="K105" i="43"/>
  <c r="K102" i="43"/>
  <c r="M109" i="43"/>
  <c r="M106" i="43"/>
  <c r="E56" i="40"/>
  <c r="H16" i="1"/>
  <c r="D103" i="43"/>
  <c r="N102" i="43"/>
  <c r="N107" i="43"/>
  <c r="N105" i="43"/>
  <c r="J104" i="43"/>
  <c r="J102" i="43"/>
  <c r="J109" i="43"/>
  <c r="D22" i="43"/>
  <c r="C21" i="43" s="1"/>
  <c r="G16" i="1"/>
  <c r="F10" i="39" s="1"/>
  <c r="AA10" i="39" s="1"/>
  <c r="D113" i="43"/>
  <c r="Q16" i="1"/>
  <c r="F27" i="11" s="1"/>
  <c r="E16" i="6"/>
  <c r="D104" i="43"/>
  <c r="D102" i="43"/>
  <c r="F104" i="43"/>
  <c r="F107" i="43"/>
  <c r="F106" i="43"/>
  <c r="F103" i="43"/>
  <c r="F102" i="43"/>
  <c r="F105" i="43"/>
  <c r="F109" i="43"/>
  <c r="C104" i="43"/>
  <c r="C105" i="43"/>
  <c r="C102" i="43"/>
  <c r="C109" i="43"/>
  <c r="C106" i="43"/>
  <c r="C107" i="43"/>
  <c r="C103" i="43"/>
  <c r="I109" i="43"/>
  <c r="I107" i="43"/>
  <c r="AA29" i="35"/>
  <c r="AA31" i="39"/>
  <c r="S31" i="39"/>
  <c r="AB9" i="34"/>
  <c r="U9" i="34"/>
  <c r="AC30" i="21"/>
  <c r="W30" i="21"/>
  <c r="S13" i="33"/>
  <c r="AA13" i="33"/>
  <c r="AC36" i="39"/>
  <c r="W36" i="39"/>
  <c r="S12" i="35"/>
  <c r="AA12" i="35"/>
  <c r="AB12" i="34"/>
  <c r="U12" i="34"/>
  <c r="F7" i="36"/>
  <c r="J7" i="37"/>
  <c r="H7" i="36"/>
  <c r="H7" i="34"/>
  <c r="F7" i="34"/>
  <c r="F48" i="69"/>
  <c r="G30" i="6"/>
  <c r="G31" i="6" s="1"/>
  <c r="E59" i="40"/>
  <c r="G5" i="3"/>
  <c r="B3" i="3" s="1"/>
  <c r="H29" i="35"/>
  <c r="AZ105" i="3"/>
  <c r="AZ95" i="3"/>
  <c r="AZ91" i="3"/>
  <c r="AZ88" i="3"/>
  <c r="AZ62" i="3"/>
  <c r="AZ47" i="3"/>
  <c r="AZ37" i="3"/>
  <c r="AZ299" i="3"/>
  <c r="AZ293" i="3"/>
  <c r="AZ261" i="3"/>
  <c r="AZ243" i="3"/>
  <c r="AZ237" i="3"/>
  <c r="AZ235" i="3"/>
  <c r="AZ231" i="3"/>
  <c r="AZ223" i="3"/>
  <c r="AZ221" i="3"/>
  <c r="AZ350" i="3"/>
  <c r="AZ460" i="3"/>
  <c r="AZ421" i="3"/>
  <c r="AZ416" i="3"/>
  <c r="AZ70" i="3"/>
  <c r="AZ69" i="3"/>
  <c r="AZ190" i="3"/>
  <c r="AZ186" i="3"/>
  <c r="AZ177" i="3"/>
  <c r="AZ153" i="3"/>
  <c r="AZ150" i="3"/>
  <c r="AZ134" i="3"/>
  <c r="AZ125" i="3"/>
  <c r="AZ121" i="3"/>
  <c r="AZ273" i="3"/>
  <c r="AZ269" i="3"/>
  <c r="AZ253" i="3"/>
  <c r="AZ245" i="3"/>
  <c r="AZ234" i="3"/>
  <c r="AZ232" i="3"/>
  <c r="AZ227" i="3"/>
  <c r="AZ219" i="3"/>
  <c r="AZ218" i="3"/>
  <c r="AZ395" i="3"/>
  <c r="AZ488" i="3"/>
  <c r="AZ471" i="3"/>
  <c r="AZ174" i="3"/>
  <c r="AZ161" i="3"/>
  <c r="AZ142" i="3"/>
  <c r="AZ137" i="3"/>
  <c r="AZ454" i="3"/>
  <c r="AZ413" i="3"/>
  <c r="AZ400" i="3"/>
  <c r="AC31" i="39"/>
  <c r="W31" i="39"/>
  <c r="AB23" i="36"/>
  <c r="U23" i="36"/>
  <c r="AA9" i="34"/>
  <c r="S9" i="34"/>
  <c r="AB36" i="39"/>
  <c r="U36" i="39"/>
  <c r="S16" i="35"/>
  <c r="AA16" i="35"/>
  <c r="U14" i="21"/>
  <c r="AB14" i="21"/>
  <c r="AA46" i="21"/>
  <c r="S46" i="21"/>
  <c r="S31" i="33"/>
  <c r="AA31" i="33"/>
  <c r="E58" i="40"/>
  <c r="E63" i="39"/>
  <c r="E66" i="39" s="1"/>
  <c r="D121" i="9"/>
  <c r="D7" i="52" s="1"/>
  <c r="D6" i="52"/>
  <c r="S36" i="39"/>
  <c r="AA36" i="39"/>
  <c r="E520" i="3"/>
  <c r="E110" i="3"/>
  <c r="E48" i="3"/>
  <c r="E373" i="3"/>
  <c r="N6" i="3"/>
  <c r="E562" i="3"/>
  <c r="E431" i="3"/>
  <c r="E350" i="3"/>
  <c r="E238" i="3"/>
  <c r="E448" i="3"/>
  <c r="E443" i="3"/>
  <c r="E581" i="3"/>
  <c r="E404" i="3"/>
  <c r="E121" i="3"/>
  <c r="E295" i="3"/>
  <c r="E334" i="3"/>
  <c r="E480" i="3"/>
  <c r="E160" i="3"/>
  <c r="E492" i="3"/>
  <c r="E355" i="3"/>
  <c r="E309" i="3"/>
  <c r="E343" i="3"/>
  <c r="AZ76" i="3"/>
  <c r="AZ74" i="3"/>
  <c r="AZ64" i="3"/>
  <c r="AZ60" i="3"/>
  <c r="AZ158" i="3"/>
  <c r="AZ145" i="3"/>
  <c r="AZ130" i="3"/>
  <c r="AZ242" i="3"/>
  <c r="AZ229" i="3"/>
  <c r="AZ215" i="3"/>
  <c r="AZ213" i="3"/>
  <c r="C61" i="71"/>
  <c r="D60" i="71"/>
  <c r="AZ487" i="3"/>
  <c r="AZ470" i="3"/>
  <c r="W12" i="34"/>
  <c r="AC12" i="34"/>
  <c r="B38" i="72"/>
  <c r="D20" i="53"/>
  <c r="B40" i="72" s="1"/>
  <c r="AA23" i="36"/>
  <c r="S23" i="36"/>
  <c r="W33" i="36"/>
  <c r="AC33" i="36"/>
  <c r="AA26" i="33"/>
  <c r="S26" i="33"/>
  <c r="M77" i="43"/>
  <c r="N77" i="43" s="1"/>
  <c r="K77" i="43"/>
  <c r="J77" i="43" s="1"/>
  <c r="M74" i="43"/>
  <c r="N74" i="43" s="1"/>
  <c r="K74" i="43"/>
  <c r="K72" i="43"/>
  <c r="M72" i="43"/>
  <c r="N72" i="43" s="1"/>
  <c r="M73" i="43"/>
  <c r="N73" i="43" s="1"/>
  <c r="K73" i="43"/>
  <c r="J73" i="43" s="1"/>
  <c r="AC36" i="35"/>
  <c r="W36" i="35"/>
  <c r="AC12" i="21"/>
  <c r="W12" i="21"/>
  <c r="C19" i="43"/>
  <c r="E502" i="3"/>
  <c r="E499" i="3"/>
  <c r="E286" i="3"/>
  <c r="E224" i="3"/>
  <c r="E89" i="3"/>
  <c r="E236" i="3"/>
  <c r="E262" i="3"/>
  <c r="E306" i="3"/>
  <c r="AK6" i="3"/>
  <c r="E511" i="3"/>
  <c r="E97" i="3"/>
  <c r="E359" i="3"/>
  <c r="E535" i="3"/>
  <c r="E278" i="3"/>
  <c r="M75" i="43"/>
  <c r="N75" i="43" s="1"/>
  <c r="K75" i="43"/>
  <c r="J75" i="43" s="1"/>
  <c r="D75" i="43" s="1"/>
  <c r="M78" i="43"/>
  <c r="N78" i="43" s="1"/>
  <c r="K78" i="43"/>
  <c r="M70" i="43"/>
  <c r="N70" i="43" s="1"/>
  <c r="K70" i="43"/>
  <c r="E217" i="3"/>
  <c r="E288" i="3"/>
  <c r="E532" i="3"/>
  <c r="E61" i="3"/>
  <c r="S6" i="3"/>
  <c r="E553" i="3"/>
  <c r="M76" i="43"/>
  <c r="N76" i="43" s="1"/>
  <c r="K76" i="43"/>
  <c r="K71" i="43"/>
  <c r="J71" i="43" s="1"/>
  <c r="M71" i="43"/>
  <c r="N71" i="43" s="1"/>
  <c r="AZ477" i="3"/>
  <c r="AZ459" i="3"/>
  <c r="AZ442" i="3"/>
  <c r="AZ418" i="3"/>
  <c r="AA44" i="39"/>
  <c r="S44" i="39"/>
  <c r="AB12" i="21"/>
  <c r="U12" i="21"/>
  <c r="J29" i="35"/>
  <c r="AB29" i="35"/>
  <c r="U29" i="35"/>
  <c r="W26" i="35"/>
  <c r="AC26" i="35"/>
  <c r="C30" i="68"/>
  <c r="C30" i="11"/>
  <c r="C48" i="68"/>
  <c r="E388" i="3"/>
  <c r="E361" i="3"/>
  <c r="E528" i="3"/>
  <c r="E539" i="3"/>
  <c r="E322" i="3"/>
  <c r="E468" i="3"/>
  <c r="E587" i="3"/>
  <c r="E406" i="3"/>
  <c r="E560" i="3"/>
  <c r="E141" i="3"/>
  <c r="E161" i="3"/>
  <c r="E231" i="3"/>
  <c r="E561" i="3"/>
  <c r="E124" i="3"/>
  <c r="E347" i="3"/>
  <c r="E352" i="3"/>
  <c r="V6" i="3"/>
  <c r="E230" i="3"/>
  <c r="E252" i="3"/>
  <c r="E525" i="3"/>
  <c r="E456" i="3"/>
  <c r="E451" i="3"/>
  <c r="E13" i="3"/>
  <c r="E420" i="3"/>
  <c r="E106" i="3"/>
  <c r="E510" i="3"/>
  <c r="M6" i="3"/>
  <c r="E215" i="3"/>
  <c r="E180" i="3"/>
  <c r="E107" i="3"/>
  <c r="E543" i="3"/>
  <c r="E422" i="3"/>
  <c r="AH6" i="3"/>
  <c r="E483" i="3"/>
  <c r="E40" i="3"/>
  <c r="E108" i="3"/>
  <c r="E119" i="3"/>
  <c r="E242" i="3"/>
  <c r="E276" i="3"/>
  <c r="E333" i="3"/>
  <c r="L6" i="3"/>
  <c r="E43" i="3"/>
  <c r="E412" i="3"/>
  <c r="E96" i="3"/>
  <c r="E129" i="3"/>
  <c r="E174" i="3"/>
  <c r="E275" i="3"/>
  <c r="E324" i="3"/>
  <c r="E342" i="3"/>
  <c r="E111" i="3"/>
  <c r="E150" i="3"/>
  <c r="E279" i="3"/>
  <c r="E351" i="3"/>
  <c r="E318" i="3"/>
  <c r="E93" i="3"/>
  <c r="E473" i="3"/>
  <c r="E38" i="3"/>
  <c r="E194" i="3"/>
  <c r="E339" i="3"/>
  <c r="E35" i="3"/>
  <c r="E34" i="3"/>
  <c r="E206" i="3"/>
  <c r="E251" i="3"/>
  <c r="AF6" i="3"/>
  <c r="E80" i="3"/>
  <c r="E158" i="3"/>
  <c r="E308" i="3"/>
  <c r="E22" i="3"/>
  <c r="E146" i="3"/>
  <c r="E171" i="3"/>
  <c r="E214" i="3"/>
  <c r="E315" i="3"/>
  <c r="E362" i="3"/>
  <c r="E74" i="3"/>
  <c r="E409" i="3"/>
  <c r="E79" i="3"/>
  <c r="E137" i="3"/>
  <c r="E299" i="3"/>
  <c r="AQ6" i="3"/>
  <c r="E36" i="3"/>
  <c r="E123" i="3"/>
  <c r="E289" i="3"/>
  <c r="E364" i="3"/>
  <c r="E20" i="3"/>
  <c r="E176" i="3"/>
  <c r="E265" i="3"/>
  <c r="E524" i="3"/>
  <c r="C18" i="15"/>
  <c r="C15" i="15"/>
  <c r="E30" i="6"/>
  <c r="K14" i="1"/>
  <c r="D70" i="39"/>
  <c r="E68" i="39"/>
  <c r="B20" i="71"/>
  <c r="B19" i="71" s="1"/>
  <c r="B18" i="71" s="1"/>
  <c r="B17" i="71" s="1"/>
  <c r="S21" i="71"/>
  <c r="F63" i="71"/>
  <c r="Q64" i="71"/>
  <c r="C41" i="71"/>
  <c r="D40" i="71"/>
  <c r="C37" i="71"/>
  <c r="D36" i="71"/>
  <c r="AB38" i="40"/>
  <c r="U38" i="40"/>
  <c r="AA38" i="40"/>
  <c r="S38" i="40"/>
  <c r="U23" i="35"/>
  <c r="AB23" i="35"/>
  <c r="AC24" i="36"/>
  <c r="W24" i="36"/>
  <c r="W12" i="36"/>
  <c r="AC12" i="36"/>
  <c r="U39" i="40"/>
  <c r="AB39" i="40"/>
  <c r="U12" i="33"/>
  <c r="AB12" i="33"/>
  <c r="F27" i="68"/>
  <c r="C20" i="71"/>
  <c r="T21" i="71"/>
  <c r="D21" i="71"/>
  <c r="U21" i="71" s="1"/>
  <c r="C57" i="71"/>
  <c r="D56" i="71"/>
  <c r="C53" i="71"/>
  <c r="D52" i="71"/>
  <c r="C49" i="71"/>
  <c r="D48" i="71"/>
  <c r="D33" i="71"/>
  <c r="T33" i="71"/>
  <c r="AZ550" i="3"/>
  <c r="BL5" i="3"/>
  <c r="AC38" i="40"/>
  <c r="W38" i="40"/>
  <c r="AC23" i="35"/>
  <c r="W23" i="35"/>
  <c r="AB24" i="36"/>
  <c r="U24" i="36"/>
  <c r="U12" i="36"/>
  <c r="AB12" i="36"/>
  <c r="AZ551" i="3"/>
  <c r="BA5" i="3"/>
  <c r="E27" i="6" s="1"/>
  <c r="W39" i="40"/>
  <c r="AC39" i="40"/>
  <c r="W12" i="33"/>
  <c r="AC12" i="33"/>
  <c r="O7" i="1"/>
  <c r="P7" i="1" s="1"/>
  <c r="E12" i="71"/>
  <c r="E11" i="71" s="1"/>
  <c r="E10" i="71" s="1"/>
  <c r="E9" i="71" s="1"/>
  <c r="V13" i="71"/>
  <c r="F59" i="67"/>
  <c r="H7" i="37"/>
  <c r="AB7" i="37" s="1"/>
  <c r="T42" i="37" s="1"/>
  <c r="G42" i="37" s="1"/>
  <c r="B40" i="1"/>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F27" i="69"/>
  <c r="E366" i="3" l="1"/>
  <c r="E519" i="3"/>
  <c r="E578" i="3"/>
  <c r="AO6" i="3"/>
  <c r="E500" i="3"/>
  <c r="E39" i="3"/>
  <c r="E187" i="3"/>
  <c r="E259" i="3"/>
  <c r="E504" i="3"/>
  <c r="E521" i="3"/>
  <c r="E163" i="3"/>
  <c r="E307" i="3"/>
  <c r="E66" i="3"/>
  <c r="E127" i="3"/>
  <c r="Y6" i="3"/>
  <c r="E179" i="3"/>
  <c r="E323" i="3"/>
  <c r="E82" i="3"/>
  <c r="E426" i="3"/>
  <c r="E501" i="3"/>
  <c r="E53" i="3"/>
  <c r="E246" i="3"/>
  <c r="E321" i="3"/>
  <c r="E199" i="3"/>
  <c r="E527" i="3"/>
  <c r="E450" i="3"/>
  <c r="E567" i="3"/>
  <c r="E395" i="3"/>
  <c r="E516" i="3"/>
  <c r="E247" i="3"/>
  <c r="E353" i="3"/>
  <c r="AN6" i="3"/>
  <c r="E402" i="3"/>
  <c r="E303" i="3"/>
  <c r="E159" i="3"/>
  <c r="E228" i="3"/>
  <c r="E85" i="3"/>
  <c r="E116" i="3"/>
  <c r="E379" i="3"/>
  <c r="U6"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39" i="3"/>
  <c r="E416" i="3"/>
  <c r="E57" i="3"/>
  <c r="E378" i="3"/>
  <c r="E65" i="3"/>
  <c r="E354" i="3"/>
  <c r="E284" i="3"/>
  <c r="E222" i="3"/>
  <c r="E328" i="3"/>
  <c r="E319" i="3"/>
  <c r="E523" i="3"/>
  <c r="E573" i="3"/>
  <c r="E268" i="3"/>
  <c r="E550" i="3"/>
  <c r="E201" i="3"/>
  <c r="E586" i="3"/>
  <c r="E301" i="3"/>
  <c r="E157" i="3"/>
  <c r="E105" i="3"/>
  <c r="E515" i="3"/>
  <c r="E485" i="3"/>
  <c r="E400" i="3"/>
  <c r="E345" i="3"/>
  <c r="E557" i="3"/>
  <c r="E531" i="3"/>
  <c r="E489" i="3"/>
  <c r="E28" i="3"/>
  <c r="E70" i="3"/>
  <c r="E182" i="3"/>
  <c r="E211" i="3"/>
  <c r="E273" i="3"/>
  <c r="E377" i="3"/>
  <c r="E572" i="3"/>
  <c r="E109" i="3"/>
  <c r="E484" i="3"/>
  <c r="E46" i="3"/>
  <c r="E200" i="3"/>
  <c r="E371" i="3"/>
  <c r="E84" i="3"/>
  <c r="E184" i="3"/>
  <c r="E68" i="3"/>
  <c r="E264" i="3"/>
  <c r="E21" i="3"/>
  <c r="E305" i="3"/>
  <c r="E530" i="3"/>
  <c r="E421" i="3"/>
  <c r="E552" i="3"/>
  <c r="E542" i="3"/>
  <c r="AD6" i="3"/>
  <c r="E312" i="3"/>
  <c r="E133" i="3"/>
  <c r="E177" i="3"/>
  <c r="E277" i="3"/>
  <c r="E120" i="3"/>
  <c r="E122" i="3"/>
  <c r="E148" i="3"/>
  <c r="E156" i="3"/>
  <c r="E196" i="3"/>
  <c r="E244" i="3"/>
  <c r="E368" i="3"/>
  <c r="E453" i="3"/>
  <c r="E549" i="3"/>
  <c r="E536" i="3"/>
  <c r="I6" i="3"/>
  <c r="E568" i="3"/>
  <c r="E397" i="3"/>
  <c r="E143" i="3"/>
  <c r="E337" i="3"/>
  <c r="E410" i="3"/>
  <c r="E509" i="3"/>
  <c r="E445" i="3"/>
  <c r="E563" i="3"/>
  <c r="E69" i="3"/>
  <c r="AJ6" i="3"/>
  <c r="E471" i="3"/>
  <c r="W6" i="3"/>
  <c r="E438" i="3"/>
  <c r="E529" i="3"/>
  <c r="E313" i="3"/>
  <c r="E117" i="3"/>
  <c r="E298" i="3"/>
  <c r="E506" i="3"/>
  <c r="E293" i="3"/>
  <c r="E583" i="3"/>
  <c r="E574" i="3"/>
  <c r="O6" i="3"/>
  <c r="E302" i="3"/>
  <c r="E17" i="3"/>
  <c r="E213" i="3"/>
  <c r="E565" i="3"/>
  <c r="E304" i="3"/>
  <c r="E237" i="3"/>
  <c r="E461" i="3"/>
  <c r="E514" i="3"/>
  <c r="E526" i="3"/>
  <c r="E496" i="3"/>
  <c r="E429" i="3"/>
  <c r="AE6" i="3"/>
  <c r="E344" i="3"/>
  <c r="E424" i="3"/>
  <c r="E481" i="3"/>
  <c r="E437" i="3"/>
  <c r="Q6" i="3"/>
  <c r="E330" i="3"/>
  <c r="E167" i="3"/>
  <c r="E149" i="3"/>
  <c r="E135" i="3"/>
  <c r="E216" i="3"/>
  <c r="E380" i="3"/>
  <c r="E538" i="3"/>
  <c r="AR6" i="3"/>
  <c r="E270" i="3"/>
  <c r="E280" i="3"/>
  <c r="AA6" i="3"/>
  <c r="E282" i="3"/>
  <c r="E545" i="3"/>
  <c r="E128" i="3"/>
  <c r="E551" i="3"/>
  <c r="E407" i="3"/>
  <c r="E294" i="3"/>
  <c r="E130" i="3"/>
  <c r="E221" i="3"/>
  <c r="E204" i="3"/>
  <c r="E369" i="3"/>
  <c r="E534" i="3"/>
  <c r="E405" i="3"/>
  <c r="E469" i="3"/>
  <c r="E408" i="3"/>
  <c r="E360" i="3"/>
  <c r="E497" i="3"/>
  <c r="E494" i="3"/>
  <c r="E470" i="3"/>
  <c r="E475" i="3"/>
  <c r="E72" i="3"/>
  <c r="E54" i="3"/>
  <c r="E329" i="3"/>
  <c r="E205" i="3"/>
  <c r="E570" i="3"/>
  <c r="AB6" i="3"/>
  <c r="E335" i="3"/>
  <c r="E189" i="3"/>
  <c r="E91" i="3"/>
  <c r="E207" i="3"/>
  <c r="E145" i="3"/>
  <c r="E393" i="3"/>
  <c r="E564" i="3"/>
  <c r="E427" i="3"/>
  <c r="E507" i="3"/>
  <c r="E440" i="3"/>
  <c r="E376" i="3"/>
  <c r="J6" i="3"/>
  <c r="E419" i="3"/>
  <c r="E401" i="3"/>
  <c r="E26" i="3"/>
  <c r="E104" i="3"/>
  <c r="E41" i="3"/>
  <c r="E115" i="3"/>
  <c r="E198" i="3"/>
  <c r="E139" i="3"/>
  <c r="E225" i="3"/>
  <c r="E281" i="3"/>
  <c r="E243" i="3"/>
  <c r="E332" i="3"/>
  <c r="E391" i="3"/>
  <c r="E356" i="3"/>
  <c r="AL6" i="3"/>
  <c r="E42" i="3"/>
  <c r="E94" i="3"/>
  <c r="E488" i="3"/>
  <c r="E482" i="3"/>
  <c r="E101" i="3"/>
  <c r="E365" i="3"/>
  <c r="E218" i="3"/>
  <c r="E62" i="3"/>
  <c r="E50" i="3"/>
  <c r="E340" i="3"/>
  <c r="E147" i="3"/>
  <c r="E112" i="3"/>
  <c r="E52" i="3"/>
  <c r="E325" i="3"/>
  <c r="E234" i="3"/>
  <c r="E100" i="3"/>
  <c r="E15" i="3"/>
  <c r="E32" i="3"/>
  <c r="E580" i="3"/>
  <c r="E394" i="3"/>
  <c r="E274" i="3"/>
  <c r="E256" i="3"/>
  <c r="E203" i="3"/>
  <c r="E83" i="3"/>
  <c r="E326" i="3"/>
  <c r="E287" i="3"/>
  <c r="E113" i="3"/>
  <c r="E102" i="3"/>
  <c r="E370" i="3"/>
  <c r="E232" i="3"/>
  <c r="E49" i="3"/>
  <c r="E86" i="3"/>
  <c r="E392" i="3"/>
  <c r="E219" i="3"/>
  <c r="E170" i="3"/>
  <c r="E455" i="3"/>
  <c r="E75" i="3"/>
  <c r="E31" i="3"/>
  <c r="E357" i="3"/>
  <c r="E257" i="3"/>
  <c r="E208" i="3"/>
  <c r="E168" i="3"/>
  <c r="E522" i="3"/>
  <c r="E383" i="3"/>
  <c r="E235" i="3"/>
  <c r="E220" i="3"/>
  <c r="E190" i="3"/>
  <c r="E78" i="3"/>
  <c r="E18" i="3"/>
  <c r="E428" i="3"/>
  <c r="E60" i="3"/>
  <c r="E372" i="3"/>
  <c r="E346" i="3"/>
  <c r="E226" i="3"/>
  <c r="E202" i="3"/>
  <c r="E178" i="3"/>
  <c r="E25" i="3"/>
  <c r="E463" i="3"/>
  <c r="E498" i="3"/>
  <c r="E490" i="3"/>
  <c r="E486" i="3"/>
  <c r="E493" i="3"/>
  <c r="E271" i="3"/>
  <c r="E134" i="3"/>
  <c r="E387" i="3"/>
  <c r="E358" i="3"/>
  <c r="E73" i="3"/>
  <c r="E55" i="3"/>
  <c r="E452" i="3"/>
  <c r="E556" i="3"/>
  <c r="E512" i="3"/>
  <c r="T6" i="3"/>
  <c r="E164" i="3"/>
  <c r="E254" i="3"/>
  <c r="E320" i="3"/>
  <c r="E559" i="3"/>
  <c r="E14" i="3"/>
  <c r="E399" i="3"/>
  <c r="E533" i="3"/>
  <c r="E439" i="3"/>
  <c r="E185" i="3"/>
  <c r="E212" i="3"/>
  <c r="K6" i="3"/>
  <c r="E472" i="3"/>
  <c r="E465" i="3"/>
  <c r="E577" i="3"/>
  <c r="E454" i="3"/>
  <c r="E165" i="3"/>
  <c r="E261" i="3"/>
  <c r="E183" i="3"/>
  <c r="E503" i="3"/>
  <c r="E555" i="3"/>
  <c r="E336" i="3"/>
  <c r="E338" i="3"/>
  <c r="E253" i="3"/>
  <c r="E474" i="3"/>
  <c r="E537" i="3"/>
  <c r="E227" i="3"/>
  <c r="E172" i="3"/>
  <c r="E579" i="3"/>
  <c r="E285" i="3"/>
  <c r="E314" i="3"/>
  <c r="E16" i="3"/>
  <c r="E434" i="3"/>
  <c r="E296" i="3"/>
  <c r="E136" i="3"/>
  <c r="E269" i="3"/>
  <c r="E45" i="3"/>
  <c r="E193" i="3"/>
  <c r="E575" i="3"/>
  <c r="R6" i="3"/>
  <c r="E175" i="3"/>
  <c r="E508" i="3"/>
  <c r="E81" i="3"/>
  <c r="E33" i="3"/>
  <c r="E249" i="3"/>
  <c r="E467" i="3"/>
  <c r="E30" i="3"/>
  <c r="E316" i="3"/>
  <c r="E166" i="3"/>
  <c r="E88" i="3"/>
  <c r="E444" i="3"/>
  <c r="E558" i="3"/>
  <c r="P6" i="3"/>
  <c r="E585" i="3"/>
  <c r="E99" i="3"/>
  <c r="E495" i="3"/>
  <c r="E114" i="3"/>
  <c r="E290" i="3"/>
  <c r="E153" i="3"/>
  <c r="E19" i="3"/>
  <c r="E209" i="3"/>
  <c r="E240" i="3"/>
  <c r="E140" i="3"/>
  <c r="J10" i="39"/>
  <c r="AC10" i="39" s="1"/>
  <c r="F28" i="12"/>
  <c r="C29" i="12" s="1"/>
  <c r="D28" i="12" s="1"/>
  <c r="J10" i="40"/>
  <c r="AC10" i="40" s="1"/>
  <c r="E154" i="3"/>
  <c r="E51" i="3"/>
  <c r="E341" i="3"/>
  <c r="E250" i="3"/>
  <c r="E87" i="3"/>
  <c r="E24" i="3"/>
  <c r="E584" i="3"/>
  <c r="E386" i="3"/>
  <c r="E266" i="3"/>
  <c r="E248" i="3"/>
  <c r="E195" i="3"/>
  <c r="E47" i="3"/>
  <c r="E540" i="3"/>
  <c r="E58" i="3"/>
  <c r="E375" i="3"/>
  <c r="E348" i="3"/>
  <c r="E297" i="3"/>
  <c r="E155" i="3"/>
  <c r="E131" i="3"/>
  <c r="E90" i="3"/>
  <c r="E436" i="3"/>
  <c r="E413" i="3"/>
  <c r="E374" i="3"/>
  <c r="E487" i="3"/>
  <c r="E327" i="3"/>
  <c r="E245" i="3"/>
  <c r="E151" i="3"/>
  <c r="E433" i="3"/>
  <c r="E390" i="3"/>
  <c r="E138" i="3"/>
  <c r="E98" i="3"/>
  <c r="E446" i="3"/>
  <c r="E462" i="3"/>
  <c r="E59" i="3"/>
  <c r="E76" i="3"/>
  <c r="E544" i="3"/>
  <c r="E389" i="3"/>
  <c r="E349" i="3"/>
  <c r="E363" i="3"/>
  <c r="E292" i="3"/>
  <c r="E241" i="3"/>
  <c r="E258" i="3"/>
  <c r="E192" i="3"/>
  <c r="E132" i="3"/>
  <c r="E152" i="3"/>
  <c r="E95" i="3"/>
  <c r="E37" i="3"/>
  <c r="E56" i="3"/>
  <c r="E479" i="3"/>
  <c r="E417" i="3"/>
  <c r="E460" i="3"/>
  <c r="E582" i="3"/>
  <c r="E566" i="3"/>
  <c r="E459" i="3"/>
  <c r="E398" i="3"/>
  <c r="E464" i="3"/>
  <c r="Z6" i="3"/>
  <c r="E197" i="3"/>
  <c r="E188" i="3"/>
  <c r="E382" i="3"/>
  <c r="E518" i="3"/>
  <c r="E396" i="3"/>
  <c r="E415" i="3"/>
  <c r="E457" i="3"/>
  <c r="E169" i="3"/>
  <c r="E125" i="3"/>
  <c r="H10" i="40"/>
  <c r="U10" i="40" s="1"/>
  <c r="F10" i="40"/>
  <c r="AA10" i="40" s="1"/>
  <c r="H10" i="39"/>
  <c r="AB10" i="39" s="1"/>
  <c r="E491" i="3"/>
  <c r="E435" i="3"/>
  <c r="E517" i="3"/>
  <c r="E554" i="3"/>
  <c r="AP6" i="3"/>
  <c r="I3" i="6"/>
  <c r="E255" i="3"/>
  <c r="E449" i="3"/>
  <c r="E430" i="3"/>
  <c r="E541" i="3"/>
  <c r="E466" i="3"/>
  <c r="E442" i="3"/>
  <c r="AG6" i="3"/>
  <c r="E576" i="3"/>
  <c r="E173" i="3"/>
  <c r="E223" i="3"/>
  <c r="E181" i="3"/>
  <c r="E191" i="3"/>
  <c r="E263" i="3"/>
  <c r="E423" i="3"/>
  <c r="AI6" i="3"/>
  <c r="E385" i="3"/>
  <c r="E229" i="3"/>
  <c r="E569" i="3"/>
  <c r="E260" i="3"/>
  <c r="E311" i="3"/>
  <c r="E571" i="3"/>
  <c r="E458" i="3"/>
  <c r="E77" i="3"/>
  <c r="E418" i="3"/>
  <c r="X6" i="3"/>
  <c r="U7" i="37"/>
  <c r="T61" i="71"/>
  <c r="D61" i="71"/>
  <c r="E41" i="43"/>
  <c r="C41" i="43" s="1"/>
  <c r="C20" i="43"/>
  <c r="AZ5" i="3"/>
  <c r="AY6" i="3" s="1"/>
  <c r="AC29" i="35"/>
  <c r="W29" i="35"/>
  <c r="J70" i="43"/>
  <c r="D70" i="43"/>
  <c r="J78" i="43"/>
  <c r="D78" i="43"/>
  <c r="J74" i="43"/>
  <c r="D74" i="43"/>
  <c r="J76" i="43"/>
  <c r="D76" i="43"/>
  <c r="J72" i="43"/>
  <c r="D72" i="43"/>
  <c r="AG6" i="1"/>
  <c r="S10" i="40"/>
  <c r="U10" i="39"/>
  <c r="C19" i="15"/>
  <c r="C20" i="15" s="1"/>
  <c r="C26" i="15" s="1"/>
  <c r="W10" i="39"/>
  <c r="M14" i="1"/>
  <c r="K16" i="1"/>
  <c r="F68" i="39"/>
  <c r="E70" i="39"/>
  <c r="E31" i="6"/>
  <c r="K21" i="6"/>
  <c r="M21" i="6" s="1"/>
  <c r="I21" i="6" s="1"/>
  <c r="S21" i="6" s="1"/>
  <c r="K22" i="6"/>
  <c r="M22" i="6" s="1"/>
  <c r="I22" i="6" s="1"/>
  <c r="S22" i="6" s="1"/>
  <c r="K25" i="6"/>
  <c r="M25" i="6" s="1"/>
  <c r="I25" i="6" s="1"/>
  <c r="S25" i="6" s="1"/>
  <c r="K23" i="6"/>
  <c r="M23" i="6" s="1"/>
  <c r="I23" i="6" s="1"/>
  <c r="S23" i="6" s="1"/>
  <c r="K26" i="6"/>
  <c r="M26" i="6" s="1"/>
  <c r="I26" i="6" s="1"/>
  <c r="S26" i="6" s="1"/>
  <c r="K20" i="6"/>
  <c r="K24" i="6"/>
  <c r="M24" i="6" s="1"/>
  <c r="I24" i="6" s="1"/>
  <c r="S24" i="6" s="1"/>
  <c r="K19" i="6"/>
  <c r="S6" i="1" s="1"/>
  <c r="C19" i="71"/>
  <c r="D20" i="71"/>
  <c r="C47" i="69"/>
  <c r="D45" i="69" s="1"/>
  <c r="C29" i="69"/>
  <c r="D27" i="69" s="1"/>
  <c r="F45" i="69"/>
  <c r="D37" i="71"/>
  <c r="T37" i="71"/>
  <c r="T41" i="71"/>
  <c r="D41" i="71"/>
  <c r="Q62" i="71"/>
  <c r="Q63" i="71"/>
  <c r="B16" i="71"/>
  <c r="B15" i="71" s="1"/>
  <c r="B14" i="71" s="1"/>
  <c r="B13" i="71" s="1"/>
  <c r="S17" i="71"/>
  <c r="E8" i="71"/>
  <c r="E7" i="71" s="1"/>
  <c r="E6" i="71" s="1"/>
  <c r="E5" i="71" s="1"/>
  <c r="V9" i="71"/>
  <c r="T49" i="71"/>
  <c r="D49" i="71"/>
  <c r="T53" i="71"/>
  <c r="D53" i="71"/>
  <c r="T57" i="71"/>
  <c r="D57" i="71"/>
  <c r="C29" i="68"/>
  <c r="D27" i="68" s="1"/>
  <c r="C47" i="68"/>
  <c r="D45" i="68" s="1"/>
  <c r="F45" i="68"/>
  <c r="C47" i="11"/>
  <c r="D45" i="11" s="1"/>
  <c r="C29" i="11"/>
  <c r="D27" i="11"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J24" i="15"/>
  <c r="J26" i="15"/>
  <c r="J29" i="15" s="1"/>
  <c r="C53" i="67"/>
  <c r="C48" i="67" s="1"/>
  <c r="C10" i="67"/>
  <c r="C5" i="67" s="1"/>
  <c r="C53" i="15"/>
  <c r="C48" i="15" s="1"/>
  <c r="C10" i="15"/>
  <c r="C5" i="15" s="1"/>
  <c r="F25" i="12"/>
  <c r="F22" i="69"/>
  <c r="F41" i="69" s="1"/>
  <c r="F24" i="67"/>
  <c r="C24" i="67" s="1"/>
  <c r="F22" i="11"/>
  <c r="F22" i="68"/>
  <c r="F24" i="15"/>
  <c r="C24" i="15" s="1"/>
  <c r="M27" i="67"/>
  <c r="C14" i="67"/>
  <c r="C34" i="69"/>
  <c r="F41" i="67"/>
  <c r="C17" i="67"/>
  <c r="H6" i="3" l="1"/>
  <c r="AC6" i="3"/>
  <c r="W10" i="40"/>
  <c r="AB10" i="40"/>
  <c r="E3" i="6"/>
  <c r="D3" i="33" s="1"/>
  <c r="C15" i="67"/>
  <c r="C18" i="67"/>
  <c r="E6" i="70"/>
  <c r="E2" i="70" s="1"/>
  <c r="E70" i="43"/>
  <c r="B68" i="43" s="1"/>
  <c r="C24" i="43" s="1"/>
  <c r="F69" i="67"/>
  <c r="AQ6" i="1"/>
  <c r="AR6" i="1"/>
  <c r="T6" i="1"/>
  <c r="M20" i="6"/>
  <c r="I20" i="6" s="1"/>
  <c r="S20" i="6" s="1"/>
  <c r="S7" i="1"/>
  <c r="S16" i="1" s="1"/>
  <c r="M18" i="78"/>
  <c r="B118" i="78" s="1"/>
  <c r="C35" i="69"/>
  <c r="C38" i="69"/>
  <c r="O14" i="1"/>
  <c r="M16" i="1"/>
  <c r="G68" i="39"/>
  <c r="F70" i="39"/>
  <c r="C18" i="71"/>
  <c r="D19"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12" i="71"/>
  <c r="B11" i="71" s="1"/>
  <c r="B10" i="71" s="1"/>
  <c r="B9" i="71" s="1"/>
  <c r="S13" i="71"/>
  <c r="M19" i="6"/>
  <c r="K27" i="6"/>
  <c r="D3" i="34"/>
  <c r="E6" i="6"/>
  <c r="D14" i="12"/>
  <c r="D3" i="21"/>
  <c r="D3" i="37"/>
  <c r="L18" i="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E6" i="3" l="1"/>
  <c r="C17" i="4"/>
  <c r="B4" i="52" s="1"/>
  <c r="B43" i="72" s="1"/>
  <c r="D19" i="11"/>
  <c r="C19" i="11" s="1"/>
  <c r="C24" i="11" s="1"/>
  <c r="M18" i="9"/>
  <c r="B118" i="9" s="1"/>
  <c r="B14" i="74" s="1"/>
  <c r="B1" i="74" s="1"/>
  <c r="D37" i="11"/>
  <c r="C37" i="11" s="1"/>
  <c r="C19" i="67"/>
  <c r="C20" i="67" s="1"/>
  <c r="C34" i="43"/>
  <c r="T16" i="43"/>
  <c r="V16" i="43" s="1"/>
  <c r="C37" i="43"/>
  <c r="C36" i="43"/>
  <c r="T3" i="43"/>
  <c r="V3" i="43" s="1"/>
  <c r="C38" i="43"/>
  <c r="C29" i="43"/>
  <c r="C35" i="43"/>
  <c r="T10" i="43"/>
  <c r="V10" i="43" s="1"/>
  <c r="C33" i="43"/>
  <c r="T2" i="43"/>
  <c r="V2" i="43" s="1"/>
  <c r="T8" i="43"/>
  <c r="V8" i="43" s="1"/>
  <c r="T13" i="43"/>
  <c r="V13" i="43" s="1"/>
  <c r="T14" i="43"/>
  <c r="V14" i="43" s="1"/>
  <c r="T11" i="43"/>
  <c r="V11" i="43" s="1"/>
  <c r="T4" i="43"/>
  <c r="V4" i="43" s="1"/>
  <c r="C39" i="43"/>
  <c r="T15" i="43"/>
  <c r="V15" i="43" s="1"/>
  <c r="T9" i="43"/>
  <c r="V9" i="43" s="1"/>
  <c r="T5" i="43"/>
  <c r="V5" i="43" s="1"/>
  <c r="T7" i="43"/>
  <c r="V7" i="43" s="1"/>
  <c r="T6" i="43"/>
  <c r="V6" i="43" s="1"/>
  <c r="T12" i="43"/>
  <c r="V12" i="43" s="1"/>
  <c r="AR7" i="1"/>
  <c r="T7" i="1"/>
  <c r="T16" i="1" s="1"/>
  <c r="AQ7" i="1"/>
  <c r="N16" i="1"/>
  <c r="C34" i="11"/>
  <c r="L16" i="1"/>
  <c r="C34" i="68"/>
  <c r="P14" i="1"/>
  <c r="P16" i="1" s="1"/>
  <c r="C11" i="12" s="1"/>
  <c r="O16" i="1"/>
  <c r="H68" i="39"/>
  <c r="G70" i="39"/>
  <c r="D17" i="12"/>
  <c r="C17" i="12" s="1"/>
  <c r="C14" i="12"/>
  <c r="D10" i="11"/>
  <c r="C10" i="11" s="1"/>
  <c r="D20" i="12"/>
  <c r="C20" i="12" s="1"/>
  <c r="D10" i="68"/>
  <c r="I19" i="6"/>
  <c r="M27" i="6"/>
  <c r="B8" i="71"/>
  <c r="B7" i="71" s="1"/>
  <c r="B6" i="71" s="1"/>
  <c r="B5" i="71" s="1"/>
  <c r="S9" i="71"/>
  <c r="D25" i="6"/>
  <c r="D15" i="6"/>
  <c r="D22" i="6"/>
  <c r="D21" i="6"/>
  <c r="D24" i="6"/>
  <c r="D6" i="6"/>
  <c r="D9" i="6"/>
  <c r="D10" i="6"/>
  <c r="L19" i="9"/>
  <c r="D29" i="6"/>
  <c r="H25" i="6"/>
  <c r="H22" i="6"/>
  <c r="H21" i="6"/>
  <c r="H24" i="6"/>
  <c r="H20" i="6"/>
  <c r="M19" i="9"/>
  <c r="C118" i="9" s="1"/>
  <c r="C14" i="74" s="1"/>
  <c r="B2" i="74" s="1"/>
  <c r="M19" i="78"/>
  <c r="C118" i="78" s="1"/>
  <c r="D26" i="6"/>
  <c r="C18" i="4"/>
  <c r="D8" i="6"/>
  <c r="D23" i="6"/>
  <c r="D14" i="6"/>
  <c r="D5" i="6"/>
  <c r="D12" i="6"/>
  <c r="D11" i="6"/>
  <c r="D13" i="6"/>
  <c r="D28" i="6"/>
  <c r="E61" i="40"/>
  <c r="H23" i="6"/>
  <c r="H26" i="6"/>
  <c r="D18" i="71"/>
  <c r="C17" i="71"/>
  <c r="B2" i="34"/>
  <c r="B3" i="34" s="1"/>
  <c r="C7" i="74"/>
  <c r="C8" i="74"/>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19" i="67"/>
  <c r="D10" i="69"/>
  <c r="C20" i="11" l="1"/>
  <c r="C25" i="11" s="1"/>
  <c r="C22" i="11" s="1"/>
  <c r="C26" i="67"/>
  <c r="C23" i="67"/>
  <c r="L19" i="78"/>
  <c r="E33" i="43"/>
  <c r="G33" i="43"/>
  <c r="I33" i="43" s="1"/>
  <c r="E35" i="43"/>
  <c r="G35" i="43"/>
  <c r="I35" i="43" s="1"/>
  <c r="G38" i="43"/>
  <c r="I38" i="43" s="1"/>
  <c r="E38" i="43"/>
  <c r="E36" i="43"/>
  <c r="G36" i="43"/>
  <c r="I36" i="43" s="1"/>
  <c r="H19" i="6"/>
  <c r="L18" i="78"/>
  <c r="E39" i="43"/>
  <c r="C6" i="69"/>
  <c r="C7" i="69" s="1"/>
  <c r="G39" i="43"/>
  <c r="I39" i="43" s="1"/>
  <c r="E29" i="43"/>
  <c r="C26" i="43" s="1"/>
  <c r="C30" i="43"/>
  <c r="E30" i="43" s="1"/>
  <c r="E37" i="43"/>
  <c r="G37" i="43"/>
  <c r="I37" i="43" s="1"/>
  <c r="E34" i="43"/>
  <c r="G34" i="43"/>
  <c r="I34" i="43" s="1"/>
  <c r="H27" i="6"/>
  <c r="D30" i="6"/>
  <c r="D16" i="6"/>
  <c r="R20" i="6"/>
  <c r="R7" i="1" s="1"/>
  <c r="C38" i="68"/>
  <c r="C35" i="68"/>
  <c r="C38" i="11"/>
  <c r="C35" i="11"/>
  <c r="C12" i="12"/>
  <c r="C15" i="12"/>
  <c r="F50" i="69"/>
  <c r="F50" i="68"/>
  <c r="F50" i="11"/>
  <c r="I68" i="39"/>
  <c r="H70" i="39"/>
  <c r="R26" i="6"/>
  <c r="D7" i="74"/>
  <c r="D8" i="74"/>
  <c r="R21" i="6"/>
  <c r="C10" i="68"/>
  <c r="D19" i="68"/>
  <c r="C28" i="11"/>
  <c r="C27" i="11" s="1"/>
  <c r="C31" i="11" s="1"/>
  <c r="C16" i="71"/>
  <c r="T17" i="71"/>
  <c r="D17" i="71"/>
  <c r="U17" i="71" s="1"/>
  <c r="R23" i="6"/>
  <c r="A7" i="51"/>
  <c r="B7" i="72" s="1"/>
  <c r="C4" i="52"/>
  <c r="B45" i="72" s="1"/>
  <c r="A10" i="51"/>
  <c r="B9" i="72" s="1"/>
  <c r="D27" i="6"/>
  <c r="R19" i="6"/>
  <c r="R24" i="6"/>
  <c r="R22" i="6"/>
  <c r="R25" i="6"/>
  <c r="S19" i="6"/>
  <c r="S27" i="6" s="1"/>
  <c r="I27" i="6"/>
  <c r="C10" i="69"/>
  <c r="D19" i="69"/>
  <c r="I63" i="40"/>
  <c r="H65" i="40"/>
  <c r="I58" i="21"/>
  <c r="J58" i="21" s="1"/>
  <c r="K58" i="21" s="1"/>
  <c r="L58" i="21" s="1"/>
  <c r="M58" i="21" s="1"/>
  <c r="N58" i="21" s="1"/>
  <c r="O58" i="21" s="1"/>
  <c r="H7" i="21" s="1"/>
  <c r="J48" i="35"/>
  <c r="Q48" i="15"/>
  <c r="L46" i="15"/>
  <c r="C64" i="15"/>
  <c r="C59" i="15"/>
  <c r="C56" i="15"/>
  <c r="C65" i="15" s="1"/>
  <c r="Q70" i="15"/>
  <c r="C37" i="15"/>
  <c r="C30" i="15" s="1"/>
  <c r="C39" i="15" s="1"/>
  <c r="C75" i="15"/>
  <c r="J22" i="15"/>
  <c r="J13" i="15"/>
  <c r="J23" i="15" s="1"/>
  <c r="L51" i="15"/>
  <c r="C29" i="67" l="1"/>
  <c r="F7" i="21"/>
  <c r="AA7" i="21" s="1"/>
  <c r="R48" i="21" s="1"/>
  <c r="D31" i="6"/>
  <c r="I5" i="6" s="1"/>
  <c r="C27" i="43"/>
  <c r="B2" i="43"/>
  <c r="J7" i="21"/>
  <c r="W7" i="21" s="1"/>
  <c r="C8" i="69"/>
  <c r="C5" i="69" s="1"/>
  <c r="C23" i="69" s="1"/>
  <c r="B29" i="1"/>
  <c r="R27" i="6"/>
  <c r="R6" i="1"/>
  <c r="C16" i="12"/>
  <c r="C33" i="11"/>
  <c r="I70" i="39"/>
  <c r="J68" i="39"/>
  <c r="C19" i="69"/>
  <c r="C24" i="69" s="1"/>
  <c r="D37" i="69"/>
  <c r="C37" i="69" s="1"/>
  <c r="C33" i="69" s="1"/>
  <c r="I6" i="6"/>
  <c r="C19" i="68"/>
  <c r="D37" i="68"/>
  <c r="C37" i="68" s="1"/>
  <c r="C33" i="68" s="1"/>
  <c r="C15" i="71"/>
  <c r="D16" i="71"/>
  <c r="U7" i="21"/>
  <c r="AB7" i="21"/>
  <c r="T48" i="21" s="1"/>
  <c r="G48" i="21" s="1"/>
  <c r="S7" i="21"/>
  <c r="J63" i="40"/>
  <c r="I65" i="40"/>
  <c r="K48" i="35"/>
  <c r="L48" i="35" s="1"/>
  <c r="M48" i="35" s="1"/>
  <c r="N48" i="35" s="1"/>
  <c r="O48" i="35" s="1"/>
  <c r="H7" i="35" s="1"/>
  <c r="C58" i="15"/>
  <c r="C67" i="15" s="1"/>
  <c r="C68" i="15" s="1"/>
  <c r="C71" i="15" s="1"/>
  <c r="J16" i="15"/>
  <c r="J25" i="15" s="1"/>
  <c r="C80" i="15"/>
  <c r="C79" i="15" s="1"/>
  <c r="Q69" i="15"/>
  <c r="Q68" i="15" s="1"/>
  <c r="C40" i="15"/>
  <c r="F35" i="67"/>
  <c r="B6" i="76"/>
  <c r="M21" i="67"/>
  <c r="E6" i="76"/>
  <c r="Q49" i="67" l="1"/>
  <c r="C13" i="67"/>
  <c r="F35" i="78" s="1"/>
  <c r="G922" i="79" s="1"/>
  <c r="F922" i="79" s="1"/>
  <c r="C57" i="67"/>
  <c r="J59" i="67"/>
  <c r="J60" i="67" s="1"/>
  <c r="Q48" i="67" s="1"/>
  <c r="C36" i="67"/>
  <c r="J14" i="67"/>
  <c r="B2" i="76"/>
  <c r="E2" i="76"/>
  <c r="AC7" i="21"/>
  <c r="V48" i="21" s="1"/>
  <c r="I48" i="21" s="1"/>
  <c r="B3" i="43"/>
  <c r="F63" i="67"/>
  <c r="C62" i="67" s="1"/>
  <c r="C34" i="67"/>
  <c r="C31" i="67" s="1"/>
  <c r="J20" i="67"/>
  <c r="J17" i="67" s="1"/>
  <c r="R16" i="1"/>
  <c r="J7" i="35"/>
  <c r="AC7" i="35" s="1"/>
  <c r="V38" i="35" s="1"/>
  <c r="I38" i="35" s="1"/>
  <c r="C8" i="68"/>
  <c r="C5" i="68" s="1"/>
  <c r="C23" i="68" s="1"/>
  <c r="C18" i="12"/>
  <c r="C21" i="12" s="1"/>
  <c r="C20" i="69"/>
  <c r="C25" i="69" s="1"/>
  <c r="C22" i="69" s="1"/>
  <c r="C42" i="11"/>
  <c r="C39" i="11"/>
  <c r="C43" i="11" s="1"/>
  <c r="J70" i="39"/>
  <c r="K68" i="39"/>
  <c r="C39" i="68"/>
  <c r="C42" i="68"/>
  <c r="C39" i="69"/>
  <c r="C43" i="69" s="1"/>
  <c r="C42" i="69"/>
  <c r="C14" i="71"/>
  <c r="D15" i="71"/>
  <c r="C24" i="68"/>
  <c r="J65" i="40"/>
  <c r="K63" i="40"/>
  <c r="I52" i="21"/>
  <c r="J52" i="21" s="1"/>
  <c r="U7" i="35"/>
  <c r="AB7" i="35"/>
  <c r="T38" i="35" s="1"/>
  <c r="G38" i="35" s="1"/>
  <c r="R49" i="21"/>
  <c r="E48" i="21"/>
  <c r="G52" i="21"/>
  <c r="H52" i="21" s="1"/>
  <c r="G53" i="21"/>
  <c r="H53" i="21" s="1"/>
  <c r="F7" i="35"/>
  <c r="Q67" i="15"/>
  <c r="L57" i="15"/>
  <c r="L60" i="15" s="1"/>
  <c r="B2" i="15"/>
  <c r="B3" i="15" s="1"/>
  <c r="Q56" i="15"/>
  <c r="Q65" i="15"/>
  <c r="C43" i="15"/>
  <c r="Q47" i="15"/>
  <c r="Q53" i="15" s="1"/>
  <c r="C83" i="15"/>
  <c r="C82" i="15" s="1"/>
  <c r="C46" i="15"/>
  <c r="B3" i="76" l="1"/>
  <c r="J22" i="67"/>
  <c r="J13" i="67"/>
  <c r="J23" i="67" s="1"/>
  <c r="C75" i="67"/>
  <c r="C37" i="67"/>
  <c r="C30" i="67" s="1"/>
  <c r="C39" i="67" s="1"/>
  <c r="C56" i="67"/>
  <c r="C65" i="67" s="1"/>
  <c r="Q70" i="67"/>
  <c r="C61" i="67"/>
  <c r="C59" i="67" s="1"/>
  <c r="C64" i="67"/>
  <c r="L57" i="67"/>
  <c r="L60" i="67" s="1"/>
  <c r="L46" i="67" s="1"/>
  <c r="W7" i="35"/>
  <c r="C20" i="68"/>
  <c r="C25" i="68" s="1"/>
  <c r="C22" i="68" s="1"/>
  <c r="C28" i="69"/>
  <c r="C27" i="69" s="1"/>
  <c r="C31" i="69" s="1"/>
  <c r="C22" i="12"/>
  <c r="C30" i="12" s="1"/>
  <c r="C28" i="12" s="1"/>
  <c r="C41" i="11"/>
  <c r="C46" i="11"/>
  <c r="C45" i="11" s="1"/>
  <c r="L68" i="39"/>
  <c r="K70" i="39"/>
  <c r="C41" i="69"/>
  <c r="C46" i="68"/>
  <c r="C45" i="68" s="1"/>
  <c r="C43" i="68"/>
  <c r="C41" i="68" s="1"/>
  <c r="D14" i="71"/>
  <c r="C13" i="7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J16" i="67" l="1"/>
  <c r="J25" i="67" s="1"/>
  <c r="J26" i="67" s="1"/>
  <c r="J29" i="67" s="1"/>
  <c r="C58" i="67"/>
  <c r="C67" i="67" s="1"/>
  <c r="C68" i="67" s="1"/>
  <c r="C71" i="67" s="1"/>
  <c r="Q67" i="67"/>
  <c r="Q69" i="67"/>
  <c r="Q68" i="67" s="1"/>
  <c r="C40" i="67"/>
  <c r="C43" i="67" s="1"/>
  <c r="C80" i="67"/>
  <c r="C79" i="67" s="1"/>
  <c r="Q57" i="67"/>
  <c r="Q66" i="67"/>
  <c r="C28" i="68"/>
  <c r="C27" i="68" s="1"/>
  <c r="C31" i="68" s="1"/>
  <c r="C27" i="12"/>
  <c r="C25" i="12" s="1"/>
  <c r="C32" i="12" s="1"/>
  <c r="B2" i="12" s="1"/>
  <c r="B3" i="12" s="1"/>
  <c r="C49" i="11"/>
  <c r="C51" i="11" s="1"/>
  <c r="C52" i="11" s="1"/>
  <c r="B2" i="11" s="1"/>
  <c r="B3" i="11" s="1"/>
  <c r="M68" i="39"/>
  <c r="L70" i="39"/>
  <c r="C49" i="69"/>
  <c r="C51" i="69" s="1"/>
  <c r="C52" i="69" s="1"/>
  <c r="B2" i="69" s="1"/>
  <c r="C49" i="68"/>
  <c r="C51" i="68" s="1"/>
  <c r="C12" i="71"/>
  <c r="T13" i="71"/>
  <c r="D13" i="71"/>
  <c r="U13" i="71" s="1"/>
  <c r="R39" i="35"/>
  <c r="E38" i="35"/>
  <c r="M63" i="40"/>
  <c r="L65" i="40"/>
  <c r="B3" i="69"/>
  <c r="Q56" i="67" l="1"/>
  <c r="Q62" i="67" s="1"/>
  <c r="Q65" i="67"/>
  <c r="Q75" i="67" s="1"/>
  <c r="C83" i="67"/>
  <c r="C82" i="67" s="1"/>
  <c r="D2" i="67"/>
  <c r="B2" i="67" s="1"/>
  <c r="Q47" i="67"/>
  <c r="Q53" i="67" s="1"/>
  <c r="C45" i="67"/>
  <c r="C46" i="67" s="1"/>
  <c r="C52" i="68"/>
  <c r="B2" i="68" s="1"/>
  <c r="C56" i="11"/>
  <c r="C57" i="11" s="1"/>
  <c r="M70" i="39"/>
  <c r="N68" i="39"/>
  <c r="C11" i="71"/>
  <c r="D12" i="71"/>
  <c r="C57" i="69"/>
  <c r="C56" i="69" s="1"/>
  <c r="C39" i="35"/>
  <c r="C38" i="35"/>
  <c r="N63" i="40"/>
  <c r="M65" i="40"/>
  <c r="E43" i="35"/>
  <c r="F43" i="35" s="1"/>
  <c r="E42" i="35"/>
  <c r="F42" i="35" s="1"/>
  <c r="I43" i="35"/>
  <c r="J43" i="35" s="1"/>
  <c r="D19" i="78"/>
  <c r="AO6" i="1"/>
  <c r="D2" i="35"/>
  <c r="B3" i="68" l="1"/>
  <c r="B3" i="67"/>
  <c r="B2" i="35"/>
  <c r="B3" i="35" s="1"/>
  <c r="D102" i="78"/>
  <c r="D21" i="78"/>
  <c r="B6" i="70"/>
  <c r="B2" i="70" s="1"/>
  <c r="B3" i="70" s="1"/>
  <c r="C57" i="68"/>
  <c r="C56" i="68" s="1"/>
  <c r="O68" i="39"/>
  <c r="O70" i="39" s="1"/>
  <c r="N70" i="39"/>
  <c r="F7" i="39" s="1"/>
  <c r="J7" i="39"/>
  <c r="H7" i="39"/>
  <c r="D11" i="71"/>
  <c r="C10" i="71"/>
  <c r="O63" i="40"/>
  <c r="O65" i="40" s="1"/>
  <c r="N65" i="40"/>
  <c r="C19" i="78"/>
  <c r="C20" i="78"/>
  <c r="D20" i="78"/>
  <c r="D103" i="78" l="1"/>
  <c r="C21" i="78"/>
  <c r="D22" i="78"/>
  <c r="C102" i="78"/>
  <c r="G19" i="78"/>
  <c r="C103" i="78"/>
  <c r="G20" i="78"/>
  <c r="U7" i="39"/>
  <c r="AB7" i="39"/>
  <c r="T47" i="39" s="1"/>
  <c r="G47" i="39" s="1"/>
  <c r="S7" i="39"/>
  <c r="AA7" i="39"/>
  <c r="R47" i="39" s="1"/>
  <c r="W7" i="39"/>
  <c r="AC7" i="39"/>
  <c r="V47" i="39" s="1"/>
  <c r="I47" i="39" s="1"/>
  <c r="D10" i="71"/>
  <c r="C9" i="71"/>
  <c r="J7" i="40"/>
  <c r="F7" i="40"/>
  <c r="H7" i="40"/>
  <c r="G21" i="78" l="1"/>
  <c r="C32" i="78"/>
  <c r="F34" i="78" s="1"/>
  <c r="R24" i="31"/>
  <c r="F2" i="84" s="1"/>
  <c r="I51" i="39"/>
  <c r="J51" i="39" s="1"/>
  <c r="E47" i="39"/>
  <c r="R48" i="39"/>
  <c r="G51" i="39"/>
  <c r="H51" i="39" s="1"/>
  <c r="G52" i="39"/>
  <c r="H52" i="39" s="1"/>
  <c r="C8" i="71"/>
  <c r="T9" i="71"/>
  <c r="D9" i="71"/>
  <c r="U9" i="71" s="1"/>
  <c r="U7" i="40"/>
  <c r="AB7" i="40"/>
  <c r="T42" i="40" s="1"/>
  <c r="G42" i="40" s="1"/>
  <c r="AA7" i="40"/>
  <c r="R42" i="40" s="1"/>
  <c r="S7" i="40"/>
  <c r="AC7" i="40"/>
  <c r="V42" i="40" s="1"/>
  <c r="I42" i="40" s="1"/>
  <c r="W7" i="40"/>
  <c r="C35" i="78" l="1"/>
  <c r="D35" i="78" s="1"/>
  <c r="R531" i="31"/>
  <c r="F509" i="84" s="1"/>
  <c r="R539" i="31"/>
  <c r="F517" i="84" s="1"/>
  <c r="R547" i="31"/>
  <c r="F525" i="84" s="1"/>
  <c r="R555" i="31"/>
  <c r="F533" i="84" s="1"/>
  <c r="R563" i="31"/>
  <c r="F541" i="84" s="1"/>
  <c r="R571" i="31"/>
  <c r="F549" i="84" s="1"/>
  <c r="R579" i="31"/>
  <c r="F557" i="84" s="1"/>
  <c r="R587" i="31"/>
  <c r="F565" i="84" s="1"/>
  <c r="R595" i="31"/>
  <c r="F573" i="84" s="1"/>
  <c r="R603" i="31"/>
  <c r="F581" i="84" s="1"/>
  <c r="R611" i="31"/>
  <c r="F589" i="84" s="1"/>
  <c r="R525" i="31"/>
  <c r="F503" i="84" s="1"/>
  <c r="R529" i="31"/>
  <c r="F507" i="84" s="1"/>
  <c r="R537" i="31"/>
  <c r="F515" i="84" s="1"/>
  <c r="R545" i="31"/>
  <c r="F523" i="84" s="1"/>
  <c r="R553" i="31"/>
  <c r="F531" i="84" s="1"/>
  <c r="R561" i="31"/>
  <c r="F539" i="84" s="1"/>
  <c r="R569" i="31"/>
  <c r="F547" i="84" s="1"/>
  <c r="R577" i="31"/>
  <c r="F555" i="84" s="1"/>
  <c r="R585" i="31"/>
  <c r="F563" i="84" s="1"/>
  <c r="R593" i="31"/>
  <c r="F571" i="84" s="1"/>
  <c r="R601" i="31"/>
  <c r="F579" i="84" s="1"/>
  <c r="R609" i="31"/>
  <c r="F587" i="84" s="1"/>
  <c r="R617" i="31"/>
  <c r="F595" i="84" s="1"/>
  <c r="R625" i="31"/>
  <c r="F603" i="84" s="1"/>
  <c r="R532" i="31"/>
  <c r="F510" i="84" s="1"/>
  <c r="R540" i="31"/>
  <c r="F518" i="84" s="1"/>
  <c r="R548" i="31"/>
  <c r="F526" i="84" s="1"/>
  <c r="R556" i="31"/>
  <c r="F534" i="84" s="1"/>
  <c r="R564" i="31"/>
  <c r="F542" i="84" s="1"/>
  <c r="R572" i="31"/>
  <c r="F550" i="84" s="1"/>
  <c r="R580" i="31"/>
  <c r="F558" i="84" s="1"/>
  <c r="R588" i="31"/>
  <c r="F566" i="84" s="1"/>
  <c r="R596" i="31"/>
  <c r="F574" i="84" s="1"/>
  <c r="R604" i="31"/>
  <c r="F582" i="84" s="1"/>
  <c r="R612" i="31"/>
  <c r="F590" i="84" s="1"/>
  <c r="R526" i="31"/>
  <c r="F504" i="84" s="1"/>
  <c r="R530" i="31"/>
  <c r="F508" i="84" s="1"/>
  <c r="R538" i="31"/>
  <c r="F516" i="84" s="1"/>
  <c r="R546" i="31"/>
  <c r="F524" i="84" s="1"/>
  <c r="R554" i="31"/>
  <c r="F532" i="84" s="1"/>
  <c r="R562" i="31"/>
  <c r="F540" i="84" s="1"/>
  <c r="R570" i="31"/>
  <c r="F548" i="84" s="1"/>
  <c r="R578" i="31"/>
  <c r="F556" i="84" s="1"/>
  <c r="R586" i="31"/>
  <c r="F564" i="84" s="1"/>
  <c r="R594" i="31"/>
  <c r="F572" i="84" s="1"/>
  <c r="R602" i="31"/>
  <c r="F580" i="84" s="1"/>
  <c r="R610" i="31"/>
  <c r="F588" i="84" s="1"/>
  <c r="R618" i="31"/>
  <c r="F596" i="84" s="1"/>
  <c r="R626" i="31"/>
  <c r="F604" i="84" s="1"/>
  <c r="R634" i="31"/>
  <c r="F612" i="84" s="1"/>
  <c r="R621" i="31"/>
  <c r="F599" i="84" s="1"/>
  <c r="R646" i="31"/>
  <c r="F624" i="84" s="1"/>
  <c r="R654" i="31"/>
  <c r="F632" i="84" s="1"/>
  <c r="R662" i="31"/>
  <c r="F640" i="84" s="1"/>
  <c r="R670" i="31"/>
  <c r="F648" i="84" s="1"/>
  <c r="R678" i="31"/>
  <c r="F656" i="84" s="1"/>
  <c r="R686" i="31"/>
  <c r="F664" i="84" s="1"/>
  <c r="R694" i="31"/>
  <c r="F672" i="84" s="1"/>
  <c r="R702" i="31"/>
  <c r="F680" i="84" s="1"/>
  <c r="R710" i="31"/>
  <c r="F688" i="84" s="1"/>
  <c r="R718" i="31"/>
  <c r="F696" i="84" s="1"/>
  <c r="R726" i="31"/>
  <c r="F704" i="84" s="1"/>
  <c r="R535" i="31"/>
  <c r="F513" i="84" s="1"/>
  <c r="R543" i="31"/>
  <c r="F521" i="84" s="1"/>
  <c r="R551" i="31"/>
  <c r="F529" i="84" s="1"/>
  <c r="R559" i="31"/>
  <c r="F537" i="84" s="1"/>
  <c r="R567" i="31"/>
  <c r="F545" i="84" s="1"/>
  <c r="R575" i="31"/>
  <c r="F553" i="84" s="1"/>
  <c r="R583" i="31"/>
  <c r="F561" i="84" s="1"/>
  <c r="R591" i="31"/>
  <c r="F569" i="84" s="1"/>
  <c r="R599" i="31"/>
  <c r="F577" i="84" s="1"/>
  <c r="R607" i="31"/>
  <c r="F585" i="84" s="1"/>
  <c r="R615" i="31"/>
  <c r="F593" i="84" s="1"/>
  <c r="R527" i="31"/>
  <c r="F505" i="84" s="1"/>
  <c r="R533" i="31"/>
  <c r="F511" i="84" s="1"/>
  <c r="R541" i="31"/>
  <c r="F519" i="84" s="1"/>
  <c r="R549" i="31"/>
  <c r="F527" i="84" s="1"/>
  <c r="R557" i="31"/>
  <c r="F535" i="84" s="1"/>
  <c r="R565" i="31"/>
  <c r="F543" i="84" s="1"/>
  <c r="R573" i="31"/>
  <c r="F551" i="84" s="1"/>
  <c r="R581" i="31"/>
  <c r="F559" i="84" s="1"/>
  <c r="R589" i="31"/>
  <c r="F567" i="84" s="1"/>
  <c r="R597" i="31"/>
  <c r="F575" i="84" s="1"/>
  <c r="R605" i="31"/>
  <c r="F583" i="84" s="1"/>
  <c r="R613" i="31"/>
  <c r="F591" i="84" s="1"/>
  <c r="R619" i="31"/>
  <c r="F597" i="84" s="1"/>
  <c r="R627" i="31"/>
  <c r="F605" i="84" s="1"/>
  <c r="R536" i="31"/>
  <c r="F514" i="84" s="1"/>
  <c r="R544" i="31"/>
  <c r="F522" i="84" s="1"/>
  <c r="R552" i="31"/>
  <c r="F530" i="84" s="1"/>
  <c r="R560" i="31"/>
  <c r="F538" i="84" s="1"/>
  <c r="R568" i="31"/>
  <c r="F546" i="84" s="1"/>
  <c r="R576" i="31"/>
  <c r="F554" i="84" s="1"/>
  <c r="R584" i="31"/>
  <c r="F562" i="84" s="1"/>
  <c r="R592" i="31"/>
  <c r="F570" i="84" s="1"/>
  <c r="R600" i="31"/>
  <c r="F578" i="84" s="1"/>
  <c r="R608" i="31"/>
  <c r="F586" i="84" s="1"/>
  <c r="R616" i="31"/>
  <c r="F594" i="84" s="1"/>
  <c r="R528" i="31"/>
  <c r="F506" i="84" s="1"/>
  <c r="R534" i="31"/>
  <c r="F512" i="84" s="1"/>
  <c r="R542" i="31"/>
  <c r="F520" i="84" s="1"/>
  <c r="R550" i="31"/>
  <c r="F528" i="84" s="1"/>
  <c r="R558" i="31"/>
  <c r="F536" i="84" s="1"/>
  <c r="R566" i="31"/>
  <c r="F544" i="84" s="1"/>
  <c r="R574" i="31"/>
  <c r="F552" i="84" s="1"/>
  <c r="R582" i="31"/>
  <c r="F560" i="84" s="1"/>
  <c r="R590" i="31"/>
  <c r="F568" i="84" s="1"/>
  <c r="R598" i="31"/>
  <c r="F576" i="84" s="1"/>
  <c r="R606" i="31"/>
  <c r="F584" i="84" s="1"/>
  <c r="R614" i="31"/>
  <c r="F592" i="84" s="1"/>
  <c r="R624" i="31"/>
  <c r="F602" i="84" s="1"/>
  <c r="R632" i="31"/>
  <c r="F610" i="84" s="1"/>
  <c r="R636" i="31"/>
  <c r="F614" i="84" s="1"/>
  <c r="R623" i="31"/>
  <c r="F601" i="84" s="1"/>
  <c r="R648" i="31"/>
  <c r="F626" i="84" s="1"/>
  <c r="R656" i="31"/>
  <c r="F634" i="84" s="1"/>
  <c r="R664" i="31"/>
  <c r="F642" i="84" s="1"/>
  <c r="R672" i="31"/>
  <c r="F650" i="84" s="1"/>
  <c r="R680" i="31"/>
  <c r="F658" i="84" s="1"/>
  <c r="R688" i="31"/>
  <c r="F666" i="84" s="1"/>
  <c r="R696" i="31"/>
  <c r="F674" i="84" s="1"/>
  <c r="R704" i="31"/>
  <c r="F682" i="84" s="1"/>
  <c r="R712" i="31"/>
  <c r="F690" i="84" s="1"/>
  <c r="R720" i="31"/>
  <c r="F698" i="84" s="1"/>
  <c r="R728" i="31"/>
  <c r="F706" i="84" s="1"/>
  <c r="R736" i="31"/>
  <c r="F714" i="84" s="1"/>
  <c r="R744" i="31"/>
  <c r="F722" i="84" s="1"/>
  <c r="R752" i="31"/>
  <c r="F730" i="84" s="1"/>
  <c r="R760" i="31"/>
  <c r="F738" i="84" s="1"/>
  <c r="R633" i="31"/>
  <c r="F611" i="84" s="1"/>
  <c r="R645" i="31"/>
  <c r="F623" i="84" s="1"/>
  <c r="R661" i="31"/>
  <c r="F639" i="84" s="1"/>
  <c r="R677" i="31"/>
  <c r="F655" i="84" s="1"/>
  <c r="R693" i="31"/>
  <c r="F671" i="84" s="1"/>
  <c r="R709" i="31"/>
  <c r="F687" i="84" s="1"/>
  <c r="R725" i="31"/>
  <c r="F703" i="84" s="1"/>
  <c r="R741" i="31"/>
  <c r="F719" i="84" s="1"/>
  <c r="R757" i="31"/>
  <c r="F735" i="84" s="1"/>
  <c r="R768" i="31"/>
  <c r="F746" i="84" s="1"/>
  <c r="R631" i="31"/>
  <c r="F609" i="84" s="1"/>
  <c r="R640" i="31"/>
  <c r="F618" i="84" s="1"/>
  <c r="R644" i="31"/>
  <c r="F622" i="84" s="1"/>
  <c r="R652" i="31"/>
  <c r="F630" i="84" s="1"/>
  <c r="R660" i="31"/>
  <c r="F638" i="84" s="1"/>
  <c r="R668" i="31"/>
  <c r="F646" i="84" s="1"/>
  <c r="R676" i="31"/>
  <c r="F654" i="84" s="1"/>
  <c r="R684" i="31"/>
  <c r="F662" i="84" s="1"/>
  <c r="R734" i="31"/>
  <c r="F712" i="84" s="1"/>
  <c r="R750" i="31"/>
  <c r="F728" i="84" s="1"/>
  <c r="R766" i="31"/>
  <c r="F744" i="84" s="1"/>
  <c r="R653" i="31"/>
  <c r="F631" i="84" s="1"/>
  <c r="R685" i="31"/>
  <c r="F663" i="84" s="1"/>
  <c r="R717" i="31"/>
  <c r="F695" i="84" s="1"/>
  <c r="R749" i="31"/>
  <c r="F727" i="84" s="1"/>
  <c r="R629" i="31"/>
  <c r="F607" i="84" s="1"/>
  <c r="R642" i="31"/>
  <c r="F620" i="84" s="1"/>
  <c r="R658" i="31"/>
  <c r="F636" i="84" s="1"/>
  <c r="R674" i="31"/>
  <c r="F652" i="84" s="1"/>
  <c r="R690" i="31"/>
  <c r="F668" i="84" s="1"/>
  <c r="R698" i="31"/>
  <c r="F676" i="84" s="1"/>
  <c r="R706" i="31"/>
  <c r="F684" i="84" s="1"/>
  <c r="R714" i="31"/>
  <c r="F692" i="84" s="1"/>
  <c r="R722" i="31"/>
  <c r="F700" i="84" s="1"/>
  <c r="R730" i="31"/>
  <c r="F708" i="84" s="1"/>
  <c r="R738" i="31"/>
  <c r="F716" i="84" s="1"/>
  <c r="R746" i="31"/>
  <c r="F724" i="84" s="1"/>
  <c r="R754" i="31"/>
  <c r="F732" i="84" s="1"/>
  <c r="R762" i="31"/>
  <c r="F740" i="84" s="1"/>
  <c r="R770" i="31"/>
  <c r="F748" i="84" s="1"/>
  <c r="R778" i="31"/>
  <c r="F756" i="84" s="1"/>
  <c r="R786" i="31"/>
  <c r="F764" i="84" s="1"/>
  <c r="R794" i="31"/>
  <c r="F772" i="84" s="1"/>
  <c r="R782" i="31"/>
  <c r="F760" i="84" s="1"/>
  <c r="R798" i="31"/>
  <c r="F776" i="84" s="1"/>
  <c r="R802" i="31"/>
  <c r="F780" i="84" s="1"/>
  <c r="R810" i="31"/>
  <c r="F788" i="84" s="1"/>
  <c r="R818" i="31"/>
  <c r="F796" i="84" s="1"/>
  <c r="R828" i="31"/>
  <c r="F806" i="84" s="1"/>
  <c r="R844" i="31"/>
  <c r="F822" i="84" s="1"/>
  <c r="R866" i="31"/>
  <c r="F844" i="84" s="1"/>
  <c r="R884" i="31"/>
  <c r="F862" i="84" s="1"/>
  <c r="R900" i="31"/>
  <c r="F878" i="84" s="1"/>
  <c r="R776" i="31"/>
  <c r="F754" i="84" s="1"/>
  <c r="R635" i="31"/>
  <c r="F613" i="84" s="1"/>
  <c r="R647" i="31"/>
  <c r="F625" i="84" s="1"/>
  <c r="R663" i="31"/>
  <c r="F641" i="84" s="1"/>
  <c r="R679" i="31"/>
  <c r="F657" i="84" s="1"/>
  <c r="R695" i="31"/>
  <c r="F673" i="84" s="1"/>
  <c r="R711" i="31"/>
  <c r="F689" i="84" s="1"/>
  <c r="R727" i="31"/>
  <c r="F705" i="84" s="1"/>
  <c r="R743" i="31"/>
  <c r="F721" i="84" s="1"/>
  <c r="R759" i="31"/>
  <c r="F737" i="84" s="1"/>
  <c r="R628" i="31"/>
  <c r="F606" i="84" s="1"/>
  <c r="R637" i="31"/>
  <c r="F615" i="84" s="1"/>
  <c r="R641" i="31"/>
  <c r="F619" i="84" s="1"/>
  <c r="R649" i="31"/>
  <c r="F627" i="84" s="1"/>
  <c r="R657" i="31"/>
  <c r="F635" i="84" s="1"/>
  <c r="R665" i="31"/>
  <c r="F643" i="84" s="1"/>
  <c r="R673" i="31"/>
  <c r="F651" i="84" s="1"/>
  <c r="R681" i="31"/>
  <c r="F659" i="84" s="1"/>
  <c r="R689" i="31"/>
  <c r="F667" i="84" s="1"/>
  <c r="R697" i="31"/>
  <c r="F675" i="84" s="1"/>
  <c r="R705" i="31"/>
  <c r="F683" i="84" s="1"/>
  <c r="R713" i="31"/>
  <c r="F691" i="84" s="1"/>
  <c r="R721" i="31"/>
  <c r="F699" i="84" s="1"/>
  <c r="R729" i="31"/>
  <c r="F707" i="84" s="1"/>
  <c r="R737" i="31"/>
  <c r="F715" i="84" s="1"/>
  <c r="R745" i="31"/>
  <c r="F723" i="84" s="1"/>
  <c r="R753" i="31"/>
  <c r="F731" i="84" s="1"/>
  <c r="R761" i="31"/>
  <c r="F739" i="84" s="1"/>
  <c r="R769" i="31"/>
  <c r="F747" i="84" s="1"/>
  <c r="R777" i="31"/>
  <c r="F755" i="84" s="1"/>
  <c r="R785" i="31"/>
  <c r="F763" i="84" s="1"/>
  <c r="R793" i="31"/>
  <c r="F771" i="84" s="1"/>
  <c r="R781" i="31"/>
  <c r="F759" i="84" s="1"/>
  <c r="R797" i="31"/>
  <c r="F775" i="84" s="1"/>
  <c r="R801" i="31"/>
  <c r="F779" i="84" s="1"/>
  <c r="R805" i="31"/>
  <c r="F783" i="84" s="1"/>
  <c r="R813" i="31"/>
  <c r="F791" i="84" s="1"/>
  <c r="R821" i="31"/>
  <c r="F799" i="84" s="1"/>
  <c r="R829" i="31"/>
  <c r="F807" i="84" s="1"/>
  <c r="R841" i="31"/>
  <c r="F819" i="84" s="1"/>
  <c r="R849" i="31"/>
  <c r="F827" i="84" s="1"/>
  <c r="R857" i="31"/>
  <c r="F835" i="84" s="1"/>
  <c r="R865" i="31"/>
  <c r="F843" i="84" s="1"/>
  <c r="R873" i="31"/>
  <c r="F851" i="84" s="1"/>
  <c r="R881" i="31"/>
  <c r="F859" i="84" s="1"/>
  <c r="R889" i="31"/>
  <c r="F867" i="84" s="1"/>
  <c r="R897" i="31"/>
  <c r="F875" i="84" s="1"/>
  <c r="R905" i="31"/>
  <c r="F883" i="84" s="1"/>
  <c r="R913" i="31"/>
  <c r="F891" i="84" s="1"/>
  <c r="R775" i="31"/>
  <c r="F753" i="84" s="1"/>
  <c r="R742" i="31"/>
  <c r="F720" i="84" s="1"/>
  <c r="R758" i="31"/>
  <c r="F736" i="84" s="1"/>
  <c r="R620" i="31"/>
  <c r="F598" i="84" s="1"/>
  <c r="R669" i="31"/>
  <c r="F647" i="84" s="1"/>
  <c r="R701" i="31"/>
  <c r="F679" i="84" s="1"/>
  <c r="R733" i="31"/>
  <c r="F711" i="84" s="1"/>
  <c r="R765" i="31"/>
  <c r="F743" i="84" s="1"/>
  <c r="R638" i="31"/>
  <c r="F616" i="84" s="1"/>
  <c r="R650" i="31"/>
  <c r="F628" i="84" s="1"/>
  <c r="R666" i="31"/>
  <c r="F644" i="84" s="1"/>
  <c r="R682" i="31"/>
  <c r="F660" i="84" s="1"/>
  <c r="R692" i="31"/>
  <c r="F670" i="84" s="1"/>
  <c r="R700" i="31"/>
  <c r="F678" i="84" s="1"/>
  <c r="R708" i="31"/>
  <c r="F686" i="84" s="1"/>
  <c r="R716" i="31"/>
  <c r="F694" i="84" s="1"/>
  <c r="R724" i="31"/>
  <c r="F702" i="84" s="1"/>
  <c r="R732" i="31"/>
  <c r="F710" i="84" s="1"/>
  <c r="R740" i="31"/>
  <c r="F718" i="84" s="1"/>
  <c r="R748" i="31"/>
  <c r="F726" i="84" s="1"/>
  <c r="R756" i="31"/>
  <c r="F734" i="84" s="1"/>
  <c r="R764" i="31"/>
  <c r="F742" i="84" s="1"/>
  <c r="R772" i="31"/>
  <c r="F750" i="84" s="1"/>
  <c r="R780" i="31"/>
  <c r="F758" i="84" s="1"/>
  <c r="R788" i="31"/>
  <c r="F766" i="84" s="1"/>
  <c r="R796" i="31"/>
  <c r="F774" i="84" s="1"/>
  <c r="R784" i="31"/>
  <c r="F762" i="84" s="1"/>
  <c r="R800" i="31"/>
  <c r="F778" i="84" s="1"/>
  <c r="R804" i="31"/>
  <c r="F782" i="84" s="1"/>
  <c r="R812" i="31"/>
  <c r="F790" i="84" s="1"/>
  <c r="R826" i="31"/>
  <c r="F804" i="84" s="1"/>
  <c r="R836" i="31"/>
  <c r="F814" i="84" s="1"/>
  <c r="R858" i="31"/>
  <c r="F836" i="84" s="1"/>
  <c r="R876" i="31"/>
  <c r="F854" i="84" s="1"/>
  <c r="R892" i="31"/>
  <c r="F870" i="84" s="1"/>
  <c r="R923" i="31"/>
  <c r="F901" i="84" s="1"/>
  <c r="R807" i="31"/>
  <c r="F785" i="84" s="1"/>
  <c r="R622" i="31"/>
  <c r="F600" i="84" s="1"/>
  <c r="R655" i="31"/>
  <c r="F633" i="84" s="1"/>
  <c r="R671" i="31"/>
  <c r="F649" i="84" s="1"/>
  <c r="R687" i="31"/>
  <c r="F665" i="84" s="1"/>
  <c r="R703" i="31"/>
  <c r="F681" i="84" s="1"/>
  <c r="R719" i="31"/>
  <c r="F697" i="84" s="1"/>
  <c r="R735" i="31"/>
  <c r="F713" i="84" s="1"/>
  <c r="R751" i="31"/>
  <c r="F729" i="84" s="1"/>
  <c r="R767" i="31"/>
  <c r="F745" i="84" s="1"/>
  <c r="R630" i="31"/>
  <c r="F608" i="84" s="1"/>
  <c r="R639" i="31"/>
  <c r="F617" i="84" s="1"/>
  <c r="R643" i="31"/>
  <c r="F621" i="84" s="1"/>
  <c r="R651" i="31"/>
  <c r="F629" i="84" s="1"/>
  <c r="R659" i="31"/>
  <c r="F637" i="84" s="1"/>
  <c r="R667" i="31"/>
  <c r="F645" i="84" s="1"/>
  <c r="R675" i="31"/>
  <c r="F653" i="84" s="1"/>
  <c r="R683" i="31"/>
  <c r="F661" i="84" s="1"/>
  <c r="R691" i="31"/>
  <c r="F669" i="84" s="1"/>
  <c r="R699" i="31"/>
  <c r="F677" i="84" s="1"/>
  <c r="R707" i="31"/>
  <c r="F685" i="84" s="1"/>
  <c r="R715" i="31"/>
  <c r="F693" i="84" s="1"/>
  <c r="R723" i="31"/>
  <c r="F701" i="84" s="1"/>
  <c r="R731" i="31"/>
  <c r="F709" i="84" s="1"/>
  <c r="R739" i="31"/>
  <c r="F717" i="84" s="1"/>
  <c r="R747" i="31"/>
  <c r="F725" i="84" s="1"/>
  <c r="R755" i="31"/>
  <c r="F733" i="84" s="1"/>
  <c r="R763" i="31"/>
  <c r="F741" i="84" s="1"/>
  <c r="R771" i="31"/>
  <c r="F749" i="84" s="1"/>
  <c r="R779" i="31"/>
  <c r="F757" i="84" s="1"/>
  <c r="R787" i="31"/>
  <c r="F765" i="84" s="1"/>
  <c r="R795" i="31"/>
  <c r="F773" i="84" s="1"/>
  <c r="R783" i="31"/>
  <c r="F761" i="84" s="1"/>
  <c r="R799" i="31"/>
  <c r="F777" i="84" s="1"/>
  <c r="R803" i="31"/>
  <c r="F781" i="84" s="1"/>
  <c r="R811" i="31"/>
  <c r="F789" i="84" s="1"/>
  <c r="R819" i="31"/>
  <c r="F797" i="84" s="1"/>
  <c r="R827" i="31"/>
  <c r="F805" i="84" s="1"/>
  <c r="R835" i="31"/>
  <c r="F813" i="84" s="1"/>
  <c r="R843" i="31"/>
  <c r="F821" i="84" s="1"/>
  <c r="R851" i="31"/>
  <c r="F829" i="84" s="1"/>
  <c r="R859" i="31"/>
  <c r="F837" i="84" s="1"/>
  <c r="R867" i="31"/>
  <c r="F845" i="84" s="1"/>
  <c r="R875" i="31"/>
  <c r="F853" i="84" s="1"/>
  <c r="R883" i="31"/>
  <c r="F861" i="84" s="1"/>
  <c r="R891" i="31"/>
  <c r="F869" i="84" s="1"/>
  <c r="R899" i="31"/>
  <c r="F877" i="84" s="1"/>
  <c r="R907" i="31"/>
  <c r="F885" i="84" s="1"/>
  <c r="R773" i="31"/>
  <c r="F751" i="84" s="1"/>
  <c r="R789" i="31"/>
  <c r="F767" i="84" s="1"/>
  <c r="R806" i="31"/>
  <c r="F784" i="84" s="1"/>
  <c r="R814" i="31"/>
  <c r="F792" i="84" s="1"/>
  <c r="R822" i="31"/>
  <c r="F800" i="84" s="1"/>
  <c r="R830" i="31"/>
  <c r="F808" i="84" s="1"/>
  <c r="R837" i="31"/>
  <c r="F815" i="84" s="1"/>
  <c r="R845" i="31"/>
  <c r="F823" i="84" s="1"/>
  <c r="R853" i="31"/>
  <c r="F831" i="84" s="1"/>
  <c r="R861" i="31"/>
  <c r="F839" i="84" s="1"/>
  <c r="R869" i="31"/>
  <c r="F847" i="84" s="1"/>
  <c r="R877" i="31"/>
  <c r="F855" i="84" s="1"/>
  <c r="R885" i="31"/>
  <c r="F863" i="84" s="1"/>
  <c r="R893" i="31"/>
  <c r="F871" i="84" s="1"/>
  <c r="R901" i="31"/>
  <c r="F879" i="84" s="1"/>
  <c r="R909" i="31"/>
  <c r="F887" i="84" s="1"/>
  <c r="R915" i="31"/>
  <c r="F893" i="84" s="1"/>
  <c r="R920" i="31"/>
  <c r="F898" i="84" s="1"/>
  <c r="R917" i="31"/>
  <c r="F895" i="84" s="1"/>
  <c r="R834" i="31"/>
  <c r="F812" i="84" s="1"/>
  <c r="R850" i="31"/>
  <c r="F828" i="84" s="1"/>
  <c r="R860" i="31"/>
  <c r="F838" i="84" s="1"/>
  <c r="R874" i="31"/>
  <c r="F852" i="84" s="1"/>
  <c r="R890" i="31"/>
  <c r="F868" i="84" s="1"/>
  <c r="R906" i="31"/>
  <c r="F884" i="84" s="1"/>
  <c r="R774" i="31"/>
  <c r="F752" i="84" s="1"/>
  <c r="R792" i="31"/>
  <c r="F770" i="84" s="1"/>
  <c r="R817" i="31"/>
  <c r="F795" i="84" s="1"/>
  <c r="R833" i="31"/>
  <c r="F811" i="84" s="1"/>
  <c r="R791" i="31"/>
  <c r="F769" i="84" s="1"/>
  <c r="R816" i="31"/>
  <c r="F794" i="84" s="1"/>
  <c r="R832" i="31"/>
  <c r="F810" i="84" s="1"/>
  <c r="R847" i="31"/>
  <c r="F825" i="84" s="1"/>
  <c r="R863" i="31"/>
  <c r="F841" i="84" s="1"/>
  <c r="R879" i="31"/>
  <c r="F857" i="84" s="1"/>
  <c r="R895" i="31"/>
  <c r="F873" i="84" s="1"/>
  <c r="R911" i="31"/>
  <c r="F889" i="84" s="1"/>
  <c r="R914" i="31"/>
  <c r="F892" i="84" s="1"/>
  <c r="R842" i="31"/>
  <c r="F820" i="84" s="1"/>
  <c r="R868" i="31"/>
  <c r="F846" i="84" s="1"/>
  <c r="R898" i="31"/>
  <c r="F876" i="84" s="1"/>
  <c r="R790" i="31"/>
  <c r="F768" i="84" s="1"/>
  <c r="R825" i="31"/>
  <c r="F803" i="84" s="1"/>
  <c r="R848" i="31"/>
  <c r="F826" i="84" s="1"/>
  <c r="R864" i="31"/>
  <c r="F842" i="84" s="1"/>
  <c r="R880" i="31"/>
  <c r="F858" i="84" s="1"/>
  <c r="R896" i="31"/>
  <c r="F874" i="84" s="1"/>
  <c r="R912" i="31"/>
  <c r="F890" i="84" s="1"/>
  <c r="R922" i="31"/>
  <c r="F900" i="84" s="1"/>
  <c r="R823" i="31"/>
  <c r="F801" i="84" s="1"/>
  <c r="R838" i="31"/>
  <c r="F816" i="84" s="1"/>
  <c r="R854" i="31"/>
  <c r="F832" i="84" s="1"/>
  <c r="R870" i="31"/>
  <c r="F848" i="84" s="1"/>
  <c r="R886" i="31"/>
  <c r="F864" i="84" s="1"/>
  <c r="R902" i="31"/>
  <c r="F880" i="84" s="1"/>
  <c r="R916" i="31"/>
  <c r="F894" i="84" s="1"/>
  <c r="S24" i="31"/>
  <c r="G2" i="84" s="1"/>
  <c r="R519" i="31"/>
  <c r="F497" i="84" s="1"/>
  <c r="R511" i="31"/>
  <c r="F489" i="84" s="1"/>
  <c r="R503" i="31"/>
  <c r="F481" i="84" s="1"/>
  <c r="R495" i="31"/>
  <c r="F473" i="84" s="1"/>
  <c r="R487" i="31"/>
  <c r="F465" i="84" s="1"/>
  <c r="R479" i="31"/>
  <c r="F457" i="84" s="1"/>
  <c r="R471" i="31"/>
  <c r="F449" i="84" s="1"/>
  <c r="R463" i="31"/>
  <c r="F441" i="84" s="1"/>
  <c r="R455" i="31"/>
  <c r="F433" i="84" s="1"/>
  <c r="R447" i="31"/>
  <c r="F425" i="84" s="1"/>
  <c r="R439" i="31"/>
  <c r="F417" i="84" s="1"/>
  <c r="R431" i="31"/>
  <c r="F409" i="84" s="1"/>
  <c r="R423" i="31"/>
  <c r="F401" i="84" s="1"/>
  <c r="R415" i="31"/>
  <c r="F393" i="84" s="1"/>
  <c r="R407" i="31"/>
  <c r="F385" i="84" s="1"/>
  <c r="R399" i="31"/>
  <c r="F377" i="84" s="1"/>
  <c r="R391" i="31"/>
  <c r="F369" i="84" s="1"/>
  <c r="R383" i="31"/>
  <c r="F361" i="84" s="1"/>
  <c r="R375" i="31"/>
  <c r="F353" i="84" s="1"/>
  <c r="R367" i="31"/>
  <c r="F345" i="84" s="1"/>
  <c r="R520" i="31"/>
  <c r="F498" i="84" s="1"/>
  <c r="R512" i="31"/>
  <c r="F490" i="84" s="1"/>
  <c r="R504" i="31"/>
  <c r="F482" i="84" s="1"/>
  <c r="R496" i="31"/>
  <c r="F474" i="84" s="1"/>
  <c r="R488" i="31"/>
  <c r="F466" i="84" s="1"/>
  <c r="R480" i="31"/>
  <c r="F458" i="84" s="1"/>
  <c r="R472" i="31"/>
  <c r="F450" i="84" s="1"/>
  <c r="R464" i="31"/>
  <c r="F442" i="84" s="1"/>
  <c r="R456" i="31"/>
  <c r="F434" i="84" s="1"/>
  <c r="R448" i="31"/>
  <c r="F426" i="84" s="1"/>
  <c r="R440" i="31"/>
  <c r="F418" i="84" s="1"/>
  <c r="R432" i="31"/>
  <c r="F410" i="84" s="1"/>
  <c r="R424" i="31"/>
  <c r="F402" i="84" s="1"/>
  <c r="R416" i="31"/>
  <c r="F394" i="84" s="1"/>
  <c r="R408" i="31"/>
  <c r="F386" i="84" s="1"/>
  <c r="R400" i="31"/>
  <c r="F378" i="84" s="1"/>
  <c r="R392" i="31"/>
  <c r="F370" i="84" s="1"/>
  <c r="R384" i="31"/>
  <c r="F362" i="84" s="1"/>
  <c r="R376" i="31"/>
  <c r="F354" i="84" s="1"/>
  <c r="R368" i="31"/>
  <c r="F346" i="84" s="1"/>
  <c r="R359" i="31"/>
  <c r="F337" i="84" s="1"/>
  <c r="R351" i="31"/>
  <c r="F329" i="84" s="1"/>
  <c r="R343" i="31"/>
  <c r="F321" i="84" s="1"/>
  <c r="R335" i="31"/>
  <c r="F313" i="84" s="1"/>
  <c r="R327" i="31"/>
  <c r="F305" i="84" s="1"/>
  <c r="R319" i="31"/>
  <c r="F297" i="84" s="1"/>
  <c r="R311" i="31"/>
  <c r="F289" i="84" s="1"/>
  <c r="R303" i="31"/>
  <c r="F281" i="84" s="1"/>
  <c r="R295" i="31"/>
  <c r="F273" i="84" s="1"/>
  <c r="R287" i="31"/>
  <c r="F265" i="84" s="1"/>
  <c r="R279" i="31"/>
  <c r="F257" i="84" s="1"/>
  <c r="R271" i="31"/>
  <c r="F249" i="84" s="1"/>
  <c r="R263" i="31"/>
  <c r="F241" i="84" s="1"/>
  <c r="R255" i="31"/>
  <c r="F233" i="84" s="1"/>
  <c r="R247" i="31"/>
  <c r="F225" i="84" s="1"/>
  <c r="R239" i="31"/>
  <c r="F217" i="84" s="1"/>
  <c r="R231" i="31"/>
  <c r="F209" i="84" s="1"/>
  <c r="R223" i="31"/>
  <c r="F201" i="84" s="1"/>
  <c r="R215" i="31"/>
  <c r="F193" i="84" s="1"/>
  <c r="R207" i="31"/>
  <c r="F185" i="84" s="1"/>
  <c r="R199" i="31"/>
  <c r="F177" i="84" s="1"/>
  <c r="R191" i="31"/>
  <c r="F169" i="84" s="1"/>
  <c r="R183" i="31"/>
  <c r="F161" i="84" s="1"/>
  <c r="R175" i="31"/>
  <c r="F153" i="84" s="1"/>
  <c r="R167" i="31"/>
  <c r="F145" i="84" s="1"/>
  <c r="R159" i="31"/>
  <c r="F137" i="84" s="1"/>
  <c r="R151" i="31"/>
  <c r="F129" i="84" s="1"/>
  <c r="R143" i="31"/>
  <c r="F121" i="84" s="1"/>
  <c r="R135" i="31"/>
  <c r="F113" i="84" s="1"/>
  <c r="R127" i="31"/>
  <c r="F105" i="84" s="1"/>
  <c r="R119" i="31"/>
  <c r="F97" i="84" s="1"/>
  <c r="R111" i="31"/>
  <c r="F89" i="84" s="1"/>
  <c r="R103" i="31"/>
  <c r="F81" i="84" s="1"/>
  <c r="R95" i="31"/>
  <c r="F73" i="84" s="1"/>
  <c r="R87" i="31"/>
  <c r="F65" i="84" s="1"/>
  <c r="R79" i="31"/>
  <c r="F57" i="84" s="1"/>
  <c r="R71" i="31"/>
  <c r="F49" i="84" s="1"/>
  <c r="R63" i="31"/>
  <c r="F41" i="84" s="1"/>
  <c r="R55" i="31"/>
  <c r="F33" i="84" s="1"/>
  <c r="R47" i="31"/>
  <c r="F25" i="84" s="1"/>
  <c r="R39" i="31"/>
  <c r="F17" i="84" s="1"/>
  <c r="R31" i="31"/>
  <c r="F9" i="84" s="1"/>
  <c r="R364" i="31"/>
  <c r="F342" i="84" s="1"/>
  <c r="R356" i="31"/>
  <c r="F334" i="84" s="1"/>
  <c r="R348" i="31"/>
  <c r="F326" i="84" s="1"/>
  <c r="R340" i="31"/>
  <c r="F318" i="84" s="1"/>
  <c r="R332" i="31"/>
  <c r="F310" i="84" s="1"/>
  <c r="R324" i="31"/>
  <c r="F302" i="84" s="1"/>
  <c r="R316" i="31"/>
  <c r="F294" i="84" s="1"/>
  <c r="R308" i="31"/>
  <c r="F286" i="84" s="1"/>
  <c r="R300" i="31"/>
  <c r="F278" i="84" s="1"/>
  <c r="R292" i="31"/>
  <c r="F270" i="84" s="1"/>
  <c r="R284" i="31"/>
  <c r="F262" i="84" s="1"/>
  <c r="R276" i="31"/>
  <c r="F254" i="84" s="1"/>
  <c r="R268" i="31"/>
  <c r="F246" i="84" s="1"/>
  <c r="R260" i="31"/>
  <c r="F238" i="84" s="1"/>
  <c r="R252" i="31"/>
  <c r="F230" i="84" s="1"/>
  <c r="R244" i="31"/>
  <c r="F222" i="84" s="1"/>
  <c r="R236" i="31"/>
  <c r="F214" i="84" s="1"/>
  <c r="R228" i="31"/>
  <c r="F206" i="84" s="1"/>
  <c r="R220" i="31"/>
  <c r="F198" i="84" s="1"/>
  <c r="R212" i="31"/>
  <c r="F190" i="84" s="1"/>
  <c r="R204" i="31"/>
  <c r="F182" i="84" s="1"/>
  <c r="R196" i="31"/>
  <c r="F174" i="84" s="1"/>
  <c r="R188" i="31"/>
  <c r="F166" i="84" s="1"/>
  <c r="R180" i="31"/>
  <c r="F158" i="84" s="1"/>
  <c r="R172" i="31"/>
  <c r="F150" i="84" s="1"/>
  <c r="R164" i="31"/>
  <c r="F142" i="84" s="1"/>
  <c r="R156" i="31"/>
  <c r="F134" i="84" s="1"/>
  <c r="R148" i="31"/>
  <c r="F126" i="84" s="1"/>
  <c r="R140" i="31"/>
  <c r="F118" i="84" s="1"/>
  <c r="R132" i="31"/>
  <c r="F110" i="84" s="1"/>
  <c r="R124" i="31"/>
  <c r="F102" i="84" s="1"/>
  <c r="R116" i="31"/>
  <c r="F94" i="84" s="1"/>
  <c r="R108" i="31"/>
  <c r="F86" i="84" s="1"/>
  <c r="R100" i="31"/>
  <c r="F78" i="84" s="1"/>
  <c r="R92" i="31"/>
  <c r="F70" i="84" s="1"/>
  <c r="R84" i="31"/>
  <c r="F62" i="84" s="1"/>
  <c r="R76" i="31"/>
  <c r="F54" i="84" s="1"/>
  <c r="R68" i="31"/>
  <c r="F46" i="84" s="1"/>
  <c r="R60" i="31"/>
  <c r="F38" i="84" s="1"/>
  <c r="R52" i="31"/>
  <c r="F30" i="84" s="1"/>
  <c r="R44" i="31"/>
  <c r="F22" i="84" s="1"/>
  <c r="R808" i="31"/>
  <c r="F786" i="84" s="1"/>
  <c r="R824" i="31"/>
  <c r="F802" i="84" s="1"/>
  <c r="R839" i="31"/>
  <c r="F817" i="84" s="1"/>
  <c r="R855" i="31"/>
  <c r="F833" i="84" s="1"/>
  <c r="R871" i="31"/>
  <c r="F849" i="84" s="1"/>
  <c r="R887" i="31"/>
  <c r="F865" i="84" s="1"/>
  <c r="R903" i="31"/>
  <c r="F881" i="84" s="1"/>
  <c r="R918" i="31"/>
  <c r="F896" i="84" s="1"/>
  <c r="R820" i="31"/>
  <c r="F798" i="84" s="1"/>
  <c r="R852" i="31"/>
  <c r="F830" i="84" s="1"/>
  <c r="R882" i="31"/>
  <c r="F860" i="84" s="1"/>
  <c r="R908" i="31"/>
  <c r="F886" i="84" s="1"/>
  <c r="R809" i="31"/>
  <c r="F787" i="84" s="1"/>
  <c r="R840" i="31"/>
  <c r="F818" i="84" s="1"/>
  <c r="R856" i="31"/>
  <c r="F834" i="84" s="1"/>
  <c r="R872" i="31"/>
  <c r="F850" i="84" s="1"/>
  <c r="R888" i="31"/>
  <c r="F866" i="84" s="1"/>
  <c r="R904" i="31"/>
  <c r="F882" i="84" s="1"/>
  <c r="R919" i="31"/>
  <c r="F897" i="84" s="1"/>
  <c r="R815" i="31"/>
  <c r="F793" i="84" s="1"/>
  <c r="R831" i="31"/>
  <c r="F809" i="84" s="1"/>
  <c r="R846" i="31"/>
  <c r="F824" i="84" s="1"/>
  <c r="R862" i="31"/>
  <c r="F840" i="84" s="1"/>
  <c r="R878" i="31"/>
  <c r="F856" i="84" s="1"/>
  <c r="R894" i="31"/>
  <c r="F872" i="84" s="1"/>
  <c r="R910" i="31"/>
  <c r="F888" i="84" s="1"/>
  <c r="R921" i="31"/>
  <c r="F899" i="84" s="1"/>
  <c r="R523" i="31"/>
  <c r="F501" i="84" s="1"/>
  <c r="R515" i="31"/>
  <c r="F493" i="84" s="1"/>
  <c r="R507" i="31"/>
  <c r="F485" i="84" s="1"/>
  <c r="R499" i="31"/>
  <c r="F477" i="84" s="1"/>
  <c r="R491" i="31"/>
  <c r="F469" i="84" s="1"/>
  <c r="R483" i="31"/>
  <c r="F461" i="84" s="1"/>
  <c r="R475" i="31"/>
  <c r="F453" i="84" s="1"/>
  <c r="R467" i="31"/>
  <c r="F445" i="84" s="1"/>
  <c r="R459" i="31"/>
  <c r="F437" i="84" s="1"/>
  <c r="R451" i="31"/>
  <c r="F429" i="84" s="1"/>
  <c r="R443" i="31"/>
  <c r="F421" i="84" s="1"/>
  <c r="R435" i="31"/>
  <c r="F413" i="84" s="1"/>
  <c r="R427" i="31"/>
  <c r="F405" i="84" s="1"/>
  <c r="R419" i="31"/>
  <c r="F397" i="84" s="1"/>
  <c r="R411" i="31"/>
  <c r="F389" i="84" s="1"/>
  <c r="R403" i="31"/>
  <c r="F381" i="84" s="1"/>
  <c r="R395" i="31"/>
  <c r="F373" i="84" s="1"/>
  <c r="R387" i="31"/>
  <c r="F365" i="84" s="1"/>
  <c r="R379" i="31"/>
  <c r="F357" i="84" s="1"/>
  <c r="R371" i="31"/>
  <c r="F349" i="84" s="1"/>
  <c r="R524" i="31"/>
  <c r="F502" i="84" s="1"/>
  <c r="R516" i="31"/>
  <c r="F494" i="84" s="1"/>
  <c r="R508" i="31"/>
  <c r="F486" i="84" s="1"/>
  <c r="R500" i="31"/>
  <c r="F478" i="84" s="1"/>
  <c r="R492" i="31"/>
  <c r="F470" i="84" s="1"/>
  <c r="R484" i="31"/>
  <c r="F462" i="84" s="1"/>
  <c r="R476" i="31"/>
  <c r="F454" i="84" s="1"/>
  <c r="R468" i="31"/>
  <c r="F446" i="84" s="1"/>
  <c r="R460" i="31"/>
  <c r="F438" i="84" s="1"/>
  <c r="R452" i="31"/>
  <c r="F430" i="84" s="1"/>
  <c r="R444" i="31"/>
  <c r="F422" i="84" s="1"/>
  <c r="R436" i="31"/>
  <c r="F414" i="84" s="1"/>
  <c r="R428" i="31"/>
  <c r="F406" i="84" s="1"/>
  <c r="R420" i="31"/>
  <c r="F398" i="84" s="1"/>
  <c r="R412" i="31"/>
  <c r="F390" i="84" s="1"/>
  <c r="R404" i="31"/>
  <c r="F382" i="84" s="1"/>
  <c r="R396" i="31"/>
  <c r="F374" i="84" s="1"/>
  <c r="R388" i="31"/>
  <c r="F366" i="84" s="1"/>
  <c r="R380" i="31"/>
  <c r="F358" i="84" s="1"/>
  <c r="R372" i="31"/>
  <c r="F350" i="84" s="1"/>
  <c r="R363" i="31"/>
  <c r="F341" i="84" s="1"/>
  <c r="R355" i="31"/>
  <c r="F333" i="84" s="1"/>
  <c r="R347" i="31"/>
  <c r="F325" i="84" s="1"/>
  <c r="R339" i="31"/>
  <c r="F317" i="84" s="1"/>
  <c r="R331" i="31"/>
  <c r="F309" i="84" s="1"/>
  <c r="R323" i="31"/>
  <c r="F301" i="84" s="1"/>
  <c r="R315" i="31"/>
  <c r="F293" i="84" s="1"/>
  <c r="R307" i="31"/>
  <c r="F285" i="84" s="1"/>
  <c r="R299" i="31"/>
  <c r="F277" i="84" s="1"/>
  <c r="R291" i="31"/>
  <c r="F269" i="84" s="1"/>
  <c r="R283" i="31"/>
  <c r="F261" i="84" s="1"/>
  <c r="R275" i="31"/>
  <c r="F253" i="84" s="1"/>
  <c r="R267" i="31"/>
  <c r="F245" i="84" s="1"/>
  <c r="R259" i="31"/>
  <c r="F237" i="84" s="1"/>
  <c r="R251" i="31"/>
  <c r="F229" i="84" s="1"/>
  <c r="R243" i="31"/>
  <c r="F221" i="84" s="1"/>
  <c r="R235" i="31"/>
  <c r="F213" i="84" s="1"/>
  <c r="R227" i="31"/>
  <c r="F205" i="84" s="1"/>
  <c r="R219" i="31"/>
  <c r="F197" i="84" s="1"/>
  <c r="R211" i="31"/>
  <c r="F189" i="84" s="1"/>
  <c r="R203" i="31"/>
  <c r="F181" i="84" s="1"/>
  <c r="R195" i="31"/>
  <c r="F173" i="84" s="1"/>
  <c r="R187" i="31"/>
  <c r="F165" i="84" s="1"/>
  <c r="R179" i="31"/>
  <c r="F157" i="84" s="1"/>
  <c r="R171" i="31"/>
  <c r="F149" i="84" s="1"/>
  <c r="R163" i="31"/>
  <c r="F141" i="84" s="1"/>
  <c r="R155" i="31"/>
  <c r="F133" i="84" s="1"/>
  <c r="R147" i="31"/>
  <c r="F125" i="84" s="1"/>
  <c r="R139" i="31"/>
  <c r="F117" i="84" s="1"/>
  <c r="R131" i="31"/>
  <c r="F109" i="84" s="1"/>
  <c r="R123" i="31"/>
  <c r="F101" i="84" s="1"/>
  <c r="R115" i="31"/>
  <c r="F93" i="84" s="1"/>
  <c r="R107" i="31"/>
  <c r="F85" i="84" s="1"/>
  <c r="R99" i="31"/>
  <c r="F77" i="84" s="1"/>
  <c r="R91" i="31"/>
  <c r="F69" i="84" s="1"/>
  <c r="R83" i="31"/>
  <c r="F61" i="84" s="1"/>
  <c r="R75" i="31"/>
  <c r="F53" i="84" s="1"/>
  <c r="R67" i="31"/>
  <c r="F45" i="84" s="1"/>
  <c r="R59" i="31"/>
  <c r="F37" i="84" s="1"/>
  <c r="R51" i="31"/>
  <c r="F29" i="84" s="1"/>
  <c r="R43" i="31"/>
  <c r="F21" i="84" s="1"/>
  <c r="R35" i="31"/>
  <c r="F13" i="84" s="1"/>
  <c r="R27" i="31"/>
  <c r="F5" i="84" s="1"/>
  <c r="R360" i="31"/>
  <c r="F338" i="84" s="1"/>
  <c r="R352" i="31"/>
  <c r="F330" i="84" s="1"/>
  <c r="R344" i="31"/>
  <c r="F322" i="84" s="1"/>
  <c r="R336" i="31"/>
  <c r="F314" i="84" s="1"/>
  <c r="R328" i="31"/>
  <c r="F306" i="84" s="1"/>
  <c r="R320" i="31"/>
  <c r="F298" i="84" s="1"/>
  <c r="R312" i="31"/>
  <c r="F290" i="84" s="1"/>
  <c r="R304" i="31"/>
  <c r="F282" i="84" s="1"/>
  <c r="R296" i="31"/>
  <c r="F274" i="84" s="1"/>
  <c r="R288" i="31"/>
  <c r="F266" i="84" s="1"/>
  <c r="R280" i="31"/>
  <c r="F258" i="84" s="1"/>
  <c r="R272" i="31"/>
  <c r="F250" i="84" s="1"/>
  <c r="R264" i="31"/>
  <c r="F242" i="84" s="1"/>
  <c r="R256" i="31"/>
  <c r="F234" i="84" s="1"/>
  <c r="R248" i="31"/>
  <c r="F226" i="84" s="1"/>
  <c r="R240" i="31"/>
  <c r="F218" i="84" s="1"/>
  <c r="R232" i="31"/>
  <c r="F210" i="84" s="1"/>
  <c r="R224" i="31"/>
  <c r="F202" i="84" s="1"/>
  <c r="R216" i="31"/>
  <c r="F194" i="84" s="1"/>
  <c r="R208" i="31"/>
  <c r="F186" i="84" s="1"/>
  <c r="R200" i="31"/>
  <c r="F178" i="84" s="1"/>
  <c r="R192" i="31"/>
  <c r="F170" i="84" s="1"/>
  <c r="R184" i="31"/>
  <c r="F162" i="84" s="1"/>
  <c r="R176" i="31"/>
  <c r="F154" i="84" s="1"/>
  <c r="R168" i="31"/>
  <c r="F146" i="84" s="1"/>
  <c r="R160" i="31"/>
  <c r="F138" i="84" s="1"/>
  <c r="R152" i="31"/>
  <c r="F130" i="84" s="1"/>
  <c r="R144" i="31"/>
  <c r="F122" i="84" s="1"/>
  <c r="R136" i="31"/>
  <c r="F114" i="84" s="1"/>
  <c r="R128" i="31"/>
  <c r="F106" i="84" s="1"/>
  <c r="R120" i="31"/>
  <c r="F98" i="84" s="1"/>
  <c r="R112" i="31"/>
  <c r="F90" i="84" s="1"/>
  <c r="R104" i="31"/>
  <c r="F82" i="84" s="1"/>
  <c r="R96" i="31"/>
  <c r="F74" i="84" s="1"/>
  <c r="R88" i="31"/>
  <c r="F66" i="84" s="1"/>
  <c r="R80" i="31"/>
  <c r="F58" i="84" s="1"/>
  <c r="R72" i="31"/>
  <c r="F50" i="84" s="1"/>
  <c r="R64" i="31"/>
  <c r="F42" i="84" s="1"/>
  <c r="R56" i="31"/>
  <c r="F34" i="84" s="1"/>
  <c r="R48" i="31"/>
  <c r="F26" i="84" s="1"/>
  <c r="R40" i="31"/>
  <c r="F18" i="84" s="1"/>
  <c r="R32" i="31"/>
  <c r="F10" i="84" s="1"/>
  <c r="R521" i="31"/>
  <c r="F499" i="84" s="1"/>
  <c r="R513" i="31"/>
  <c r="F491" i="84" s="1"/>
  <c r="R505" i="31"/>
  <c r="F483" i="84" s="1"/>
  <c r="R497" i="31"/>
  <c r="F475" i="84" s="1"/>
  <c r="R489" i="31"/>
  <c r="F467" i="84" s="1"/>
  <c r="R481" i="31"/>
  <c r="F459" i="84" s="1"/>
  <c r="R473" i="31"/>
  <c r="F451" i="84" s="1"/>
  <c r="R465" i="31"/>
  <c r="F443" i="84" s="1"/>
  <c r="R457" i="31"/>
  <c r="F435" i="84" s="1"/>
  <c r="R449" i="31"/>
  <c r="F427" i="84" s="1"/>
  <c r="R441" i="31"/>
  <c r="F419" i="84" s="1"/>
  <c r="R433" i="31"/>
  <c r="F411" i="84" s="1"/>
  <c r="R425" i="31"/>
  <c r="F403" i="84" s="1"/>
  <c r="R417" i="31"/>
  <c r="F395" i="84" s="1"/>
  <c r="R409" i="31"/>
  <c r="F387" i="84" s="1"/>
  <c r="R401" i="31"/>
  <c r="F379" i="84" s="1"/>
  <c r="R393" i="31"/>
  <c r="F371" i="84" s="1"/>
  <c r="R385" i="31"/>
  <c r="F363" i="84" s="1"/>
  <c r="R36" i="31"/>
  <c r="F14" i="84" s="1"/>
  <c r="R517" i="31"/>
  <c r="F495" i="84" s="1"/>
  <c r="R501" i="31"/>
  <c r="F479" i="84" s="1"/>
  <c r="R485" i="31"/>
  <c r="F463" i="84" s="1"/>
  <c r="R469" i="31"/>
  <c r="F447" i="84" s="1"/>
  <c r="R453" i="31"/>
  <c r="F431" i="84" s="1"/>
  <c r="R437" i="31"/>
  <c r="F415" i="84" s="1"/>
  <c r="R421" i="31"/>
  <c r="F399" i="84" s="1"/>
  <c r="R405" i="31"/>
  <c r="F383" i="84" s="1"/>
  <c r="R389" i="31"/>
  <c r="F367" i="84" s="1"/>
  <c r="R377" i="31"/>
  <c r="F355" i="84" s="1"/>
  <c r="R369" i="31"/>
  <c r="F347" i="84" s="1"/>
  <c r="R522" i="31"/>
  <c r="F500" i="84" s="1"/>
  <c r="R514" i="31"/>
  <c r="F492" i="84" s="1"/>
  <c r="R506" i="31"/>
  <c r="F484" i="84" s="1"/>
  <c r="R498" i="31"/>
  <c r="F476" i="84" s="1"/>
  <c r="R490" i="31"/>
  <c r="F468" i="84" s="1"/>
  <c r="R482" i="31"/>
  <c r="F460" i="84" s="1"/>
  <c r="R474" i="31"/>
  <c r="F452" i="84" s="1"/>
  <c r="R466" i="31"/>
  <c r="F444" i="84" s="1"/>
  <c r="R458" i="31"/>
  <c r="F436" i="84" s="1"/>
  <c r="R450" i="31"/>
  <c r="F428" i="84" s="1"/>
  <c r="R442" i="31"/>
  <c r="F420" i="84" s="1"/>
  <c r="R434" i="31"/>
  <c r="F412" i="84" s="1"/>
  <c r="R426" i="31"/>
  <c r="F404" i="84" s="1"/>
  <c r="R418" i="31"/>
  <c r="F396" i="84" s="1"/>
  <c r="R410" i="31"/>
  <c r="F388" i="84" s="1"/>
  <c r="R402" i="31"/>
  <c r="F380" i="84" s="1"/>
  <c r="R394" i="31"/>
  <c r="F372" i="84" s="1"/>
  <c r="R386" i="31"/>
  <c r="F364" i="84" s="1"/>
  <c r="R378" i="31"/>
  <c r="F356" i="84" s="1"/>
  <c r="R370" i="31"/>
  <c r="F348" i="84" s="1"/>
  <c r="R361" i="31"/>
  <c r="F339" i="84" s="1"/>
  <c r="R353" i="31"/>
  <c r="F331" i="84" s="1"/>
  <c r="R345" i="31"/>
  <c r="F323" i="84" s="1"/>
  <c r="R337" i="31"/>
  <c r="F315" i="84" s="1"/>
  <c r="R329" i="31"/>
  <c r="F307" i="84" s="1"/>
  <c r="R321" i="31"/>
  <c r="F299" i="84" s="1"/>
  <c r="R313" i="31"/>
  <c r="F291" i="84" s="1"/>
  <c r="R305" i="31"/>
  <c r="F283" i="84" s="1"/>
  <c r="R297" i="31"/>
  <c r="F275" i="84" s="1"/>
  <c r="R289" i="31"/>
  <c r="F267" i="84" s="1"/>
  <c r="R281" i="31"/>
  <c r="F259" i="84" s="1"/>
  <c r="R273" i="31"/>
  <c r="F251" i="84" s="1"/>
  <c r="R265" i="31"/>
  <c r="F243" i="84" s="1"/>
  <c r="R257" i="31"/>
  <c r="F235" i="84" s="1"/>
  <c r="R249" i="31"/>
  <c r="F227" i="84" s="1"/>
  <c r="R241" i="31"/>
  <c r="F219" i="84" s="1"/>
  <c r="R233" i="31"/>
  <c r="F211" i="84" s="1"/>
  <c r="R225" i="31"/>
  <c r="F203" i="84" s="1"/>
  <c r="R217" i="31"/>
  <c r="F195" i="84" s="1"/>
  <c r="R209" i="31"/>
  <c r="F187" i="84" s="1"/>
  <c r="R201" i="31"/>
  <c r="F179" i="84" s="1"/>
  <c r="R193" i="31"/>
  <c r="F171" i="84" s="1"/>
  <c r="R185" i="31"/>
  <c r="F163" i="84" s="1"/>
  <c r="R177" i="31"/>
  <c r="F155" i="84" s="1"/>
  <c r="R169" i="31"/>
  <c r="F147" i="84" s="1"/>
  <c r="R161" i="31"/>
  <c r="F139" i="84" s="1"/>
  <c r="R153" i="31"/>
  <c r="F131" i="84" s="1"/>
  <c r="R145" i="31"/>
  <c r="F123" i="84" s="1"/>
  <c r="R137" i="31"/>
  <c r="F115" i="84" s="1"/>
  <c r="R129" i="31"/>
  <c r="F107" i="84" s="1"/>
  <c r="R121" i="31"/>
  <c r="F99" i="84" s="1"/>
  <c r="R113" i="31"/>
  <c r="F91" i="84" s="1"/>
  <c r="R105" i="31"/>
  <c r="F83" i="84" s="1"/>
  <c r="R97" i="31"/>
  <c r="F75" i="84" s="1"/>
  <c r="R89" i="31"/>
  <c r="F67" i="84" s="1"/>
  <c r="R81" i="31"/>
  <c r="F59" i="84" s="1"/>
  <c r="R73" i="31"/>
  <c r="F51" i="84" s="1"/>
  <c r="R65" i="31"/>
  <c r="F43" i="84" s="1"/>
  <c r="R57" i="31"/>
  <c r="F35" i="84" s="1"/>
  <c r="R49" i="31"/>
  <c r="F27" i="84" s="1"/>
  <c r="R41" i="31"/>
  <c r="F19" i="84" s="1"/>
  <c r="R33" i="31"/>
  <c r="F11" i="84" s="1"/>
  <c r="R25" i="31"/>
  <c r="F3" i="84" s="1"/>
  <c r="R358" i="31"/>
  <c r="F336" i="84" s="1"/>
  <c r="R350" i="31"/>
  <c r="F328" i="84" s="1"/>
  <c r="R342" i="31"/>
  <c r="F320" i="84" s="1"/>
  <c r="R334" i="31"/>
  <c r="F312" i="84" s="1"/>
  <c r="R326" i="31"/>
  <c r="F304" i="84" s="1"/>
  <c r="R318" i="31"/>
  <c r="F296" i="84" s="1"/>
  <c r="R310" i="31"/>
  <c r="F288" i="84" s="1"/>
  <c r="R302" i="31"/>
  <c r="F280" i="84" s="1"/>
  <c r="R294" i="31"/>
  <c r="F272" i="84" s="1"/>
  <c r="R286" i="31"/>
  <c r="F264" i="84" s="1"/>
  <c r="R278" i="31"/>
  <c r="F256" i="84" s="1"/>
  <c r="R270" i="31"/>
  <c r="F248" i="84" s="1"/>
  <c r="R262" i="31"/>
  <c r="F240" i="84" s="1"/>
  <c r="R254" i="31"/>
  <c r="F232" i="84" s="1"/>
  <c r="R246" i="31"/>
  <c r="F224" i="84" s="1"/>
  <c r="R238" i="31"/>
  <c r="F216" i="84" s="1"/>
  <c r="R230" i="31"/>
  <c r="F208" i="84" s="1"/>
  <c r="R222" i="31"/>
  <c r="F200" i="84" s="1"/>
  <c r="R214" i="31"/>
  <c r="F192" i="84" s="1"/>
  <c r="R206" i="31"/>
  <c r="F184" i="84" s="1"/>
  <c r="R198" i="31"/>
  <c r="F176" i="84" s="1"/>
  <c r="R190" i="31"/>
  <c r="F168" i="84" s="1"/>
  <c r="R182" i="31"/>
  <c r="F160" i="84" s="1"/>
  <c r="R174" i="31"/>
  <c r="F152" i="84" s="1"/>
  <c r="R166" i="31"/>
  <c r="F144" i="84" s="1"/>
  <c r="R158" i="31"/>
  <c r="F136" i="84" s="1"/>
  <c r="R150" i="31"/>
  <c r="F128" i="84" s="1"/>
  <c r="R142" i="31"/>
  <c r="F120" i="84" s="1"/>
  <c r="R134" i="31"/>
  <c r="F112" i="84" s="1"/>
  <c r="R126" i="31"/>
  <c r="F104" i="84" s="1"/>
  <c r="R118" i="31"/>
  <c r="F96" i="84" s="1"/>
  <c r="R110" i="31"/>
  <c r="F88" i="84" s="1"/>
  <c r="R102" i="31"/>
  <c r="F80" i="84" s="1"/>
  <c r="R94" i="31"/>
  <c r="F72" i="84" s="1"/>
  <c r="R86" i="31"/>
  <c r="F64" i="84" s="1"/>
  <c r="R78" i="31"/>
  <c r="F56" i="84" s="1"/>
  <c r="R70" i="31"/>
  <c r="F48" i="84" s="1"/>
  <c r="R62" i="31"/>
  <c r="F40" i="84" s="1"/>
  <c r="R54" i="31"/>
  <c r="F32" i="84" s="1"/>
  <c r="R46" i="31"/>
  <c r="F24" i="84" s="1"/>
  <c r="R38" i="31"/>
  <c r="F16" i="84" s="1"/>
  <c r="R30" i="31"/>
  <c r="F8" i="84" s="1"/>
  <c r="R28" i="31"/>
  <c r="F6" i="84" s="1"/>
  <c r="R509" i="31"/>
  <c r="F487" i="84" s="1"/>
  <c r="R493" i="31"/>
  <c r="F471" i="84" s="1"/>
  <c r="R477" i="31"/>
  <c r="F455" i="84" s="1"/>
  <c r="R461" i="31"/>
  <c r="F439" i="84" s="1"/>
  <c r="R445" i="31"/>
  <c r="F423" i="84" s="1"/>
  <c r="R429" i="31"/>
  <c r="F407" i="84" s="1"/>
  <c r="R413" i="31"/>
  <c r="F391" i="84" s="1"/>
  <c r="R397" i="31"/>
  <c r="F375" i="84" s="1"/>
  <c r="R381" i="31"/>
  <c r="F359" i="84" s="1"/>
  <c r="R373" i="31"/>
  <c r="F351" i="84" s="1"/>
  <c r="R365" i="31"/>
  <c r="F343" i="84" s="1"/>
  <c r="R518" i="31"/>
  <c r="F496" i="84" s="1"/>
  <c r="R510" i="31"/>
  <c r="F488" i="84" s="1"/>
  <c r="R502" i="31"/>
  <c r="F480" i="84" s="1"/>
  <c r="R494" i="31"/>
  <c r="F472" i="84" s="1"/>
  <c r="R486" i="31"/>
  <c r="F464" i="84" s="1"/>
  <c r="R478" i="31"/>
  <c r="F456" i="84" s="1"/>
  <c r="R470" i="31"/>
  <c r="F448" i="84" s="1"/>
  <c r="R462" i="31"/>
  <c r="F440" i="84" s="1"/>
  <c r="R454" i="31"/>
  <c r="F432" i="84" s="1"/>
  <c r="R446" i="31"/>
  <c r="F424" i="84" s="1"/>
  <c r="R438" i="31"/>
  <c r="F416" i="84" s="1"/>
  <c r="R430" i="31"/>
  <c r="F408" i="84" s="1"/>
  <c r="R422" i="31"/>
  <c r="F400" i="84" s="1"/>
  <c r="R414" i="31"/>
  <c r="F392" i="84" s="1"/>
  <c r="R406" i="31"/>
  <c r="F384" i="84" s="1"/>
  <c r="R398" i="31"/>
  <c r="F376" i="84" s="1"/>
  <c r="R390" i="31"/>
  <c r="F368" i="84" s="1"/>
  <c r="R382" i="31"/>
  <c r="F360" i="84" s="1"/>
  <c r="R374" i="31"/>
  <c r="F352" i="84" s="1"/>
  <c r="R366" i="31"/>
  <c r="F344" i="84" s="1"/>
  <c r="R357" i="31"/>
  <c r="F335" i="84" s="1"/>
  <c r="R349" i="31"/>
  <c r="F327" i="84" s="1"/>
  <c r="R341" i="31"/>
  <c r="F319" i="84" s="1"/>
  <c r="R333" i="31"/>
  <c r="F311" i="84" s="1"/>
  <c r="R325" i="31"/>
  <c r="F303" i="84" s="1"/>
  <c r="R317" i="31"/>
  <c r="F295" i="84" s="1"/>
  <c r="R309" i="31"/>
  <c r="F287" i="84" s="1"/>
  <c r="R301" i="31"/>
  <c r="F279" i="84" s="1"/>
  <c r="R293" i="31"/>
  <c r="F271" i="84" s="1"/>
  <c r="R285" i="31"/>
  <c r="F263" i="84" s="1"/>
  <c r="R277" i="31"/>
  <c r="F255" i="84" s="1"/>
  <c r="R269" i="31"/>
  <c r="F247" i="84" s="1"/>
  <c r="R261" i="31"/>
  <c r="F239" i="84" s="1"/>
  <c r="R253" i="31"/>
  <c r="F231" i="84" s="1"/>
  <c r="R245" i="31"/>
  <c r="F223" i="84" s="1"/>
  <c r="R237" i="31"/>
  <c r="F215" i="84" s="1"/>
  <c r="R229" i="31"/>
  <c r="F207" i="84" s="1"/>
  <c r="R221" i="31"/>
  <c r="F199" i="84" s="1"/>
  <c r="R213" i="31"/>
  <c r="F191" i="84" s="1"/>
  <c r="R205" i="31"/>
  <c r="F183" i="84" s="1"/>
  <c r="R197" i="31"/>
  <c r="F175" i="84" s="1"/>
  <c r="R189" i="31"/>
  <c r="F167" i="84" s="1"/>
  <c r="R181" i="31"/>
  <c r="F159" i="84" s="1"/>
  <c r="R173" i="31"/>
  <c r="F151" i="84" s="1"/>
  <c r="R165" i="31"/>
  <c r="F143" i="84" s="1"/>
  <c r="R157" i="31"/>
  <c r="F135" i="84" s="1"/>
  <c r="R149" i="31"/>
  <c r="F127" i="84" s="1"/>
  <c r="R141" i="31"/>
  <c r="F119" i="84" s="1"/>
  <c r="R133" i="31"/>
  <c r="F111" i="84" s="1"/>
  <c r="R125" i="31"/>
  <c r="F103" i="84" s="1"/>
  <c r="R117" i="31"/>
  <c r="F95" i="84" s="1"/>
  <c r="R109" i="31"/>
  <c r="F87" i="84" s="1"/>
  <c r="R101" i="31"/>
  <c r="F79" i="84" s="1"/>
  <c r="R93" i="31"/>
  <c r="F71" i="84" s="1"/>
  <c r="R85" i="31"/>
  <c r="F63" i="84" s="1"/>
  <c r="R77" i="31"/>
  <c r="F55" i="84" s="1"/>
  <c r="R69" i="31"/>
  <c r="F47" i="84" s="1"/>
  <c r="R61" i="31"/>
  <c r="F39" i="84" s="1"/>
  <c r="R53" i="31"/>
  <c r="F31" i="84" s="1"/>
  <c r="R45" i="31"/>
  <c r="F23" i="84" s="1"/>
  <c r="R37" i="31"/>
  <c r="F15" i="84" s="1"/>
  <c r="R29" i="31"/>
  <c r="F7" i="84" s="1"/>
  <c r="R362" i="31"/>
  <c r="F340" i="84" s="1"/>
  <c r="R354" i="31"/>
  <c r="F332" i="84" s="1"/>
  <c r="R346" i="31"/>
  <c r="F324" i="84" s="1"/>
  <c r="R338" i="31"/>
  <c r="F316" i="84" s="1"/>
  <c r="R330" i="31"/>
  <c r="F308" i="84" s="1"/>
  <c r="R322" i="31"/>
  <c r="F300" i="84" s="1"/>
  <c r="R314" i="31"/>
  <c r="F292" i="84" s="1"/>
  <c r="R306" i="31"/>
  <c r="F284" i="84" s="1"/>
  <c r="R298" i="31"/>
  <c r="F276" i="84" s="1"/>
  <c r="R290" i="31"/>
  <c r="F268" i="84" s="1"/>
  <c r="R282" i="31"/>
  <c r="F260" i="84" s="1"/>
  <c r="R274" i="31"/>
  <c r="F252" i="84" s="1"/>
  <c r="R266" i="31"/>
  <c r="F244" i="84" s="1"/>
  <c r="R258" i="31"/>
  <c r="F236" i="84" s="1"/>
  <c r="R250" i="31"/>
  <c r="F228" i="84" s="1"/>
  <c r="R242" i="31"/>
  <c r="F220" i="84" s="1"/>
  <c r="R234" i="31"/>
  <c r="F212" i="84" s="1"/>
  <c r="R226" i="31"/>
  <c r="F204" i="84" s="1"/>
  <c r="R218" i="31"/>
  <c r="F196" i="84" s="1"/>
  <c r="R210" i="31"/>
  <c r="F188" i="84" s="1"/>
  <c r="R202" i="31"/>
  <c r="F180" i="84" s="1"/>
  <c r="R194" i="31"/>
  <c r="F172" i="84" s="1"/>
  <c r="R186" i="31"/>
  <c r="F164" i="84" s="1"/>
  <c r="R178" i="31"/>
  <c r="F156" i="84" s="1"/>
  <c r="R170" i="31"/>
  <c r="F148" i="84" s="1"/>
  <c r="R162" i="31"/>
  <c r="F140" i="84" s="1"/>
  <c r="R154" i="31"/>
  <c r="F132" i="84" s="1"/>
  <c r="R146" i="31"/>
  <c r="F124" i="84" s="1"/>
  <c r="R138" i="31"/>
  <c r="F116" i="84" s="1"/>
  <c r="R130" i="31"/>
  <c r="F108" i="84" s="1"/>
  <c r="R122" i="31"/>
  <c r="F100" i="84" s="1"/>
  <c r="R114" i="31"/>
  <c r="F92" i="84" s="1"/>
  <c r="R106" i="31"/>
  <c r="F84" i="84" s="1"/>
  <c r="R98" i="31"/>
  <c r="F76" i="84" s="1"/>
  <c r="R90" i="31"/>
  <c r="F68" i="84" s="1"/>
  <c r="R82" i="31"/>
  <c r="F60" i="84" s="1"/>
  <c r="R74" i="31"/>
  <c r="F52" i="84" s="1"/>
  <c r="R66" i="31"/>
  <c r="F44" i="84" s="1"/>
  <c r="R58" i="31"/>
  <c r="F36" i="84" s="1"/>
  <c r="R50" i="31"/>
  <c r="F28" i="84" s="1"/>
  <c r="R42" i="31"/>
  <c r="F20" i="84" s="1"/>
  <c r="R34" i="31"/>
  <c r="F12" i="84" s="1"/>
  <c r="R26" i="31"/>
  <c r="F4" i="84" s="1"/>
  <c r="E52" i="39"/>
  <c r="F52" i="39" s="1"/>
  <c r="E51" i="39"/>
  <c r="F51" i="39" s="1"/>
  <c r="C48" i="39"/>
  <c r="C47" i="39"/>
  <c r="I52" i="39"/>
  <c r="J52" i="39" s="1"/>
  <c r="C7" i="71"/>
  <c r="D8" i="71"/>
  <c r="I46" i="40"/>
  <c r="J46" i="40" s="1"/>
  <c r="R43" i="40"/>
  <c r="E42" i="40"/>
  <c r="G47" i="40"/>
  <c r="H47" i="40" s="1"/>
  <c r="G46" i="40"/>
  <c r="H46" i="40" s="1"/>
  <c r="S34" i="31" l="1"/>
  <c r="G12" i="84" s="1"/>
  <c r="S50" i="31"/>
  <c r="G28" i="84" s="1"/>
  <c r="S66" i="31"/>
  <c r="G44" i="84" s="1"/>
  <c r="S82" i="31"/>
  <c r="G60" i="84" s="1"/>
  <c r="S98" i="31"/>
  <c r="G76" i="84" s="1"/>
  <c r="S114" i="31"/>
  <c r="G92" i="84" s="1"/>
  <c r="S130" i="31"/>
  <c r="G108" i="84" s="1"/>
  <c r="S146" i="31"/>
  <c r="G124" i="84" s="1"/>
  <c r="S162" i="31"/>
  <c r="G140" i="84" s="1"/>
  <c r="S178" i="31"/>
  <c r="G156" i="84" s="1"/>
  <c r="S194" i="31"/>
  <c r="G172" i="84" s="1"/>
  <c r="S210" i="31"/>
  <c r="G188" i="84" s="1"/>
  <c r="S226" i="31"/>
  <c r="G204" i="84" s="1"/>
  <c r="S242" i="31"/>
  <c r="G220" i="84" s="1"/>
  <c r="S258" i="31"/>
  <c r="G236" i="84" s="1"/>
  <c r="S274" i="31"/>
  <c r="G252" i="84" s="1"/>
  <c r="S290" i="31"/>
  <c r="G268" i="84" s="1"/>
  <c r="S306" i="31"/>
  <c r="G284" i="84" s="1"/>
  <c r="S322" i="31"/>
  <c r="G300" i="84" s="1"/>
  <c r="S338" i="31"/>
  <c r="G316" i="84" s="1"/>
  <c r="S354" i="31"/>
  <c r="G332" i="84" s="1"/>
  <c r="S29" i="31"/>
  <c r="G7" i="84" s="1"/>
  <c r="S45" i="31"/>
  <c r="G23" i="84" s="1"/>
  <c r="S61" i="31"/>
  <c r="G39" i="84" s="1"/>
  <c r="S77" i="31"/>
  <c r="G55" i="84" s="1"/>
  <c r="S93" i="31"/>
  <c r="G71" i="84" s="1"/>
  <c r="S109" i="31"/>
  <c r="G87" i="84" s="1"/>
  <c r="S125" i="31"/>
  <c r="G103" i="84" s="1"/>
  <c r="S141" i="31"/>
  <c r="G119" i="84" s="1"/>
  <c r="S157" i="31"/>
  <c r="G135" i="84" s="1"/>
  <c r="S173" i="31"/>
  <c r="G151" i="84" s="1"/>
  <c r="S189" i="31"/>
  <c r="G167" i="84" s="1"/>
  <c r="S205" i="31"/>
  <c r="G183" i="84" s="1"/>
  <c r="S221" i="31"/>
  <c r="G199" i="84" s="1"/>
  <c r="S237" i="31"/>
  <c r="G215" i="84" s="1"/>
  <c r="S253" i="31"/>
  <c r="G231" i="84" s="1"/>
  <c r="S269" i="31"/>
  <c r="G247" i="84" s="1"/>
  <c r="S285" i="31"/>
  <c r="G263" i="84" s="1"/>
  <c r="S301" i="31"/>
  <c r="G279" i="84" s="1"/>
  <c r="S317" i="31"/>
  <c r="G295" i="84" s="1"/>
  <c r="S333" i="31"/>
  <c r="G311" i="84" s="1"/>
  <c r="S349" i="31"/>
  <c r="G327" i="84" s="1"/>
  <c r="S366" i="31"/>
  <c r="G344" i="84" s="1"/>
  <c r="S382" i="31"/>
  <c r="G360" i="84" s="1"/>
  <c r="S398" i="31"/>
  <c r="G376" i="84" s="1"/>
  <c r="S414" i="31"/>
  <c r="G392" i="84" s="1"/>
  <c r="S430" i="31"/>
  <c r="G408" i="84" s="1"/>
  <c r="S446" i="31"/>
  <c r="G424" i="84" s="1"/>
  <c r="S462" i="31"/>
  <c r="G440" i="84" s="1"/>
  <c r="S478" i="31"/>
  <c r="G456" i="84" s="1"/>
  <c r="S494" i="31"/>
  <c r="G472" i="84" s="1"/>
  <c r="S510" i="31"/>
  <c r="G488" i="84" s="1"/>
  <c r="S365" i="31"/>
  <c r="G343" i="84" s="1"/>
  <c r="S381" i="31"/>
  <c r="G359" i="84" s="1"/>
  <c r="S413" i="31"/>
  <c r="G391" i="84" s="1"/>
  <c r="S445" i="31"/>
  <c r="G423" i="84" s="1"/>
  <c r="S477" i="31"/>
  <c r="G455" i="84" s="1"/>
  <c r="S509" i="31"/>
  <c r="G487" i="84" s="1"/>
  <c r="S30" i="31"/>
  <c r="G8" i="84" s="1"/>
  <c r="S46" i="31"/>
  <c r="G24" i="84" s="1"/>
  <c r="S62" i="31"/>
  <c r="G40" i="84" s="1"/>
  <c r="S78" i="31"/>
  <c r="G56" i="84" s="1"/>
  <c r="S94" i="31"/>
  <c r="G72" i="84" s="1"/>
  <c r="S110" i="31"/>
  <c r="G88" i="84" s="1"/>
  <c r="S126" i="31"/>
  <c r="G104" i="84" s="1"/>
  <c r="S142" i="31"/>
  <c r="G120" i="84" s="1"/>
  <c r="S158" i="31"/>
  <c r="G136" i="84" s="1"/>
  <c r="S174" i="31"/>
  <c r="G152" i="84" s="1"/>
  <c r="S190" i="31"/>
  <c r="G168" i="84" s="1"/>
  <c r="S206" i="31"/>
  <c r="G184" i="84" s="1"/>
  <c r="S222" i="31"/>
  <c r="G200" i="84" s="1"/>
  <c r="S238" i="31"/>
  <c r="G216" i="84" s="1"/>
  <c r="S254" i="31"/>
  <c r="G232" i="84" s="1"/>
  <c r="S270" i="31"/>
  <c r="G248" i="84" s="1"/>
  <c r="S286" i="31"/>
  <c r="G264" i="84" s="1"/>
  <c r="S302" i="31"/>
  <c r="G280" i="84" s="1"/>
  <c r="S318" i="31"/>
  <c r="G296" i="84" s="1"/>
  <c r="S334" i="31"/>
  <c r="G312" i="84" s="1"/>
  <c r="S350" i="31"/>
  <c r="G328" i="84" s="1"/>
  <c r="S25" i="31"/>
  <c r="G3" i="84" s="1"/>
  <c r="S41" i="31"/>
  <c r="G19" i="84" s="1"/>
  <c r="S57" i="31"/>
  <c r="G35" i="84" s="1"/>
  <c r="S73" i="31"/>
  <c r="G51" i="84" s="1"/>
  <c r="S89" i="31"/>
  <c r="G67" i="84" s="1"/>
  <c r="S105" i="31"/>
  <c r="G83" i="84" s="1"/>
  <c r="S121" i="31"/>
  <c r="G99" i="84" s="1"/>
  <c r="S137" i="31"/>
  <c r="G115" i="84" s="1"/>
  <c r="S153" i="31"/>
  <c r="G131" i="84" s="1"/>
  <c r="S169" i="31"/>
  <c r="G147" i="84" s="1"/>
  <c r="S185" i="31"/>
  <c r="G163" i="84" s="1"/>
  <c r="S201" i="31"/>
  <c r="G179" i="84" s="1"/>
  <c r="S217" i="31"/>
  <c r="G195" i="84" s="1"/>
  <c r="S233" i="31"/>
  <c r="G211" i="84" s="1"/>
  <c r="S249" i="31"/>
  <c r="G227" i="84" s="1"/>
  <c r="S265" i="31"/>
  <c r="G243" i="84" s="1"/>
  <c r="S281" i="31"/>
  <c r="G259" i="84" s="1"/>
  <c r="S297" i="31"/>
  <c r="G275" i="84" s="1"/>
  <c r="S313" i="31"/>
  <c r="G291" i="84" s="1"/>
  <c r="S329" i="31"/>
  <c r="G307" i="84" s="1"/>
  <c r="S345" i="31"/>
  <c r="G323" i="84" s="1"/>
  <c r="S361" i="31"/>
  <c r="G339" i="84" s="1"/>
  <c r="S378" i="31"/>
  <c r="G356" i="84" s="1"/>
  <c r="S394" i="31"/>
  <c r="G372" i="84" s="1"/>
  <c r="S410" i="31"/>
  <c r="G388" i="84" s="1"/>
  <c r="S426" i="31"/>
  <c r="G404" i="84" s="1"/>
  <c r="S442" i="31"/>
  <c r="G420" i="84" s="1"/>
  <c r="S458" i="31"/>
  <c r="G436" i="84" s="1"/>
  <c r="S474" i="31"/>
  <c r="G452" i="84" s="1"/>
  <c r="S490" i="31"/>
  <c r="G468" i="84" s="1"/>
  <c r="S506" i="31"/>
  <c r="G484" i="84" s="1"/>
  <c r="S522" i="31"/>
  <c r="G500" i="84" s="1"/>
  <c r="S377" i="31"/>
  <c r="G355" i="84" s="1"/>
  <c r="S405" i="31"/>
  <c r="G383" i="84" s="1"/>
  <c r="S437" i="31"/>
  <c r="G415" i="84" s="1"/>
  <c r="S469" i="31"/>
  <c r="G447" i="84" s="1"/>
  <c r="S501" i="31"/>
  <c r="G479" i="84" s="1"/>
  <c r="S36" i="31"/>
  <c r="G14" i="84" s="1"/>
  <c r="S393" i="31"/>
  <c r="G371" i="84" s="1"/>
  <c r="S409" i="31"/>
  <c r="G387" i="84" s="1"/>
  <c r="S425" i="31"/>
  <c r="G403" i="84" s="1"/>
  <c r="S441" i="31"/>
  <c r="G419" i="84" s="1"/>
  <c r="S457" i="31"/>
  <c r="G435" i="84" s="1"/>
  <c r="S473" i="31"/>
  <c r="G451" i="84" s="1"/>
  <c r="S489" i="31"/>
  <c r="G467" i="84" s="1"/>
  <c r="S505" i="31"/>
  <c r="G483" i="84" s="1"/>
  <c r="S521" i="31"/>
  <c r="G499" i="84" s="1"/>
  <c r="S40" i="31"/>
  <c r="G18" i="84" s="1"/>
  <c r="S56" i="31"/>
  <c r="G34" i="84" s="1"/>
  <c r="S72" i="31"/>
  <c r="G50" i="84" s="1"/>
  <c r="S88" i="31"/>
  <c r="G66" i="84" s="1"/>
  <c r="S104" i="31"/>
  <c r="G82" i="84" s="1"/>
  <c r="S120" i="31"/>
  <c r="G98" i="84" s="1"/>
  <c r="S136" i="31"/>
  <c r="G114" i="84" s="1"/>
  <c r="S152" i="31"/>
  <c r="G130" i="84" s="1"/>
  <c r="S168" i="31"/>
  <c r="G146" i="84" s="1"/>
  <c r="S184" i="31"/>
  <c r="G162" i="84" s="1"/>
  <c r="S200" i="31"/>
  <c r="G178" i="84" s="1"/>
  <c r="S216" i="31"/>
  <c r="G194" i="84" s="1"/>
  <c r="S232" i="31"/>
  <c r="G210" i="84" s="1"/>
  <c r="S248" i="31"/>
  <c r="G226" i="84" s="1"/>
  <c r="S264" i="31"/>
  <c r="G242" i="84" s="1"/>
  <c r="S280" i="31"/>
  <c r="G258" i="84" s="1"/>
  <c r="S296" i="31"/>
  <c r="G274" i="84" s="1"/>
  <c r="S312" i="31"/>
  <c r="G290" i="84" s="1"/>
  <c r="S328" i="31"/>
  <c r="G306" i="84" s="1"/>
  <c r="S344" i="31"/>
  <c r="G322" i="84" s="1"/>
  <c r="S360" i="31"/>
  <c r="G338" i="84" s="1"/>
  <c r="S35" i="31"/>
  <c r="G13" i="84" s="1"/>
  <c r="S51" i="31"/>
  <c r="G29" i="84" s="1"/>
  <c r="S67" i="31"/>
  <c r="G45" i="84" s="1"/>
  <c r="S83" i="31"/>
  <c r="G61" i="84" s="1"/>
  <c r="S99" i="31"/>
  <c r="G77" i="84" s="1"/>
  <c r="S115" i="31"/>
  <c r="G93" i="84" s="1"/>
  <c r="S131" i="31"/>
  <c r="G109" i="84" s="1"/>
  <c r="S147" i="31"/>
  <c r="G125" i="84" s="1"/>
  <c r="S163" i="31"/>
  <c r="G141" i="84" s="1"/>
  <c r="S179" i="31"/>
  <c r="G157" i="84" s="1"/>
  <c r="S195" i="31"/>
  <c r="G173" i="84" s="1"/>
  <c r="S211" i="31"/>
  <c r="G189" i="84" s="1"/>
  <c r="S227" i="31"/>
  <c r="G205" i="84" s="1"/>
  <c r="S243" i="31"/>
  <c r="G221" i="84" s="1"/>
  <c r="S259" i="31"/>
  <c r="G237" i="84" s="1"/>
  <c r="S275" i="31"/>
  <c r="G253" i="84" s="1"/>
  <c r="S291" i="31"/>
  <c r="G269" i="84" s="1"/>
  <c r="S307" i="31"/>
  <c r="G285" i="84" s="1"/>
  <c r="S323" i="31"/>
  <c r="G301" i="84" s="1"/>
  <c r="S339" i="31"/>
  <c r="G317" i="84" s="1"/>
  <c r="S355" i="31"/>
  <c r="G333" i="84" s="1"/>
  <c r="S372" i="31"/>
  <c r="G350" i="84" s="1"/>
  <c r="S388" i="31"/>
  <c r="G366" i="84" s="1"/>
  <c r="S404" i="31"/>
  <c r="G382" i="84" s="1"/>
  <c r="S420" i="31"/>
  <c r="G398" i="84" s="1"/>
  <c r="S436" i="31"/>
  <c r="G414" i="84" s="1"/>
  <c r="S452" i="31"/>
  <c r="G430" i="84" s="1"/>
  <c r="S468" i="31"/>
  <c r="G446" i="84" s="1"/>
  <c r="S484" i="31"/>
  <c r="G462" i="84" s="1"/>
  <c r="S500" i="31"/>
  <c r="G478" i="84" s="1"/>
  <c r="S516" i="31"/>
  <c r="G494" i="84" s="1"/>
  <c r="S371" i="31"/>
  <c r="G349" i="84" s="1"/>
  <c r="S387" i="31"/>
  <c r="G365" i="84" s="1"/>
  <c r="S403" i="31"/>
  <c r="G381" i="84" s="1"/>
  <c r="S419" i="31"/>
  <c r="G397" i="84" s="1"/>
  <c r="S435" i="31"/>
  <c r="G413" i="84" s="1"/>
  <c r="S451" i="31"/>
  <c r="G429" i="84" s="1"/>
  <c r="S467" i="31"/>
  <c r="G445" i="84" s="1"/>
  <c r="S483" i="31"/>
  <c r="G461" i="84" s="1"/>
  <c r="S499" i="31"/>
  <c r="G477" i="84" s="1"/>
  <c r="S515" i="31"/>
  <c r="G493" i="84" s="1"/>
  <c r="S921" i="31"/>
  <c r="G899" i="84" s="1"/>
  <c r="S894" i="31"/>
  <c r="G872" i="84" s="1"/>
  <c r="S862" i="31"/>
  <c r="G840" i="84" s="1"/>
  <c r="S831" i="31"/>
  <c r="G809" i="84" s="1"/>
  <c r="S919" i="31"/>
  <c r="G897" i="84" s="1"/>
  <c r="S888" i="31"/>
  <c r="G866" i="84" s="1"/>
  <c r="S856" i="31"/>
  <c r="G834" i="84" s="1"/>
  <c r="S809" i="31"/>
  <c r="G787" i="84" s="1"/>
  <c r="S882" i="31"/>
  <c r="G860" i="84" s="1"/>
  <c r="S820" i="31"/>
  <c r="G798" i="84" s="1"/>
  <c r="S903" i="31"/>
  <c r="G881" i="84" s="1"/>
  <c r="S871" i="31"/>
  <c r="G849" i="84" s="1"/>
  <c r="S839" i="31"/>
  <c r="G817" i="84" s="1"/>
  <c r="S808" i="31"/>
  <c r="G786" i="84" s="1"/>
  <c r="S52" i="31"/>
  <c r="G30" i="84" s="1"/>
  <c r="S68" i="31"/>
  <c r="G46" i="84" s="1"/>
  <c r="S84" i="31"/>
  <c r="G62" i="84" s="1"/>
  <c r="S100" i="31"/>
  <c r="G78" i="84" s="1"/>
  <c r="S116" i="31"/>
  <c r="G94" i="84" s="1"/>
  <c r="S132" i="31"/>
  <c r="G110" i="84" s="1"/>
  <c r="S148" i="31"/>
  <c r="G126" i="84" s="1"/>
  <c r="S164" i="31"/>
  <c r="G142" i="84" s="1"/>
  <c r="S180" i="31"/>
  <c r="G158" i="84" s="1"/>
  <c r="S196" i="31"/>
  <c r="G174" i="84" s="1"/>
  <c r="S212" i="31"/>
  <c r="G190" i="84" s="1"/>
  <c r="S228" i="31"/>
  <c r="G206" i="84" s="1"/>
  <c r="S244" i="31"/>
  <c r="G222" i="84" s="1"/>
  <c r="S260" i="31"/>
  <c r="G238" i="84" s="1"/>
  <c r="S276" i="31"/>
  <c r="G254" i="84" s="1"/>
  <c r="S292" i="31"/>
  <c r="G270" i="84" s="1"/>
  <c r="S308" i="31"/>
  <c r="G286" i="84" s="1"/>
  <c r="S324" i="31"/>
  <c r="G302" i="84" s="1"/>
  <c r="S340" i="31"/>
  <c r="G318" i="84" s="1"/>
  <c r="S356" i="31"/>
  <c r="G334" i="84" s="1"/>
  <c r="S31" i="31"/>
  <c r="G9" i="84" s="1"/>
  <c r="S47" i="31"/>
  <c r="G25" i="84" s="1"/>
  <c r="S63" i="31"/>
  <c r="G41" i="84" s="1"/>
  <c r="S79" i="31"/>
  <c r="G57" i="84" s="1"/>
  <c r="S95" i="31"/>
  <c r="G73" i="84" s="1"/>
  <c r="S111" i="31"/>
  <c r="G89" i="84" s="1"/>
  <c r="S127" i="31"/>
  <c r="G105" i="84" s="1"/>
  <c r="S143" i="31"/>
  <c r="G121" i="84" s="1"/>
  <c r="S159" i="31"/>
  <c r="G137" i="84" s="1"/>
  <c r="S175" i="31"/>
  <c r="G153" i="84" s="1"/>
  <c r="S191" i="31"/>
  <c r="G169" i="84" s="1"/>
  <c r="S207" i="31"/>
  <c r="G185" i="84" s="1"/>
  <c r="S223" i="31"/>
  <c r="G201" i="84" s="1"/>
  <c r="S239" i="31"/>
  <c r="G217" i="84" s="1"/>
  <c r="S255" i="31"/>
  <c r="G233" i="84" s="1"/>
  <c r="S271" i="31"/>
  <c r="G249" i="84" s="1"/>
  <c r="S287" i="31"/>
  <c r="G265" i="84" s="1"/>
  <c r="S303" i="31"/>
  <c r="G281" i="84" s="1"/>
  <c r="S319" i="31"/>
  <c r="G297" i="84" s="1"/>
  <c r="S335" i="31"/>
  <c r="G313" i="84" s="1"/>
  <c r="S351" i="31"/>
  <c r="G329" i="84" s="1"/>
  <c r="S368" i="31"/>
  <c r="G346" i="84" s="1"/>
  <c r="S384" i="31"/>
  <c r="G362" i="84" s="1"/>
  <c r="S400" i="31"/>
  <c r="G378" i="84" s="1"/>
  <c r="S416" i="31"/>
  <c r="G394" i="84" s="1"/>
  <c r="S432" i="31"/>
  <c r="G410" i="84" s="1"/>
  <c r="S448" i="31"/>
  <c r="G426" i="84" s="1"/>
  <c r="S464" i="31"/>
  <c r="G442" i="84" s="1"/>
  <c r="S480" i="31"/>
  <c r="G458" i="84" s="1"/>
  <c r="S496" i="31"/>
  <c r="G474" i="84" s="1"/>
  <c r="S512" i="31"/>
  <c r="G490" i="84" s="1"/>
  <c r="S367" i="31"/>
  <c r="G345" i="84" s="1"/>
  <c r="S383" i="31"/>
  <c r="G361" i="84" s="1"/>
  <c r="S399" i="31"/>
  <c r="G377" i="84" s="1"/>
  <c r="S415" i="31"/>
  <c r="G393" i="84" s="1"/>
  <c r="S431" i="31"/>
  <c r="G409" i="84" s="1"/>
  <c r="S447" i="31"/>
  <c r="G425" i="84" s="1"/>
  <c r="S463" i="31"/>
  <c r="G441" i="84" s="1"/>
  <c r="S479" i="31"/>
  <c r="G457" i="84" s="1"/>
  <c r="S495" i="31"/>
  <c r="G473" i="84" s="1"/>
  <c r="S511" i="31"/>
  <c r="G489" i="84" s="1"/>
  <c r="S902" i="31"/>
  <c r="G880" i="84" s="1"/>
  <c r="S870" i="31"/>
  <c r="G848" i="84" s="1"/>
  <c r="S838" i="31"/>
  <c r="G816" i="84" s="1"/>
  <c r="S922" i="31"/>
  <c r="G900" i="84" s="1"/>
  <c r="S896" i="31"/>
  <c r="G874" i="84" s="1"/>
  <c r="S864" i="31"/>
  <c r="G842" i="84" s="1"/>
  <c r="S825" i="31"/>
  <c r="G803" i="84" s="1"/>
  <c r="S898" i="31"/>
  <c r="G876" i="84" s="1"/>
  <c r="S842" i="31"/>
  <c r="G820" i="84" s="1"/>
  <c r="S911" i="31"/>
  <c r="G889" i="84" s="1"/>
  <c r="S879" i="31"/>
  <c r="G857" i="84" s="1"/>
  <c r="S847" i="31"/>
  <c r="G825" i="84" s="1"/>
  <c r="S816" i="31"/>
  <c r="G794" i="84" s="1"/>
  <c r="S833" i="31"/>
  <c r="G811" i="84" s="1"/>
  <c r="S792" i="31"/>
  <c r="G770" i="84" s="1"/>
  <c r="S906" i="31"/>
  <c r="G884" i="84" s="1"/>
  <c r="S874" i="31"/>
  <c r="G852" i="84" s="1"/>
  <c r="S850" i="31"/>
  <c r="G828" i="84" s="1"/>
  <c r="S917" i="31"/>
  <c r="G895" i="84" s="1"/>
  <c r="S915" i="31"/>
  <c r="G893" i="84" s="1"/>
  <c r="S901" i="31"/>
  <c r="G879" i="84" s="1"/>
  <c r="S885" i="31"/>
  <c r="G863" i="84" s="1"/>
  <c r="S869" i="31"/>
  <c r="G847" i="84" s="1"/>
  <c r="S853" i="31"/>
  <c r="G831" i="84" s="1"/>
  <c r="S837" i="31"/>
  <c r="G815" i="84" s="1"/>
  <c r="S822" i="31"/>
  <c r="G800" i="84" s="1"/>
  <c r="S806" i="31"/>
  <c r="G784" i="84" s="1"/>
  <c r="S773" i="31"/>
  <c r="G751" i="84" s="1"/>
  <c r="S899" i="31"/>
  <c r="G877" i="84" s="1"/>
  <c r="S883" i="31"/>
  <c r="G861" i="84" s="1"/>
  <c r="S867" i="31"/>
  <c r="G845" i="84" s="1"/>
  <c r="S851" i="31"/>
  <c r="G829" i="84" s="1"/>
  <c r="S835" i="31"/>
  <c r="G813" i="84" s="1"/>
  <c r="S819" i="31"/>
  <c r="G797" i="84" s="1"/>
  <c r="S803" i="31"/>
  <c r="G781" i="84" s="1"/>
  <c r="S783" i="31"/>
  <c r="G761" i="84" s="1"/>
  <c r="S787" i="31"/>
  <c r="G765" i="84" s="1"/>
  <c r="S771" i="31"/>
  <c r="G749" i="84" s="1"/>
  <c r="S755" i="31"/>
  <c r="G733" i="84" s="1"/>
  <c r="S739" i="31"/>
  <c r="G717" i="84" s="1"/>
  <c r="S723" i="31"/>
  <c r="G701" i="84" s="1"/>
  <c r="S707" i="31"/>
  <c r="G685" i="84" s="1"/>
  <c r="S691" i="31"/>
  <c r="G669" i="84" s="1"/>
  <c r="S675" i="31"/>
  <c r="G653" i="84" s="1"/>
  <c r="S659" i="31"/>
  <c r="G637" i="84" s="1"/>
  <c r="S643" i="31"/>
  <c r="G621" i="84" s="1"/>
  <c r="S630" i="31"/>
  <c r="G608" i="84" s="1"/>
  <c r="S751" i="31"/>
  <c r="G729" i="84" s="1"/>
  <c r="S719" i="31"/>
  <c r="G697" i="84" s="1"/>
  <c r="S687" i="31"/>
  <c r="G665" i="84" s="1"/>
  <c r="S655" i="31"/>
  <c r="G633" i="84" s="1"/>
  <c r="S807" i="31"/>
  <c r="G785" i="84" s="1"/>
  <c r="S892" i="31"/>
  <c r="G870" i="84" s="1"/>
  <c r="S858" i="31"/>
  <c r="G836" i="84" s="1"/>
  <c r="S826" i="31"/>
  <c r="G804" i="84" s="1"/>
  <c r="S804" i="31"/>
  <c r="G782" i="84" s="1"/>
  <c r="S784" i="31"/>
  <c r="G762" i="84" s="1"/>
  <c r="S788" i="31"/>
  <c r="G766" i="84" s="1"/>
  <c r="S772" i="31"/>
  <c r="G750" i="84" s="1"/>
  <c r="S756" i="31"/>
  <c r="G734" i="84" s="1"/>
  <c r="S740" i="31"/>
  <c r="G718" i="84" s="1"/>
  <c r="S724" i="31"/>
  <c r="G702" i="84" s="1"/>
  <c r="S708" i="31"/>
  <c r="G686" i="84" s="1"/>
  <c r="S692" i="31"/>
  <c r="G670" i="84" s="1"/>
  <c r="S666" i="31"/>
  <c r="G644" i="84" s="1"/>
  <c r="S638" i="31"/>
  <c r="G616" i="84" s="1"/>
  <c r="S733" i="31"/>
  <c r="G711" i="84" s="1"/>
  <c r="S669" i="31"/>
  <c r="G647" i="84" s="1"/>
  <c r="S758" i="31"/>
  <c r="G736" i="84" s="1"/>
  <c r="S775" i="31"/>
  <c r="G753" i="84" s="1"/>
  <c r="S905" i="31"/>
  <c r="G883" i="84" s="1"/>
  <c r="S889" i="31"/>
  <c r="G867" i="84" s="1"/>
  <c r="S873" i="31"/>
  <c r="G851" i="84" s="1"/>
  <c r="S857" i="31"/>
  <c r="G835" i="84" s="1"/>
  <c r="S841" i="31"/>
  <c r="G819" i="84" s="1"/>
  <c r="S821" i="31"/>
  <c r="G799" i="84" s="1"/>
  <c r="S805" i="31"/>
  <c r="G783" i="84" s="1"/>
  <c r="S797" i="31"/>
  <c r="G775" i="84" s="1"/>
  <c r="S793" i="31"/>
  <c r="G771" i="84" s="1"/>
  <c r="S777" i="31"/>
  <c r="G755" i="84" s="1"/>
  <c r="S761" i="31"/>
  <c r="G739" i="84" s="1"/>
  <c r="S745" i="31"/>
  <c r="G723" i="84" s="1"/>
  <c r="S729" i="31"/>
  <c r="G707" i="84" s="1"/>
  <c r="S713" i="31"/>
  <c r="G691" i="84" s="1"/>
  <c r="S697" i="31"/>
  <c r="G675" i="84" s="1"/>
  <c r="S681" i="31"/>
  <c r="G659" i="84" s="1"/>
  <c r="S665" i="31"/>
  <c r="G643" i="84" s="1"/>
  <c r="S649" i="31"/>
  <c r="G627" i="84" s="1"/>
  <c r="S637" i="31"/>
  <c r="G615" i="84" s="1"/>
  <c r="S759" i="31"/>
  <c r="G737" i="84" s="1"/>
  <c r="S727" i="31"/>
  <c r="G705" i="84" s="1"/>
  <c r="S695" i="31"/>
  <c r="G673" i="84" s="1"/>
  <c r="S663" i="31"/>
  <c r="G641" i="84" s="1"/>
  <c r="S635" i="31"/>
  <c r="G613" i="84" s="1"/>
  <c r="S900" i="31"/>
  <c r="G878" i="84" s="1"/>
  <c r="S866" i="31"/>
  <c r="G844" i="84" s="1"/>
  <c r="S828" i="31"/>
  <c r="G806" i="84" s="1"/>
  <c r="S810" i="31"/>
  <c r="G788" i="84" s="1"/>
  <c r="S798" i="31"/>
  <c r="G776" i="84" s="1"/>
  <c r="S794" i="31"/>
  <c r="G772" i="84" s="1"/>
  <c r="S778" i="31"/>
  <c r="G756" i="84" s="1"/>
  <c r="S762" i="31"/>
  <c r="G740" i="84" s="1"/>
  <c r="S746" i="31"/>
  <c r="G724" i="84" s="1"/>
  <c r="S730" i="31"/>
  <c r="G708" i="84" s="1"/>
  <c r="S714" i="31"/>
  <c r="G692" i="84" s="1"/>
  <c r="S698" i="31"/>
  <c r="G676" i="84" s="1"/>
  <c r="S674" i="31"/>
  <c r="G652" i="84" s="1"/>
  <c r="S642" i="31"/>
  <c r="G620" i="84" s="1"/>
  <c r="S749" i="31"/>
  <c r="G727" i="84" s="1"/>
  <c r="S685" i="31"/>
  <c r="G663" i="84" s="1"/>
  <c r="S766" i="31"/>
  <c r="G744" i="84" s="1"/>
  <c r="S734" i="31"/>
  <c r="G712" i="84" s="1"/>
  <c r="S676" i="31"/>
  <c r="G654" i="84" s="1"/>
  <c r="S660" i="31"/>
  <c r="G638" i="84" s="1"/>
  <c r="S644" i="31"/>
  <c r="G622" i="84" s="1"/>
  <c r="S631" i="31"/>
  <c r="G609" i="84" s="1"/>
  <c r="S757" i="31"/>
  <c r="G735" i="84" s="1"/>
  <c r="S725" i="31"/>
  <c r="G703" i="84" s="1"/>
  <c r="S693" i="31"/>
  <c r="G671" i="84" s="1"/>
  <c r="S661" i="31"/>
  <c r="G639" i="84" s="1"/>
  <c r="S633" i="31"/>
  <c r="G611" i="84" s="1"/>
  <c r="S752" i="31"/>
  <c r="G730" i="84" s="1"/>
  <c r="S736" i="31"/>
  <c r="G714" i="84" s="1"/>
  <c r="S720" i="31"/>
  <c r="G698" i="84" s="1"/>
  <c r="S704" i="31"/>
  <c r="G682" i="84" s="1"/>
  <c r="S688" i="31"/>
  <c r="G666" i="84" s="1"/>
  <c r="S672" i="31"/>
  <c r="G650" i="84" s="1"/>
  <c r="S656" i="31"/>
  <c r="G634" i="84" s="1"/>
  <c r="S623" i="31"/>
  <c r="G601" i="84" s="1"/>
  <c r="S632" i="31"/>
  <c r="G610" i="84" s="1"/>
  <c r="S614" i="31"/>
  <c r="G592" i="84" s="1"/>
  <c r="S598" i="31"/>
  <c r="G576" i="84" s="1"/>
  <c r="S582" i="31"/>
  <c r="G560" i="84" s="1"/>
  <c r="S566" i="31"/>
  <c r="G544" i="84" s="1"/>
  <c r="S550" i="31"/>
  <c r="G528" i="84" s="1"/>
  <c r="S534" i="31"/>
  <c r="G512" i="84" s="1"/>
  <c r="S616" i="31"/>
  <c r="G594" i="84" s="1"/>
  <c r="S600" i="31"/>
  <c r="G578" i="84" s="1"/>
  <c r="S584" i="31"/>
  <c r="G562" i="84" s="1"/>
  <c r="S568" i="31"/>
  <c r="G546" i="84" s="1"/>
  <c r="S552" i="31"/>
  <c r="G530" i="84" s="1"/>
  <c r="S536" i="31"/>
  <c r="G514" i="84" s="1"/>
  <c r="S619" i="31"/>
  <c r="G597" i="84" s="1"/>
  <c r="S605" i="31"/>
  <c r="G583" i="84" s="1"/>
  <c r="S589" i="31"/>
  <c r="G567" i="84" s="1"/>
  <c r="S573" i="31"/>
  <c r="G551" i="84" s="1"/>
  <c r="S557" i="31"/>
  <c r="G535" i="84" s="1"/>
  <c r="S541" i="31"/>
  <c r="G519" i="84" s="1"/>
  <c r="S527" i="31"/>
  <c r="G505" i="84" s="1"/>
  <c r="S607" i="31"/>
  <c r="G585" i="84" s="1"/>
  <c r="S591" i="31"/>
  <c r="G569" i="84" s="1"/>
  <c r="S575" i="31"/>
  <c r="G553" i="84" s="1"/>
  <c r="S559" i="31"/>
  <c r="G537" i="84" s="1"/>
  <c r="S543" i="31"/>
  <c r="G521" i="84" s="1"/>
  <c r="S726" i="31"/>
  <c r="G704" i="84" s="1"/>
  <c r="S710" i="31"/>
  <c r="G688" i="84" s="1"/>
  <c r="S694" i="31"/>
  <c r="G672" i="84" s="1"/>
  <c r="S678" i="31"/>
  <c r="G656" i="84" s="1"/>
  <c r="S662" i="31"/>
  <c r="G640" i="84" s="1"/>
  <c r="S646" i="31"/>
  <c r="G624" i="84" s="1"/>
  <c r="S634" i="31"/>
  <c r="G612" i="84" s="1"/>
  <c r="S618" i="31"/>
  <c r="G596" i="84" s="1"/>
  <c r="S602" i="31"/>
  <c r="G580" i="84" s="1"/>
  <c r="S586" i="31"/>
  <c r="G564" i="84" s="1"/>
  <c r="S570" i="31"/>
  <c r="G548" i="84" s="1"/>
  <c r="S554" i="31"/>
  <c r="G532" i="84" s="1"/>
  <c r="S538" i="31"/>
  <c r="G516" i="84" s="1"/>
  <c r="S526" i="31"/>
  <c r="G504" i="84" s="1"/>
  <c r="S604" i="31"/>
  <c r="G582" i="84" s="1"/>
  <c r="S588" i="31"/>
  <c r="G566" i="84" s="1"/>
  <c r="S572" i="31"/>
  <c r="G550" i="84" s="1"/>
  <c r="S556" i="31"/>
  <c r="G534" i="84" s="1"/>
  <c r="S540" i="31"/>
  <c r="G518" i="84" s="1"/>
  <c r="S625" i="31"/>
  <c r="G603" i="84" s="1"/>
  <c r="S609" i="31"/>
  <c r="G587" i="84" s="1"/>
  <c r="S593" i="31"/>
  <c r="G571" i="84" s="1"/>
  <c r="S577" i="31"/>
  <c r="G555" i="84" s="1"/>
  <c r="S561" i="31"/>
  <c r="G539" i="84" s="1"/>
  <c r="S545" i="31"/>
  <c r="G523" i="84" s="1"/>
  <c r="S529" i="31"/>
  <c r="G507" i="84" s="1"/>
  <c r="S611" i="31"/>
  <c r="G589" i="84" s="1"/>
  <c r="S595" i="31"/>
  <c r="G573" i="84" s="1"/>
  <c r="S579" i="31"/>
  <c r="G557" i="84" s="1"/>
  <c r="S563" i="31"/>
  <c r="G541" i="84" s="1"/>
  <c r="S547" i="31"/>
  <c r="G525" i="84" s="1"/>
  <c r="S531" i="31"/>
  <c r="G509" i="84" s="1"/>
  <c r="S26" i="31"/>
  <c r="G4" i="84" s="1"/>
  <c r="S42" i="31"/>
  <c r="G20" i="84" s="1"/>
  <c r="S58" i="31"/>
  <c r="G36" i="84" s="1"/>
  <c r="S74" i="31"/>
  <c r="G52" i="84" s="1"/>
  <c r="S90" i="31"/>
  <c r="G68" i="84" s="1"/>
  <c r="S106" i="31"/>
  <c r="G84" i="84" s="1"/>
  <c r="S122" i="31"/>
  <c r="G100" i="84" s="1"/>
  <c r="S138" i="31"/>
  <c r="G116" i="84" s="1"/>
  <c r="S154" i="31"/>
  <c r="G132" i="84" s="1"/>
  <c r="S170" i="31"/>
  <c r="G148" i="84" s="1"/>
  <c r="S186" i="31"/>
  <c r="G164" i="84" s="1"/>
  <c r="S202" i="31"/>
  <c r="G180" i="84" s="1"/>
  <c r="S218" i="31"/>
  <c r="G196" i="84" s="1"/>
  <c r="S234" i="31"/>
  <c r="G212" i="84" s="1"/>
  <c r="S250" i="31"/>
  <c r="G228" i="84" s="1"/>
  <c r="S266" i="31"/>
  <c r="G244" i="84" s="1"/>
  <c r="S282" i="31"/>
  <c r="G260" i="84" s="1"/>
  <c r="S298" i="31"/>
  <c r="G276" i="84" s="1"/>
  <c r="S314" i="31"/>
  <c r="G292" i="84" s="1"/>
  <c r="S330" i="31"/>
  <c r="G308" i="84" s="1"/>
  <c r="S346" i="31"/>
  <c r="G324" i="84" s="1"/>
  <c r="S362" i="31"/>
  <c r="G340" i="84" s="1"/>
  <c r="S37" i="31"/>
  <c r="G15" i="84" s="1"/>
  <c r="S53" i="31"/>
  <c r="G31" i="84" s="1"/>
  <c r="S69" i="31"/>
  <c r="G47" i="84" s="1"/>
  <c r="S85" i="31"/>
  <c r="G63" i="84" s="1"/>
  <c r="S101" i="31"/>
  <c r="G79" i="84" s="1"/>
  <c r="S117" i="31"/>
  <c r="G95" i="84" s="1"/>
  <c r="S133" i="31"/>
  <c r="G111" i="84" s="1"/>
  <c r="S149" i="31"/>
  <c r="G127" i="84" s="1"/>
  <c r="S165" i="31"/>
  <c r="G143" i="84" s="1"/>
  <c r="S181" i="31"/>
  <c r="G159" i="84" s="1"/>
  <c r="S197" i="31"/>
  <c r="G175" i="84" s="1"/>
  <c r="S213" i="31"/>
  <c r="G191" i="84" s="1"/>
  <c r="S229" i="31"/>
  <c r="G207" i="84" s="1"/>
  <c r="S245" i="31"/>
  <c r="G223" i="84" s="1"/>
  <c r="S261" i="31"/>
  <c r="G239" i="84" s="1"/>
  <c r="S277" i="31"/>
  <c r="G255" i="84" s="1"/>
  <c r="S293" i="31"/>
  <c r="G271" i="84" s="1"/>
  <c r="S309" i="31"/>
  <c r="G287" i="84" s="1"/>
  <c r="S325" i="31"/>
  <c r="G303" i="84" s="1"/>
  <c r="S341" i="31"/>
  <c r="G319" i="84" s="1"/>
  <c r="S357" i="31"/>
  <c r="G335" i="84" s="1"/>
  <c r="S374" i="31"/>
  <c r="G352" i="84" s="1"/>
  <c r="S390" i="31"/>
  <c r="G368" i="84" s="1"/>
  <c r="S406" i="31"/>
  <c r="G384" i="84" s="1"/>
  <c r="S422" i="31"/>
  <c r="G400" i="84" s="1"/>
  <c r="S438" i="31"/>
  <c r="G416" i="84" s="1"/>
  <c r="S454" i="31"/>
  <c r="G432" i="84" s="1"/>
  <c r="S470" i="31"/>
  <c r="G448" i="84" s="1"/>
  <c r="S486" i="31"/>
  <c r="G464" i="84" s="1"/>
  <c r="S502" i="31"/>
  <c r="G480" i="84" s="1"/>
  <c r="S518" i="31"/>
  <c r="G496" i="84" s="1"/>
  <c r="S373" i="31"/>
  <c r="G351" i="84" s="1"/>
  <c r="S397" i="31"/>
  <c r="G375" i="84" s="1"/>
  <c r="S429" i="31"/>
  <c r="G407" i="84" s="1"/>
  <c r="S461" i="31"/>
  <c r="G439" i="84" s="1"/>
  <c r="S493" i="31"/>
  <c r="G471" i="84" s="1"/>
  <c r="S28" i="31"/>
  <c r="G6" i="84" s="1"/>
  <c r="S38" i="31"/>
  <c r="G16" i="84" s="1"/>
  <c r="S54" i="31"/>
  <c r="G32" i="84" s="1"/>
  <c r="S70" i="31"/>
  <c r="G48" i="84" s="1"/>
  <c r="S86" i="31"/>
  <c r="G64" i="84" s="1"/>
  <c r="S102" i="31"/>
  <c r="G80" i="84" s="1"/>
  <c r="S118" i="31"/>
  <c r="G96" i="84" s="1"/>
  <c r="S134" i="31"/>
  <c r="G112" i="84" s="1"/>
  <c r="S150" i="31"/>
  <c r="G128" i="84" s="1"/>
  <c r="S166" i="31"/>
  <c r="G144" i="84" s="1"/>
  <c r="S182" i="31"/>
  <c r="G160" i="84" s="1"/>
  <c r="S198" i="31"/>
  <c r="G176" i="84" s="1"/>
  <c r="S214" i="31"/>
  <c r="G192" i="84" s="1"/>
  <c r="S230" i="31"/>
  <c r="G208" i="84" s="1"/>
  <c r="S246" i="31"/>
  <c r="G224" i="84" s="1"/>
  <c r="S262" i="31"/>
  <c r="G240" i="84" s="1"/>
  <c r="S278" i="31"/>
  <c r="G256" i="84" s="1"/>
  <c r="S294" i="31"/>
  <c r="G272" i="84" s="1"/>
  <c r="S310" i="31"/>
  <c r="G288" i="84" s="1"/>
  <c r="S326" i="31"/>
  <c r="G304" i="84" s="1"/>
  <c r="S342" i="31"/>
  <c r="G320" i="84" s="1"/>
  <c r="S358" i="31"/>
  <c r="G336" i="84" s="1"/>
  <c r="S33" i="31"/>
  <c r="G11" i="84" s="1"/>
  <c r="S49" i="31"/>
  <c r="G27" i="84" s="1"/>
  <c r="S65" i="31"/>
  <c r="G43" i="84" s="1"/>
  <c r="S81" i="31"/>
  <c r="G59" i="84" s="1"/>
  <c r="S97" i="31"/>
  <c r="G75" i="84" s="1"/>
  <c r="S113" i="31"/>
  <c r="G91" i="84" s="1"/>
  <c r="S129" i="31"/>
  <c r="G107" i="84" s="1"/>
  <c r="S145" i="31"/>
  <c r="G123" i="84" s="1"/>
  <c r="S161" i="31"/>
  <c r="G139" i="84" s="1"/>
  <c r="S177" i="31"/>
  <c r="G155" i="84" s="1"/>
  <c r="S193" i="31"/>
  <c r="G171" i="84" s="1"/>
  <c r="S209" i="31"/>
  <c r="G187" i="84" s="1"/>
  <c r="S225" i="31"/>
  <c r="G203" i="84" s="1"/>
  <c r="S241" i="31"/>
  <c r="G219" i="84" s="1"/>
  <c r="S257" i="31"/>
  <c r="G235" i="84" s="1"/>
  <c r="S273" i="31"/>
  <c r="G251" i="84" s="1"/>
  <c r="S289" i="31"/>
  <c r="G267" i="84" s="1"/>
  <c r="S305" i="31"/>
  <c r="G283" i="84" s="1"/>
  <c r="S321" i="31"/>
  <c r="G299" i="84" s="1"/>
  <c r="S337" i="31"/>
  <c r="G315" i="84" s="1"/>
  <c r="S353" i="31"/>
  <c r="G331" i="84" s="1"/>
  <c r="S370" i="31"/>
  <c r="G348" i="84" s="1"/>
  <c r="S386" i="31"/>
  <c r="G364" i="84" s="1"/>
  <c r="S402" i="31"/>
  <c r="G380" i="84" s="1"/>
  <c r="S418" i="31"/>
  <c r="G396" i="84" s="1"/>
  <c r="S434" i="31"/>
  <c r="G412" i="84" s="1"/>
  <c r="S450" i="31"/>
  <c r="G428" i="84" s="1"/>
  <c r="S466" i="31"/>
  <c r="G444" i="84" s="1"/>
  <c r="S482" i="31"/>
  <c r="G460" i="84" s="1"/>
  <c r="S498" i="31"/>
  <c r="G476" i="84" s="1"/>
  <c r="S514" i="31"/>
  <c r="G492" i="84" s="1"/>
  <c r="S369" i="31"/>
  <c r="G347" i="84" s="1"/>
  <c r="S389" i="31"/>
  <c r="G367" i="84" s="1"/>
  <c r="S421" i="31"/>
  <c r="G399" i="84" s="1"/>
  <c r="S453" i="31"/>
  <c r="G431" i="84" s="1"/>
  <c r="S485" i="31"/>
  <c r="G463" i="84" s="1"/>
  <c r="S517" i="31"/>
  <c r="G495" i="84" s="1"/>
  <c r="S385" i="31"/>
  <c r="G363" i="84" s="1"/>
  <c r="S401" i="31"/>
  <c r="G379" i="84" s="1"/>
  <c r="S417" i="31"/>
  <c r="G395" i="84" s="1"/>
  <c r="S433" i="31"/>
  <c r="G411" i="84" s="1"/>
  <c r="S449" i="31"/>
  <c r="G427" i="84" s="1"/>
  <c r="S465" i="31"/>
  <c r="G443" i="84" s="1"/>
  <c r="S481" i="31"/>
  <c r="G459" i="84" s="1"/>
  <c r="S497" i="31"/>
  <c r="G475" i="84" s="1"/>
  <c r="S513" i="31"/>
  <c r="G491" i="84" s="1"/>
  <c r="S32" i="31"/>
  <c r="G10" i="84" s="1"/>
  <c r="S48" i="31"/>
  <c r="G26" i="84" s="1"/>
  <c r="S64" i="31"/>
  <c r="G42" i="84" s="1"/>
  <c r="S80" i="31"/>
  <c r="G58" i="84" s="1"/>
  <c r="S96" i="31"/>
  <c r="G74" i="84" s="1"/>
  <c r="S112" i="31"/>
  <c r="G90" i="84" s="1"/>
  <c r="S128" i="31"/>
  <c r="G106" i="84" s="1"/>
  <c r="S144" i="31"/>
  <c r="G122" i="84" s="1"/>
  <c r="S160" i="31"/>
  <c r="G138" i="84" s="1"/>
  <c r="S176" i="31"/>
  <c r="G154" i="84" s="1"/>
  <c r="S192" i="31"/>
  <c r="G170" i="84" s="1"/>
  <c r="S208" i="31"/>
  <c r="G186" i="84" s="1"/>
  <c r="S224" i="31"/>
  <c r="G202" i="84" s="1"/>
  <c r="S240" i="31"/>
  <c r="G218" i="84" s="1"/>
  <c r="S256" i="31"/>
  <c r="G234" i="84" s="1"/>
  <c r="S272" i="31"/>
  <c r="G250" i="84" s="1"/>
  <c r="S288" i="31"/>
  <c r="G266" i="84" s="1"/>
  <c r="S304" i="31"/>
  <c r="G282" i="84" s="1"/>
  <c r="S320" i="31"/>
  <c r="G298" i="84" s="1"/>
  <c r="S336" i="31"/>
  <c r="G314" i="84" s="1"/>
  <c r="S352" i="31"/>
  <c r="G330" i="84" s="1"/>
  <c r="S27" i="31"/>
  <c r="G5" i="84" s="1"/>
  <c r="S43" i="31"/>
  <c r="G21" i="84" s="1"/>
  <c r="S59" i="31"/>
  <c r="G37" i="84" s="1"/>
  <c r="S75" i="31"/>
  <c r="G53" i="84" s="1"/>
  <c r="S91" i="31"/>
  <c r="G69" i="84" s="1"/>
  <c r="S107" i="31"/>
  <c r="G85" i="84" s="1"/>
  <c r="S123" i="31"/>
  <c r="G101" i="84" s="1"/>
  <c r="S139" i="31"/>
  <c r="G117" i="84" s="1"/>
  <c r="S155" i="31"/>
  <c r="G133" i="84" s="1"/>
  <c r="S171" i="31"/>
  <c r="G149" i="84" s="1"/>
  <c r="S187" i="31"/>
  <c r="G165" i="84" s="1"/>
  <c r="S203" i="31"/>
  <c r="G181" i="84" s="1"/>
  <c r="S219" i="31"/>
  <c r="G197" i="84" s="1"/>
  <c r="S235" i="31"/>
  <c r="G213" i="84" s="1"/>
  <c r="S251" i="31"/>
  <c r="G229" i="84" s="1"/>
  <c r="S267" i="31"/>
  <c r="G245" i="84" s="1"/>
  <c r="S283" i="31"/>
  <c r="G261" i="84" s="1"/>
  <c r="S299" i="31"/>
  <c r="G277" i="84" s="1"/>
  <c r="S315" i="31"/>
  <c r="G293" i="84" s="1"/>
  <c r="S331" i="31"/>
  <c r="G309" i="84" s="1"/>
  <c r="S347" i="31"/>
  <c r="G325" i="84" s="1"/>
  <c r="S363" i="31"/>
  <c r="G341" i="84" s="1"/>
  <c r="S380" i="31"/>
  <c r="G358" i="84" s="1"/>
  <c r="S396" i="31"/>
  <c r="G374" i="84" s="1"/>
  <c r="S412" i="31"/>
  <c r="G390" i="84" s="1"/>
  <c r="S428" i="31"/>
  <c r="G406" i="84" s="1"/>
  <c r="S444" i="31"/>
  <c r="G422" i="84" s="1"/>
  <c r="S460" i="31"/>
  <c r="G438" i="84" s="1"/>
  <c r="S476" i="31"/>
  <c r="G454" i="84" s="1"/>
  <c r="S492" i="31"/>
  <c r="G470" i="84" s="1"/>
  <c r="S508" i="31"/>
  <c r="G486" i="84" s="1"/>
  <c r="S524" i="31"/>
  <c r="G502" i="84" s="1"/>
  <c r="S379" i="31"/>
  <c r="G357" i="84" s="1"/>
  <c r="S395" i="31"/>
  <c r="G373" i="84" s="1"/>
  <c r="S411" i="31"/>
  <c r="G389" i="84" s="1"/>
  <c r="S427" i="31"/>
  <c r="G405" i="84" s="1"/>
  <c r="S443" i="31"/>
  <c r="G421" i="84" s="1"/>
  <c r="S459" i="31"/>
  <c r="G437" i="84" s="1"/>
  <c r="S475" i="31"/>
  <c r="G453" i="84" s="1"/>
  <c r="S491" i="31"/>
  <c r="G469" i="84" s="1"/>
  <c r="S507" i="31"/>
  <c r="G485" i="84" s="1"/>
  <c r="S523" i="31"/>
  <c r="G501" i="84" s="1"/>
  <c r="S910" i="31"/>
  <c r="G888" i="84" s="1"/>
  <c r="S878" i="31"/>
  <c r="G856" i="84" s="1"/>
  <c r="S846" i="31"/>
  <c r="G824" i="84" s="1"/>
  <c r="S815" i="31"/>
  <c r="G793" i="84" s="1"/>
  <c r="S904" i="31"/>
  <c r="G882" i="84" s="1"/>
  <c r="S872" i="31"/>
  <c r="G850" i="84" s="1"/>
  <c r="S840" i="31"/>
  <c r="G818" i="84" s="1"/>
  <c r="S908" i="31"/>
  <c r="G886" i="84" s="1"/>
  <c r="S852" i="31"/>
  <c r="G830" i="84" s="1"/>
  <c r="S918" i="31"/>
  <c r="G896" i="84" s="1"/>
  <c r="S887" i="31"/>
  <c r="G865" i="84" s="1"/>
  <c r="S855" i="31"/>
  <c r="G833" i="84" s="1"/>
  <c r="S824" i="31"/>
  <c r="G802" i="84" s="1"/>
  <c r="S44" i="31"/>
  <c r="G22" i="84" s="1"/>
  <c r="S60" i="31"/>
  <c r="G38" i="84" s="1"/>
  <c r="S76" i="31"/>
  <c r="G54" i="84" s="1"/>
  <c r="S92" i="31"/>
  <c r="G70" i="84" s="1"/>
  <c r="S108" i="31"/>
  <c r="G86" i="84" s="1"/>
  <c r="S124" i="31"/>
  <c r="G102" i="84" s="1"/>
  <c r="S140" i="31"/>
  <c r="G118" i="84" s="1"/>
  <c r="S156" i="31"/>
  <c r="G134" i="84" s="1"/>
  <c r="S172" i="31"/>
  <c r="G150" i="84" s="1"/>
  <c r="S188" i="31"/>
  <c r="G166" i="84" s="1"/>
  <c r="S204" i="31"/>
  <c r="G182" i="84" s="1"/>
  <c r="S220" i="31"/>
  <c r="G198" i="84" s="1"/>
  <c r="S236" i="31"/>
  <c r="G214" i="84" s="1"/>
  <c r="S252" i="31"/>
  <c r="G230" i="84" s="1"/>
  <c r="S268" i="31"/>
  <c r="G246" i="84" s="1"/>
  <c r="S284" i="31"/>
  <c r="G262" i="84" s="1"/>
  <c r="S300" i="31"/>
  <c r="G278" i="84" s="1"/>
  <c r="S316" i="31"/>
  <c r="G294" i="84" s="1"/>
  <c r="S332" i="31"/>
  <c r="G310" i="84" s="1"/>
  <c r="S348" i="31"/>
  <c r="G326" i="84" s="1"/>
  <c r="S364" i="31"/>
  <c r="G342" i="84" s="1"/>
  <c r="S39" i="31"/>
  <c r="G17" i="84" s="1"/>
  <c r="S55" i="31"/>
  <c r="G33" i="84" s="1"/>
  <c r="S71" i="31"/>
  <c r="G49" i="84" s="1"/>
  <c r="S87" i="31"/>
  <c r="G65" i="84" s="1"/>
  <c r="S103" i="31"/>
  <c r="G81" i="84" s="1"/>
  <c r="S119" i="31"/>
  <c r="G97" i="84" s="1"/>
  <c r="S135" i="31"/>
  <c r="G113" i="84" s="1"/>
  <c r="S151" i="31"/>
  <c r="G129" i="84" s="1"/>
  <c r="S167" i="31"/>
  <c r="G145" i="84" s="1"/>
  <c r="S183" i="31"/>
  <c r="G161" i="84" s="1"/>
  <c r="S199" i="31"/>
  <c r="G177" i="84" s="1"/>
  <c r="S215" i="31"/>
  <c r="G193" i="84" s="1"/>
  <c r="S231" i="31"/>
  <c r="G209" i="84" s="1"/>
  <c r="S247" i="31"/>
  <c r="G225" i="84" s="1"/>
  <c r="S263" i="31"/>
  <c r="G241" i="84" s="1"/>
  <c r="S279" i="31"/>
  <c r="G257" i="84" s="1"/>
  <c r="S295" i="31"/>
  <c r="G273" i="84" s="1"/>
  <c r="S311" i="31"/>
  <c r="G289" i="84" s="1"/>
  <c r="S327" i="31"/>
  <c r="G305" i="84" s="1"/>
  <c r="S343" i="31"/>
  <c r="G321" i="84" s="1"/>
  <c r="S359" i="31"/>
  <c r="G337" i="84" s="1"/>
  <c r="S376" i="31"/>
  <c r="G354" i="84" s="1"/>
  <c r="S392" i="31"/>
  <c r="G370" i="84" s="1"/>
  <c r="S408" i="31"/>
  <c r="G386" i="84" s="1"/>
  <c r="S424" i="31"/>
  <c r="G402" i="84" s="1"/>
  <c r="S440" i="31"/>
  <c r="G418" i="84" s="1"/>
  <c r="S456" i="31"/>
  <c r="G434" i="84" s="1"/>
  <c r="S472" i="31"/>
  <c r="G450" i="84" s="1"/>
  <c r="S488" i="31"/>
  <c r="G466" i="84" s="1"/>
  <c r="S504" i="31"/>
  <c r="G482" i="84" s="1"/>
  <c r="S520" i="31"/>
  <c r="G498" i="84" s="1"/>
  <c r="S375" i="31"/>
  <c r="G353" i="84" s="1"/>
  <c r="S391" i="31"/>
  <c r="G369" i="84" s="1"/>
  <c r="S407" i="31"/>
  <c r="G385" i="84" s="1"/>
  <c r="S423" i="31"/>
  <c r="G401" i="84" s="1"/>
  <c r="S439" i="31"/>
  <c r="G417" i="84" s="1"/>
  <c r="S455" i="31"/>
  <c r="G433" i="84" s="1"/>
  <c r="S471" i="31"/>
  <c r="G449" i="84" s="1"/>
  <c r="S487" i="31"/>
  <c r="G465" i="84" s="1"/>
  <c r="S503" i="31"/>
  <c r="G481" i="84" s="1"/>
  <c r="S519" i="31"/>
  <c r="G497" i="84" s="1"/>
  <c r="S916" i="31"/>
  <c r="G894" i="84" s="1"/>
  <c r="S886" i="31"/>
  <c r="G864" i="84" s="1"/>
  <c r="S854" i="31"/>
  <c r="G832" i="84" s="1"/>
  <c r="S823" i="31"/>
  <c r="G801" i="84" s="1"/>
  <c r="S912" i="31"/>
  <c r="G890" i="84" s="1"/>
  <c r="S880" i="31"/>
  <c r="G858" i="84" s="1"/>
  <c r="S848" i="31"/>
  <c r="G826" i="84" s="1"/>
  <c r="S790" i="31"/>
  <c r="G768" i="84" s="1"/>
  <c r="S868" i="31"/>
  <c r="G846" i="84" s="1"/>
  <c r="S914" i="31"/>
  <c r="G892" i="84" s="1"/>
  <c r="S895" i="31"/>
  <c r="G873" i="84" s="1"/>
  <c r="S863" i="31"/>
  <c r="G841" i="84" s="1"/>
  <c r="S832" i="31"/>
  <c r="G810" i="84" s="1"/>
  <c r="S791" i="31"/>
  <c r="G769" i="84" s="1"/>
  <c r="S817" i="31"/>
  <c r="G795" i="84" s="1"/>
  <c r="S774" i="31"/>
  <c r="G752" i="84" s="1"/>
  <c r="S890" i="31"/>
  <c r="G868" i="84" s="1"/>
  <c r="S860" i="31"/>
  <c r="G838" i="84" s="1"/>
  <c r="S834" i="31"/>
  <c r="G812" i="84" s="1"/>
  <c r="S920" i="31"/>
  <c r="G898" i="84" s="1"/>
  <c r="S909" i="31"/>
  <c r="G887" i="84" s="1"/>
  <c r="S893" i="31"/>
  <c r="G871" i="84" s="1"/>
  <c r="S877" i="31"/>
  <c r="G855" i="84" s="1"/>
  <c r="S861" i="31"/>
  <c r="G839" i="84" s="1"/>
  <c r="S845" i="31"/>
  <c r="G823" i="84" s="1"/>
  <c r="S830" i="31"/>
  <c r="G808" i="84" s="1"/>
  <c r="S814" i="31"/>
  <c r="G792" i="84" s="1"/>
  <c r="S789" i="31"/>
  <c r="G767" i="84" s="1"/>
  <c r="S907" i="31"/>
  <c r="G885" i="84" s="1"/>
  <c r="S891" i="31"/>
  <c r="G869" i="84" s="1"/>
  <c r="S875" i="31"/>
  <c r="G853" i="84" s="1"/>
  <c r="S859" i="31"/>
  <c r="G837" i="84" s="1"/>
  <c r="S843" i="31"/>
  <c r="G821" i="84" s="1"/>
  <c r="S827" i="31"/>
  <c r="G805" i="84" s="1"/>
  <c r="S811" i="31"/>
  <c r="G789" i="84" s="1"/>
  <c r="S799" i="31"/>
  <c r="G777" i="84" s="1"/>
  <c r="S795" i="31"/>
  <c r="G773" i="84" s="1"/>
  <c r="S779" i="31"/>
  <c r="G757" i="84" s="1"/>
  <c r="S763" i="31"/>
  <c r="G741" i="84" s="1"/>
  <c r="S747" i="31"/>
  <c r="G725" i="84" s="1"/>
  <c r="S731" i="31"/>
  <c r="G709" i="84" s="1"/>
  <c r="S715" i="31"/>
  <c r="G693" i="84" s="1"/>
  <c r="S699" i="31"/>
  <c r="G677" i="84" s="1"/>
  <c r="S683" i="31"/>
  <c r="G661" i="84" s="1"/>
  <c r="S667" i="31"/>
  <c r="G645" i="84" s="1"/>
  <c r="S651" i="31"/>
  <c r="G629" i="84" s="1"/>
  <c r="S639" i="31"/>
  <c r="G617" i="84" s="1"/>
  <c r="S767" i="31"/>
  <c r="G745" i="84" s="1"/>
  <c r="S735" i="31"/>
  <c r="G713" i="84" s="1"/>
  <c r="S703" i="31"/>
  <c r="G681" i="84" s="1"/>
  <c r="S671" i="31"/>
  <c r="G649" i="84" s="1"/>
  <c r="S622" i="31"/>
  <c r="G600" i="84" s="1"/>
  <c r="S923" i="31"/>
  <c r="G901" i="84" s="1"/>
  <c r="S876" i="31"/>
  <c r="G854" i="84" s="1"/>
  <c r="S836" i="31"/>
  <c r="G814" i="84" s="1"/>
  <c r="S812" i="31"/>
  <c r="G790" i="84" s="1"/>
  <c r="S800" i="31"/>
  <c r="G778" i="84" s="1"/>
  <c r="S796" i="31"/>
  <c r="G774" i="84" s="1"/>
  <c r="S780" i="31"/>
  <c r="G758" i="84" s="1"/>
  <c r="S764" i="31"/>
  <c r="G742" i="84" s="1"/>
  <c r="S748" i="31"/>
  <c r="G726" i="84" s="1"/>
  <c r="S732" i="31"/>
  <c r="G710" i="84" s="1"/>
  <c r="S716" i="31"/>
  <c r="G694" i="84" s="1"/>
  <c r="S700" i="31"/>
  <c r="G678" i="84" s="1"/>
  <c r="S682" i="31"/>
  <c r="G660" i="84" s="1"/>
  <c r="S650" i="31"/>
  <c r="G628" i="84" s="1"/>
  <c r="S765" i="31"/>
  <c r="G743" i="84" s="1"/>
  <c r="S701" i="31"/>
  <c r="G679" i="84" s="1"/>
  <c r="S620" i="31"/>
  <c r="G598" i="84" s="1"/>
  <c r="S742" i="31"/>
  <c r="G720" i="84" s="1"/>
  <c r="S913" i="31"/>
  <c r="G891" i="84" s="1"/>
  <c r="S897" i="31"/>
  <c r="G875" i="84" s="1"/>
  <c r="S881" i="31"/>
  <c r="G859" i="84" s="1"/>
  <c r="S865" i="31"/>
  <c r="G843" i="84" s="1"/>
  <c r="S849" i="31"/>
  <c r="G827" i="84" s="1"/>
  <c r="S829" i="31"/>
  <c r="G807" i="84" s="1"/>
  <c r="S813" i="31"/>
  <c r="G791" i="84" s="1"/>
  <c r="S801" i="31"/>
  <c r="G779" i="84" s="1"/>
  <c r="S781" i="31"/>
  <c r="G759" i="84" s="1"/>
  <c r="S785" i="31"/>
  <c r="G763" i="84" s="1"/>
  <c r="S769" i="31"/>
  <c r="G747" i="84" s="1"/>
  <c r="S753" i="31"/>
  <c r="G731" i="84" s="1"/>
  <c r="S737" i="31"/>
  <c r="G715" i="84" s="1"/>
  <c r="S721" i="31"/>
  <c r="G699" i="84" s="1"/>
  <c r="S705" i="31"/>
  <c r="G683" i="84" s="1"/>
  <c r="S689" i="31"/>
  <c r="G667" i="84" s="1"/>
  <c r="S673" i="31"/>
  <c r="G651" i="84" s="1"/>
  <c r="S657" i="31"/>
  <c r="G635" i="84" s="1"/>
  <c r="S641" i="31"/>
  <c r="G619" i="84" s="1"/>
  <c r="S628" i="31"/>
  <c r="G606" i="84" s="1"/>
  <c r="S743" i="31"/>
  <c r="G721" i="84" s="1"/>
  <c r="S711" i="31"/>
  <c r="G689" i="84" s="1"/>
  <c r="S679" i="31"/>
  <c r="G657" i="84" s="1"/>
  <c r="S647" i="31"/>
  <c r="G625" i="84" s="1"/>
  <c r="S776" i="31"/>
  <c r="G754" i="84" s="1"/>
  <c r="S884" i="31"/>
  <c r="G862" i="84" s="1"/>
  <c r="S844" i="31"/>
  <c r="G822" i="84" s="1"/>
  <c r="S818" i="31"/>
  <c r="G796" i="84" s="1"/>
  <c r="S802" i="31"/>
  <c r="G780" i="84" s="1"/>
  <c r="S782" i="31"/>
  <c r="G760" i="84" s="1"/>
  <c r="S786" i="31"/>
  <c r="G764" i="84" s="1"/>
  <c r="S770" i="31"/>
  <c r="G748" i="84" s="1"/>
  <c r="S754" i="31"/>
  <c r="G732" i="84" s="1"/>
  <c r="S738" i="31"/>
  <c r="G716" i="84" s="1"/>
  <c r="S722" i="31"/>
  <c r="G700" i="84" s="1"/>
  <c r="S706" i="31"/>
  <c r="G684" i="84" s="1"/>
  <c r="S690" i="31"/>
  <c r="G668" i="84" s="1"/>
  <c r="S658" i="31"/>
  <c r="G636" i="84" s="1"/>
  <c r="S629" i="31"/>
  <c r="G607" i="84" s="1"/>
  <c r="S717" i="31"/>
  <c r="G695" i="84" s="1"/>
  <c r="S653" i="31"/>
  <c r="G631" i="84" s="1"/>
  <c r="S750" i="31"/>
  <c r="G728" i="84" s="1"/>
  <c r="S684" i="31"/>
  <c r="G662" i="84" s="1"/>
  <c r="S668" i="31"/>
  <c r="G646" i="84" s="1"/>
  <c r="S652" i="31"/>
  <c r="G630" i="84" s="1"/>
  <c r="S640" i="31"/>
  <c r="G618" i="84" s="1"/>
  <c r="S768" i="31"/>
  <c r="G746" i="84" s="1"/>
  <c r="S741" i="31"/>
  <c r="G719" i="84" s="1"/>
  <c r="S709" i="31"/>
  <c r="G687" i="84" s="1"/>
  <c r="S677" i="31"/>
  <c r="G655" i="84" s="1"/>
  <c r="S645" i="31"/>
  <c r="G623" i="84" s="1"/>
  <c r="S760" i="31"/>
  <c r="G738" i="84" s="1"/>
  <c r="S744" i="31"/>
  <c r="G722" i="84" s="1"/>
  <c r="S728" i="31"/>
  <c r="G706" i="84" s="1"/>
  <c r="S712" i="31"/>
  <c r="G690" i="84" s="1"/>
  <c r="S696" i="31"/>
  <c r="G674" i="84" s="1"/>
  <c r="S680" i="31"/>
  <c r="G658" i="84" s="1"/>
  <c r="S664" i="31"/>
  <c r="G642" i="84" s="1"/>
  <c r="S648" i="31"/>
  <c r="G626" i="84" s="1"/>
  <c r="S636" i="31"/>
  <c r="G614" i="84" s="1"/>
  <c r="S624" i="31"/>
  <c r="G602" i="84" s="1"/>
  <c r="S606" i="31"/>
  <c r="G584" i="84" s="1"/>
  <c r="S590" i="31"/>
  <c r="G568" i="84" s="1"/>
  <c r="S574" i="31"/>
  <c r="G552" i="84" s="1"/>
  <c r="S558" i="31"/>
  <c r="G536" i="84" s="1"/>
  <c r="S542" i="31"/>
  <c r="G520" i="84" s="1"/>
  <c r="S528" i="31"/>
  <c r="G506" i="84" s="1"/>
  <c r="S608" i="31"/>
  <c r="G586" i="84" s="1"/>
  <c r="S592" i="31"/>
  <c r="G570" i="84" s="1"/>
  <c r="S576" i="31"/>
  <c r="G554" i="84" s="1"/>
  <c r="S560" i="31"/>
  <c r="G538" i="84" s="1"/>
  <c r="S544" i="31"/>
  <c r="G522" i="84" s="1"/>
  <c r="S627" i="31"/>
  <c r="G605" i="84" s="1"/>
  <c r="S613" i="31"/>
  <c r="G591" i="84" s="1"/>
  <c r="S597" i="31"/>
  <c r="G575" i="84" s="1"/>
  <c r="S581" i="31"/>
  <c r="G559" i="84" s="1"/>
  <c r="S565" i="31"/>
  <c r="G543" i="84" s="1"/>
  <c r="S549" i="31"/>
  <c r="G527" i="84" s="1"/>
  <c r="S533" i="31"/>
  <c r="G511" i="84" s="1"/>
  <c r="S615" i="31"/>
  <c r="G593" i="84" s="1"/>
  <c r="S599" i="31"/>
  <c r="G577" i="84" s="1"/>
  <c r="S583" i="31"/>
  <c r="G561" i="84" s="1"/>
  <c r="S567" i="31"/>
  <c r="G545" i="84" s="1"/>
  <c r="S551" i="31"/>
  <c r="G529" i="84" s="1"/>
  <c r="S535" i="31"/>
  <c r="G513" i="84" s="1"/>
  <c r="S718" i="31"/>
  <c r="G696" i="84" s="1"/>
  <c r="S702" i="31"/>
  <c r="G680" i="84" s="1"/>
  <c r="S686" i="31"/>
  <c r="G664" i="84" s="1"/>
  <c r="S670" i="31"/>
  <c r="G648" i="84" s="1"/>
  <c r="S654" i="31"/>
  <c r="G632" i="84" s="1"/>
  <c r="S621" i="31"/>
  <c r="G599" i="84" s="1"/>
  <c r="S626" i="31"/>
  <c r="G604" i="84" s="1"/>
  <c r="S610" i="31"/>
  <c r="G588" i="84" s="1"/>
  <c r="S594" i="31"/>
  <c r="G572" i="84" s="1"/>
  <c r="S578" i="31"/>
  <c r="G556" i="84" s="1"/>
  <c r="S562" i="31"/>
  <c r="G540" i="84" s="1"/>
  <c r="S546" i="31"/>
  <c r="G524" i="84" s="1"/>
  <c r="S530" i="31"/>
  <c r="G508" i="84" s="1"/>
  <c r="S612" i="31"/>
  <c r="G590" i="84" s="1"/>
  <c r="S596" i="31"/>
  <c r="G574" i="84" s="1"/>
  <c r="S580" i="31"/>
  <c r="G558" i="84" s="1"/>
  <c r="S564" i="31"/>
  <c r="G542" i="84" s="1"/>
  <c r="S548" i="31"/>
  <c r="G526" i="84" s="1"/>
  <c r="S532" i="31"/>
  <c r="G510" i="84" s="1"/>
  <c r="S617" i="31"/>
  <c r="G595" i="84" s="1"/>
  <c r="S601" i="31"/>
  <c r="G579" i="84" s="1"/>
  <c r="S585" i="31"/>
  <c r="G563" i="84" s="1"/>
  <c r="S569" i="31"/>
  <c r="G547" i="84" s="1"/>
  <c r="S553" i="31"/>
  <c r="G531" i="84" s="1"/>
  <c r="S537" i="31"/>
  <c r="G515" i="84" s="1"/>
  <c r="S525" i="31"/>
  <c r="G503" i="84" s="1"/>
  <c r="S603" i="31"/>
  <c r="G581" i="84" s="1"/>
  <c r="S587" i="31"/>
  <c r="G565" i="84" s="1"/>
  <c r="S571" i="31"/>
  <c r="G549" i="84" s="1"/>
  <c r="S555" i="31"/>
  <c r="G533" i="84" s="1"/>
  <c r="S539" i="31"/>
  <c r="G517" i="84" s="1"/>
  <c r="C34" i="78"/>
  <c r="D34" i="78"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G902" i="84" l="1"/>
  <c r="F902" i="84" s="1"/>
  <c r="S22" i="3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U26" i="31"/>
  <c r="U28" i="31" s="1"/>
  <c r="B20" i="31"/>
  <c r="B21" i="31" s="1"/>
  <c r="R22" i="31"/>
  <c r="D5" i="71"/>
  <c r="M20" i="43"/>
  <c r="G118" i="78" l="1"/>
  <c r="F118" i="78" s="1"/>
  <c r="F119" i="78" s="1"/>
  <c r="I118" i="78"/>
  <c r="C105" i="78" l="1"/>
  <c r="H118" i="78"/>
  <c r="H102" i="78"/>
  <c r="E118" i="78"/>
  <c r="D118" i="78" s="1"/>
  <c r="D119" i="78" s="1"/>
  <c r="C104" i="78" l="1"/>
  <c r="H101" i="78"/>
  <c r="H119" i="78"/>
  <c r="H107" i="78" l="1"/>
  <c r="M48" i="78"/>
  <c r="D45" i="78"/>
  <c r="C78" i="78" l="1"/>
  <c r="C73" i="78" s="1"/>
  <c r="D52" i="78"/>
  <c r="C85" i="78"/>
  <c r="C64" i="78"/>
  <c r="C63" i="78" s="1"/>
  <c r="C67" i="78" s="1"/>
  <c r="C93" i="78"/>
  <c r="C86" i="78" s="1"/>
  <c r="C95" i="78" s="1"/>
  <c r="D55" i="78"/>
  <c r="M53" i="78" s="1"/>
  <c r="D53" i="78"/>
  <c r="C72" i="78"/>
  <c r="M49" i="78"/>
  <c r="D122" i="78"/>
  <c r="D123" i="78" s="1"/>
  <c r="H108" i="78"/>
  <c r="C79" i="78" l="1"/>
  <c r="C80" i="78" s="1"/>
  <c r="E80" i="78" s="1"/>
  <c r="E81" i="78" s="1"/>
  <c r="C68" i="78"/>
  <c r="D54" i="78" s="1"/>
  <c r="D59" i="78"/>
  <c r="M55" i="78" s="1"/>
  <c r="L65" i="78"/>
  <c r="M65" i="78" s="1"/>
  <c r="L67" i="78"/>
  <c r="M67" i="78" s="1"/>
  <c r="L63" i="78"/>
  <c r="M63" i="78" s="1"/>
  <c r="L64" i="78"/>
  <c r="M64" i="78" s="1"/>
  <c r="L66" i="78"/>
  <c r="M66" i="78" s="1"/>
  <c r="L68" i="78"/>
  <c r="M68" i="78" s="1"/>
  <c r="C96" i="78"/>
  <c r="E96" i="78" s="1"/>
  <c r="E97" i="78" s="1"/>
  <c r="C97" i="78" l="1"/>
  <c r="D58" i="78" s="1"/>
  <c r="D56" i="78" s="1"/>
  <c r="M54" i="78" s="1"/>
  <c r="N57" i="78" s="1"/>
  <c r="N58" i="78" s="1"/>
  <c r="C81" i="78"/>
  <c r="M69" i="78"/>
  <c r="N69" i="78" s="1"/>
  <c r="N59" i="78" l="1"/>
  <c r="P57" i="78"/>
  <c r="N61" i="78" l="1"/>
  <c r="N60" i="78"/>
  <c r="F14" i="74"/>
  <c r="E14" i="74"/>
  <c r="G14" i="74"/>
  <c r="B6" i="74" s="1"/>
  <c r="D6" i="74" s="1"/>
  <c r="B5" i="74"/>
  <c r="D5" i="74" s="1"/>
  <c r="C6" i="74" l="1"/>
  <c r="C5" i="74"/>
  <c r="H922" i="79"/>
  <c r="D922" i="79" s="1"/>
  <c r="I922" i="79" l="1"/>
  <c r="E922" i="79" s="1"/>
  <c r="C20" i="9"/>
  <c r="D20" i="9"/>
  <c r="C19" i="9"/>
  <c r="D19" i="9"/>
  <c r="C103" i="9" l="1"/>
  <c r="G20" i="9"/>
  <c r="D103" i="9"/>
  <c r="C21" i="9"/>
  <c r="C102" i="9"/>
  <c r="D22" i="9"/>
  <c r="G19" i="9"/>
  <c r="D21" i="9"/>
  <c r="D102" i="9"/>
  <c r="G21" i="9" l="1"/>
  <c r="C32" i="9"/>
  <c r="C35" i="9" l="1"/>
  <c r="F118" i="9" s="1"/>
  <c r="H118" i="9"/>
  <c r="C104" i="9" l="1"/>
  <c r="I118" i="9"/>
  <c r="H4" i="52"/>
  <c r="H119" i="9"/>
  <c r="H5" i="52" s="1"/>
  <c r="H101" i="9"/>
  <c r="C34" i="9"/>
  <c r="D118" i="9" s="1"/>
  <c r="F119" i="9"/>
  <c r="F5" i="52" s="1"/>
  <c r="B53" i="72" s="1"/>
  <c r="F4" i="52"/>
  <c r="B51" i="72" s="1"/>
  <c r="G118" i="9"/>
  <c r="G4" i="52" s="1"/>
  <c r="B52" i="72" s="1"/>
  <c r="D5" i="53" l="1"/>
  <c r="D45" i="9"/>
  <c r="M48" i="9"/>
  <c r="H107" i="9"/>
  <c r="D4" i="52"/>
  <c r="B47" i="72" s="1"/>
  <c r="D119" i="9"/>
  <c r="D5" i="52" s="1"/>
  <c r="B49" i="72" s="1"/>
  <c r="I4" i="52"/>
  <c r="E118" i="9"/>
  <c r="E4" i="52" s="1"/>
  <c r="B48" i="72" s="1"/>
  <c r="C105" i="9"/>
  <c r="H102" i="9"/>
  <c r="D7" i="53" s="1"/>
  <c r="B21" i="72" s="1"/>
  <c r="B20" i="72" l="1"/>
  <c r="D6" i="53"/>
  <c r="B22" i="72" s="1"/>
  <c r="D13" i="53"/>
  <c r="H108" i="9"/>
  <c r="D15" i="53" s="1"/>
  <c r="B31" i="72" s="1"/>
  <c r="D122" i="9"/>
  <c r="M49" i="9"/>
  <c r="D52" i="9"/>
  <c r="C72" i="9"/>
  <c r="D55" i="9"/>
  <c r="M53" i="9" s="1"/>
  <c r="D53" i="9"/>
  <c r="C78" i="9"/>
  <c r="C73" i="9" s="1"/>
  <c r="C93" i="9"/>
  <c r="C86" i="9" s="1"/>
  <c r="C64" i="9"/>
  <c r="C63" i="9" s="1"/>
  <c r="C67" i="9" s="1"/>
  <c r="C85" i="9"/>
  <c r="C95" i="9" l="1"/>
  <c r="C96" i="9" s="1"/>
  <c r="E96" i="9" s="1"/>
  <c r="E97" i="9" s="1"/>
  <c r="C68" i="9"/>
  <c r="D54" i="9" s="1"/>
  <c r="D59" i="9"/>
  <c r="M55" i="9" s="1"/>
  <c r="D123" i="9"/>
  <c r="D9" i="52" s="1"/>
  <c r="D8" i="52"/>
  <c r="B30" i="72"/>
  <c r="D14" i="53"/>
  <c r="B32" i="72" s="1"/>
  <c r="C79" i="9"/>
  <c r="L64" i="9"/>
  <c r="M64" i="9" s="1"/>
  <c r="L65" i="9"/>
  <c r="M65" i="9" s="1"/>
  <c r="L66" i="9"/>
  <c r="M66" i="9" s="1"/>
  <c r="L68" i="9"/>
  <c r="M68" i="9" s="1"/>
  <c r="L67" i="9"/>
  <c r="M67" i="9" s="1"/>
  <c r="L63" i="9"/>
  <c r="M63" i="9" s="1"/>
  <c r="C97" i="9" l="1"/>
  <c r="D58" i="9" s="1"/>
  <c r="D56" i="9" s="1"/>
  <c r="M54" i="9" s="1"/>
  <c r="N57" i="9" s="1"/>
  <c r="P57" i="9" s="1"/>
  <c r="M69" i="9"/>
  <c r="N69" i="9" s="1"/>
  <c r="C80" i="9"/>
  <c r="E80" i="9" s="1"/>
  <c r="E81" i="9" s="1"/>
  <c r="N58"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<sst xmlns="http://schemas.openxmlformats.org/spreadsheetml/2006/main" count="18609" uniqueCount="5071">
  <si>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</si>
  <si>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</si>
  <si>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</si>
  <si>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</si>
  <si>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</si>
  <si>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</si>
  <si>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</si>
  <si>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</si>
  <si>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</si>
  <si>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</si>
  <si>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</si>
  <si>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</si>
  <si>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</si>
  <si>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</si>
  <si>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</si>
  <si>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</si>
  <si>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</si>
  <si>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</si>
  <si>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</si>
  <si>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</si>
  <si>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</si>
  <si>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</si>
  <si>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</si>
  <si>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</si>
  <si>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</si>
  <si>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</si>
  <si>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</si>
  <si>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</si>
  <si>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</si>
  <si>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</si>
  <si>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</si>
  <si>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</si>
  <si>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</si>
  <si>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</si>
  <si>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</si>
  <si>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</si>
  <si>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</si>
  <si>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</si>
  <si>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</si>
  <si>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</si>
  <si>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</si>
  <si>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</si>
  <si>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</si>
  <si>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</si>
  <si>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</si>
  <si>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</si>
  <si>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</si>
  <si>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</si>
  <si>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</si>
  <si>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</si>
  <si>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</si>
  <si>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</si>
  <si>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</si>
  <si>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</si>
  <si>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</si>
  <si>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</si>
  <si>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</si>
  <si>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</si>
  <si>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</si>
  <si>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</si>
  <si>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</si>
  <si>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</si>
  <si>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</si>
  <si>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</si>
  <si>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</si>
  <si>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</si>
  <si>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</si>
  <si>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</si>
  <si>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</si>
  <si>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</si>
  <si>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</si>
  <si>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</si>
  <si>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</si>
  <si>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</si>
  <si>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</si>
  <si>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</si>
  <si>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</si>
  <si>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</si>
  <si>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</si>
  <si>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</si>
  <si>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</si>
  <si>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</si>
  <si>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</si>
  <si>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</si>
  <si>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</si>
  <si>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</si>
  <si>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</si>
  <si>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</si>
  <si>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</si>
  <si>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</si>
  <si>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</si>
  <si>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</si>
  <si>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</si>
  <si>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</si>
  <si>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</si>
  <si>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</si>
  <si>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</si>
  <si>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</si>
  <si>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</si>
  <si>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</si>
  <si>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</si>
  <si>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</si>
  <si>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</si>
  <si>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</si>
  <si>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</si>
  <si>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</si>
  <si>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</si>
  <si>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</si>
  <si>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</si>
  <si>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</si>
  <si>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</si>
  <si>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</si>
  <si>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</si>
  <si>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</si>
  <si>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</si>
  <si>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</si>
  <si>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</si>
  <si>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</si>
  <si>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</si>
  <si>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</si>
  <si>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</si>
  <si>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</si>
  <si>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</si>
  <si>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</si>
  <si>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</si>
  <si>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</si>
  <si>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</si>
  <si>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</si>
  <si>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</si>
  <si>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</si>
  <si>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</si>
  <si>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</si>
  <si>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</si>
  <si>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</si>
  <si>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</si>
  <si>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</si>
  <si>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</si>
  <si>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</si>
  <si>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</si>
  <si>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</si>
  <si>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</si>
  <si>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</si>
  <si>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</si>
  <si>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</si>
  <si>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</si>
  <si>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</si>
  <si>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</si>
  <si>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</si>
  <si>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</si>
  <si>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</si>
  <si>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</si>
  <si>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</si>
  <si>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</si>
  <si>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</si>
  <si>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</si>
  <si>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</si>
  <si>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</si>
  <si>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</si>
  <si>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</si>
  <si>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</si>
  <si>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</si>
  <si>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</si>
  <si>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</si>
  <si>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</si>
  <si>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</si>
  <si>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</si>
  <si>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</si>
  <si>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</si>
  <si>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</si>
  <si>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</si>
  <si>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</si>
  <si>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</si>
  <si>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</si>
  <si>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</si>
  <si>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</si>
  <si>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</si>
  <si>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</si>
  <si>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</si>
  <si>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</si>
  <si>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</si>
  <si>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</si>
  <si>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</si>
  <si>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</si>
  <si>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</si>
  <si>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</si>
  <si>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</si>
  <si>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</si>
  <si>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</si>
  <si>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</si>
  <si>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</si>
  <si>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</si>
  <si>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</si>
  <si>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</si>
  <si>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</si>
  <si>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</si>
  <si>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</si>
  <si>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</si>
  <si>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</si>
  <si>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</si>
  <si>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</si>
  <si>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</si>
  <si>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</si>
  <si>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</si>
  <si>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</si>
  <si>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</si>
  <si>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</si>
  <si>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</si>
  <si>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</si>
  <si>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</si>
  <si>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</si>
  <si>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</si>
  <si>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</si>
  <si>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</si>
  <si>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</si>
  <si>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</si>
  <si>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</si>
  <si>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</si>
  <si>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</si>
  <si>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</si>
  <si>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</si>
  <si>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</si>
  <si>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</si>
  <si>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</si>
  <si>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</si>
  <si>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</si>
  <si>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</si>
  <si>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</si>
  <si>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</si>
  <si>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</si>
  <si>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</si>
  <si>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</si>
  <si>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</si>
  <si>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</si>
  <si>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</si>
  <si>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</si>
  <si>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</si>
  <si>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</si>
  <si>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</si>
  <si>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</si>
  <si>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</si>
  <si>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</si>
  <si>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</si>
  <si>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</si>
  <si>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</si>
  <si>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</si>
  <si>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</si>
  <si>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</si>
  <si>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</si>
  <si>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</si>
  <si>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</si>
  <si>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</si>
  <si>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</si>
  <si>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</si>
  <si>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</si>
  <si>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</si>
  <si>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</si>
  <si>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</si>
  <si>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</si>
  <si>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</si>
  <si>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</si>
  <si>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</si>
  <si>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</si>
  <si>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</si>
  <si>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</si>
  <si>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</si>
  <si>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</si>
  <si>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</si>
  <si>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</si>
  <si>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</si>
  <si>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</si>
  <si>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</si>
  <si>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</si>
  <si>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</si>
  <si>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</si>
  <si>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</si>
  <si>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</si>
  <si>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</si>
  <si>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</si>
  <si>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</si>
  <si>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</si>
  <si>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</si>
  <si>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</si>
  <si>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</si>
  <si>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</si>
  <si>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</si>
  <si>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</si>
  <si>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</si>
  <si>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</si>
  <si>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</si>
  <si>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</si>
  <si>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</si>
  <si>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</si>
  <si>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</si>
  <si>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</si>
  <si>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</si>
  <si>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</si>
  <si>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</si>
  <si>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</si>
  <si>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</si>
  <si>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</si>
  <si>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</si>
  <si>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</si>
  <si>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</si>
  <si>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</si>
  <si>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</si>
  <si>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</si>
  <si>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</si>
  <si>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</si>
  <si>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</si>
  <si>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</si>
  <si>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</si>
  <si>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</si>
  <si>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</si>
  <si>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</si>
  <si>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</si>
  <si>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</si>
  <si>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</si>
  <si>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</si>
  <si>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</si>
  <si>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</si>
  <si>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</si>
  <si>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</si>
  <si>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</si>
  <si>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</si>
  <si>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</si>
  <si>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</si>
  <si>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</si>
  <si>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</si>
  <si>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</si>
  <si>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</si>
  <si>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</si>
  <si>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</si>
  <si>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</si>
  <si>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</si>
  <si>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</si>
  <si>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</si>
  <si>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</si>
  <si>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</si>
  <si>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</si>
  <si>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</si>
  <si>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</si>
  <si>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</si>
  <si>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</si>
  <si>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</si>
  <si>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</si>
  <si>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</si>
  <si>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</si>
  <si>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</si>
  <si>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</si>
  <si>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</si>
  <si>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</si>
  <si>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</si>
  <si>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</si>
  <si>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</si>
  <si>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</si>
  <si>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</si>
  <si>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</si>
  <si>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</si>
  <si>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</si>
  <si>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</si>
  <si>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</si>
  <si>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</si>
  <si>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</si>
  <si>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</si>
  <si>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</si>
  <si>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</si>
  <si>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</si>
  <si>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</si>
  <si>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</si>
  <si>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</si>
  <si>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</si>
  <si>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</si>
  <si>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</si>
  <si>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</si>
  <si>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</si>
  <si>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</si>
  <si>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</si>
  <si>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</si>
  <si>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</si>
  <si>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</si>
  <si>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</si>
  <si>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</si>
  <si>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</si>
  <si>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</si>
  <si>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</si>
  <si>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</si>
  <si>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</si>
  <si>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</si>
  <si>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</si>
  <si>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</si>
  <si>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</si>
  <si>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</si>
  <si>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</si>
  <si>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</si>
  <si>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</si>
  <si>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</si>
  <si>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</si>
  <si>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</si>
  <si>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</si>
  <si>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</si>
  <si>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</si>
  <si>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</si>
  <si>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</si>
  <si>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</si>
  <si>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</si>
  <si>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</si>
  <si>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</si>
  <si>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</si>
  <si>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</si>
  <si>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</si>
  <si>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</si>
  <si>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</si>
  <si>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</si>
  <si>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</si>
  <si>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</si>
  <si>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</si>
  <si>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</si>
  <si>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</si>
  <si>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</si>
  <si>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</si>
  <si>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</si>
  <si>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</si>
  <si>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</si>
  <si>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</si>
  <si>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</si>
  <si>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</si>
  <si>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</si>
  <si>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</si>
  <si>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</si>
  <si>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</si>
  <si>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</si>
  <si>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</si>
  <si>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</si>
  <si>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</si>
  <si>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</si>
  <si>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</si>
  <si>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</si>
  <si>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</si>
  <si>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</si>
  <si>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</si>
  <si>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</si>
  <si>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</si>
  <si>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</si>
  <si>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</si>
  <si>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</si>
  <si>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</si>
  <si>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</si>
  <si>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</si>
  <si>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</si>
  <si>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</si>
  <si>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</si>
  <si>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</si>
  <si>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</si>
  <si>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</si>
  <si>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</si>
  <si>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</si>
  <si>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</si>
  <si>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</si>
  <si>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</si>
  <si>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</si>
  <si>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</si>
  <si>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</si>
  <si>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</si>
  <si>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</si>
  <si>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</si>
  <si>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</si>
  <si>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</si>
  <si>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</si>
  <si>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</si>
  <si>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</si>
  <si>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</si>
  <si>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</si>
  <si>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</si>
  <si>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</si>
  <si>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</si>
  <si>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</si>
  <si>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</si>
  <si>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</si>
  <si>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</si>
  <si>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</si>
  <si>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</si>
  <si>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</si>
  <si>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</si>
  <si>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</si>
  <si>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</si>
  <si>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</si>
  <si>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</si>
  <si>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</si>
  <si>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</si>
  <si>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</si>
  <si>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</si>
  <si>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</si>
  <si>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</si>
  <si>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</si>
  <si>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</si>
  <si>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</si>
  <si>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</si>
  <si>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</si>
  <si>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</si>
  <si>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</si>
  <si>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</si>
  <si>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</si>
  <si>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</si>
  <si>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</si>
  <si>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</si>
  <si>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</si>
  <si>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</si>
  <si>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</si>
  <si>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</si>
  <si>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</si>
  <si>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</si>
  <si>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</si>
  <si>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</si>
  <si>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</si>
  <si>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</si>
  <si>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</si>
  <si>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</si>
  <si>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</si>
  <si>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</si>
  <si>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</si>
  <si>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</si>
  <si>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</si>
  <si>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</si>
  <si>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</si>
  <si>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</si>
  <si>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</si>
  <si>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</si>
  <si>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</si>
  <si>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</si>
  <si>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</si>
  <si>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</si>
  <si>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</si>
  <si>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</si>
  <si>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</si>
  <si>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</si>
  <si>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</si>
  <si>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</si>
  <si>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</si>
  <si>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</si>
  <si>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</si>
  <si>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</si>
  <si>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</si>
  <si>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</si>
  <si>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</si>
  <si>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</si>
  <si>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</si>
  <si>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</si>
  <si>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</si>
  <si>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</si>
  <si>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</si>
  <si>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</si>
  <si>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</si>
  <si>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</si>
  <si>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</si>
  <si>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</si>
  <si>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</si>
  <si>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</si>
  <si>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</si>
  <si>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</si>
  <si>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</si>
  <si>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</si>
  <si>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</si>
  <si>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</si>
  <si>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</si>
  <si>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</si>
  <si>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</si>
  <si>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</si>
  <si>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</si>
  <si>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</si>
  <si>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</si>
  <si>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</si>
  <si>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</si>
  <si>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</si>
  <si>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</si>
  <si>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</si>
  <si>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</si>
  <si>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</si>
  <si>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</si>
  <si>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</si>
  <si>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</si>
  <si>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</si>
  <si>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</si>
  <si>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</si>
  <si>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</si>
  <si>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</si>
  <si>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</si>
  <si>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</si>
  <si>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</si>
  <si>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</si>
  <si>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</si>
  <si>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</si>
  <si>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</si>
  <si>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</si>
  <si>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</si>
  <si>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</si>
  <si>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</si>
  <si>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</si>
  <si>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</si>
  <si>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</si>
  <si>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</si>
  <si>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</si>
  <si>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</si>
  <si>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</si>
  <si>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</si>
  <si>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</si>
  <si>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</si>
  <si>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</si>
  <si>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</si>
  <si>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</si>
  <si>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</si>
  <si>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</si>
  <si>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</si>
  <si>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</si>
  <si>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</si>
  <si>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</si>
  <si>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</si>
  <si>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</si>
  <si>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</si>
  <si>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</si>
  <si>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</si>
  <si>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</si>
  <si>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</si>
  <si>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</si>
  <si>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</si>
  <si>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</si>
  <si>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</si>
  <si>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</si>
  <si>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</si>
  <si>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</si>
  <si>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</si>
  <si>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</si>
  <si>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</si>
  <si>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</si>
  <si>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</si>
  <si>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</si>
  <si>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</si>
  <si>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</si>
  <si>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</si>
  <si>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</si>
  <si>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</si>
  <si>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</si>
  <si>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</si>
  <si>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</si>
  <si>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</si>
  <si>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</si>
  <si>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</si>
  <si>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</si>
  <si>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</si>
  <si>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</si>
  <si>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</si>
  <si>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</si>
  <si>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</si>
  <si>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</si>
  <si>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</si>
  <si>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</si>
  <si>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</si>
  <si>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</si>
  <si>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</si>
  <si>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</si>
  <si>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</si>
  <si>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</si>
  <si>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</si>
  <si>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</si>
  <si>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</si>
  <si>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</si>
  <si>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</si>
  <si>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</si>
  <si>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</si>
  <si>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</si>
  <si>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</si>
  <si>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</si>
  <si>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</si>
  <si>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</si>
  <si>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</si>
  <si>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</si>
  <si>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</si>
  <si>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</si>
  <si>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</si>
  <si>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</si>
  <si>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</si>
  <si>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</si>
  <si>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</si>
  <si>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</si>
  <si>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</si>
  <si>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</si>
  <si>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</si>
  <si>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</si>
  <si>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</si>
  <si>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</si>
  <si>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</si>
  <si>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</si>
  <si>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</si>
  <si>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</si>
  <si>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</si>
  <si>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</si>
  <si>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</si>
  <si>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</si>
  <si>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</si>
  <si>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</si>
  <si>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</si>
  <si>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</si>
  <si>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</si>
  <si>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</si>
  <si>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</si>
  <si>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</si>
  <si>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</si>
  <si>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</si>
  <si>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</si>
  <si>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</si>
  <si>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</si>
  <si>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</si>
  <si>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</si>
  <si>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</si>
  <si>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</si>
  <si>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</si>
  <si>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</si>
  <si>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</si>
  <si>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</si>
  <si>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</si>
  <si>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</si>
  <si>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</si>
  <si>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</si>
  <si>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</si>
  <si>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</si>
  <si>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</si>
  <si>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</si>
  <si>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</si>
  <si>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</si>
  <si>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</si>
  <si>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</si>
  <si>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</si>
  <si>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</si>
  <si>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</si>
  <si>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</si>
  <si>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</si>
  <si>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</si>
  <si>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</si>
  <si>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</si>
  <si>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</si>
  <si>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</si>
  <si>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</si>
  <si>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</si>
  <si>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</si>
  <si>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</si>
  <si>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</si>
  <si>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</si>
  <si>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</si>
  <si>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</si>
  <si>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</si>
  <si>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</si>
  <si>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</si>
  <si>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</si>
  <si>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</si>
  <si>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</si>
  <si>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</si>
  <si>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</si>
  <si>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</si>
  <si>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</si>
  <si>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</si>
  <si>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</si>
  <si>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</si>
  <si>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</si>
  <si>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</si>
  <si>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</si>
  <si>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</si>
  <si>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</si>
  <si>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</si>
  <si>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</si>
  <si>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</si>
  <si>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</si>
  <si>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</si>
  <si>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</si>
  <si>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</si>
  <si>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</si>
  <si>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</si>
  <si>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</si>
  <si>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</si>
  <si>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</si>
  <si>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</si>
  <si>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</si>
  <si>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</si>
  <si>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</si>
  <si>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</si>
  <si>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</si>
  <si>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</si>
  <si>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</si>
  <si>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</si>
  <si>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</si>
  <si>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</si>
  <si>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</si>
  <si>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</si>
  <si>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</si>
  <si>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</si>
  <si>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</si>
  <si>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</si>
  <si>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</si>
  <si>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</si>
  <si>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</si>
  <si>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</si>
  <si>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</si>
  <si>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</si>
  <si>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</si>
  <si>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</si>
  <si>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</si>
  <si>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</si>
  <si>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</si>
  <si>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</si>
  <si>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</si>
  <si>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</si>
  <si>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</si>
  <si>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</si>
  <si>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</si>
  <si>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</si>
  <si>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</si>
  <si>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</si>
  <si>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</si>
  <si>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</si>
  <si>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</si>
  <si>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</si>
  <si>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</si>
  <si>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</si>
  <si>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</si>
  <si>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</si>
  <si>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</si>
  <si>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</si>
  <si>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</si>
  <si>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</si>
  <si>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</si>
  <si>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</si>
  <si>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</si>
  <si>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</si>
  <si>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</si>
  <si>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</si>
  <si>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</si>
  <si>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</si>
  <si>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</si>
  <si>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</si>
  <si>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</si>
  <si>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</si>
  <si>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</si>
  <si>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</si>
  <si>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</si>
  <si>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</si>
  <si>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</si>
  <si>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</si>
  <si>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</si>
  <si>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</si>
  <si>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</si>
  <si>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</si>
  <si>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</si>
  <si>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</si>
  <si>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</si>
  <si>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</si>
  <si>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</si>
  <si>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</si>
  <si>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</si>
  <si>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</si>
  <si>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</si>
  <si>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</si>
  <si>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</si>
  <si>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</si>
  <si>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</si>
  <si>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</si>
  <si>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</si>
  <si>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</si>
  <si>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</si>
  <si>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</si>
  <si>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</si>
  <si>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</si>
  <si>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</si>
  <si>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</si>
  <si>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</si>
  <si>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</si>
  <si>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</si>
  <si>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</si>
  <si>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</si>
  <si>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</si>
  <si>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</si>
  <si>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</si>
  <si>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</si>
  <si>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</si>
  <si>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</si>
  <si>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</si>
  <si>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</si>
  <si>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</si>
  <si>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</si>
  <si>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</si>
  <si>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</si>
  <si>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</si>
  <si>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</si>
  <si>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</si>
  <si>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</si>
  <si>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</si>
  <si>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</si>
  <si>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</si>
  <si>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</si>
  <si>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</si>
  <si>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</si>
  <si>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</si>
  <si>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</si>
  <si>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</si>
  <si>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</si>
  <si>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</si>
  <si>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</si>
  <si>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</si>
  <si>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</si>
  <si>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</si>
  <si>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</si>
  <si>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</si>
  <si>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</si>
  <si>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</si>
  <si>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</si>
  <si>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</si>
  <si>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</si>
  <si>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</si>
  <si>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</si>
  <si>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</si>
  <si>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</si>
  <si>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</si>
  <si>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</si>
  <si>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</si>
  <si>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</si>
  <si>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</si>
  <si>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</si>
  <si>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</si>
  <si>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</si>
  <si>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</si>
  <si>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</si>
  <si>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</si>
  <si>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</si>
  <si>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</si>
  <si>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</si>
  <si>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</si>
  <si>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</si>
  <si>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</si>
  <si>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</si>
  <si>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</si>
  <si>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</si>
  <si>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</si>
  <si>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</si>
  <si>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</si>
  <si>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</si>
  <si>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</si>
  <si>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</si>
  <si>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</si>
  <si>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</si>
  <si>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</si>
  <si>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</si>
  <si>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</si>
  <si>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</si>
  <si>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</si>
  <si>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</si>
  <si>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</si>
  <si>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</si>
  <si>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</si>
  <si>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</si>
  <si>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</si>
  <si>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</si>
  <si>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</si>
  <si>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</si>
  <si>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</si>
  <si>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</si>
  <si>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</si>
  <si>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</si>
  <si>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</si>
  <si>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</si>
  <si>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</si>
  <si>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</si>
  <si>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</si>
  <si>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</si>
  <si>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</si>
  <si>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</si>
  <si>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</si>
  <si>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</si>
  <si>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</si>
  <si>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</si>
  <si>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</si>
  <si>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</si>
  <si>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</si>
  <si>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</si>
  <si>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</si>
  <si>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</si>
  <si>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</si>
  <si>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</si>
  <si>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</si>
  <si>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</si>
  <si>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</si>
  <si>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</si>
  <si>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</si>
  <si>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</si>
  <si>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</si>
  <si>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</si>
  <si>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</si>
  <si>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</si>
  <si>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</si>
  <si>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</si>
  <si>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</si>
  <si>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</si>
  <si>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</si>
  <si>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</si>
  <si>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</si>
  <si>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</si>
  <si>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</si>
  <si>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</si>
  <si>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</si>
  <si>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</si>
  <si>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</si>
  <si>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</si>
  <si>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</si>
  <si>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</si>
  <si>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</si>
  <si>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</si>
  <si>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</si>
  <si>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</si>
  <si>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</si>
  <si>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</si>
  <si>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</si>
  <si>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</si>
  <si>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</si>
  <si>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</si>
  <si>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</si>
  <si>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</si>
  <si>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</si>
  <si>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</si>
  <si>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</si>
  <si>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</si>
  <si>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</si>
  <si>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</si>
  <si>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</si>
  <si>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</si>
  <si>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</si>
  <si>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</si>
  <si>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</si>
  <si>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</si>
  <si>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</si>
  <si>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</si>
  <si>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</si>
  <si>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</si>
  <si>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</si>
  <si>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</si>
  <si>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</si>
  <si>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</si>
  <si>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</si>
  <si>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</si>
  <si>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</si>
  <si>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</si>
  <si>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</si>
  <si>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</si>
  <si>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</si>
  <si>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</si>
  <si>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</si>
  <si>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</si>
  <si>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</si>
  <si>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</si>
  <si>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</si>
  <si>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</si>
  <si>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</si>
  <si>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</si>
  <si>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</si>
  <si>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</si>
  <si>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</si>
  <si>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</si>
  <si>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</si>
  <si>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</si>
  <si>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</si>
  <si>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</si>
  <si>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</si>
  <si>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</si>
  <si>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</si>
  <si>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</si>
  <si>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</si>
  <si>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</si>
  <si>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</si>
  <si>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</si>
  <si>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</si>
  <si>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</si>
  <si>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</si>
  <si>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</si>
  <si>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</si>
  <si>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</si>
  <si>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</si>
  <si>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</si>
  <si>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</si>
  <si>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</si>
  <si>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</si>
  <si>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</si>
  <si>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</si>
  <si>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</si>
  <si>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</si>
  <si>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</si>
  <si>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</si>
  <si>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</si>
  <si>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</si>
  <si>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</si>
  <si>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</si>
  <si>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</si>
  <si>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</si>
  <si>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</si>
  <si>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</si>
  <si>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</si>
  <si>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</si>
  <si>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</si>
  <si>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</si>
  <si>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</si>
  <si>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</si>
  <si>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</si>
  <si>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</si>
  <si>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</si>
  <si>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</si>
  <si>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</si>
  <si>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</si>
  <si>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</si>
  <si>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</si>
  <si>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</si>
  <si>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</si>
  <si>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</si>
  <si>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</si>
  <si>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</si>
  <si>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</si>
  <si>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</si>
  <si>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</si>
  <si>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</si>
  <si>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</si>
  <si>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</si>
  <si>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</si>
  <si>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</si>
  <si>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</si>
  <si>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</si>
  <si>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</si>
  <si>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</si>
  <si>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</si>
  <si>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</si>
  <si>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</si>
  <si>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</si>
  <si>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</si>
  <si>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</si>
  <si>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</si>
  <si>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</si>
  <si>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</si>
  <si>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</si>
  <si>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</si>
  <si>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</si>
  <si>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</si>
  <si>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</si>
  <si>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</si>
  <si>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</si>
  <si>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</si>
  <si>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</si>
  <si>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</si>
  <si>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</si>
  <si>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</si>
  <si>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</si>
  <si>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</si>
  <si>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</si>
  <si>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</si>
  <si>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</si>
  <si>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</si>
  <si>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</si>
  <si>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</si>
  <si>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</si>
  <si>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</si>
  <si>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</si>
  <si>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</si>
  <si>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</si>
  <si>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</si>
  <si>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</si>
  <si>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</si>
  <si>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</si>
  <si>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</si>
  <si>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</si>
  <si>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</si>
  <si>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</si>
  <si>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</si>
  <si>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</si>
  <si>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</si>
  <si>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</si>
  <si>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</si>
  <si>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</si>
  <si>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</si>
  <si>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</si>
  <si>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</si>
  <si>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</si>
  <si>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</si>
  <si>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</si>
  <si>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</si>
  <si>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</si>
  <si>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</si>
  <si>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</si>
  <si>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</si>
  <si>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</si>
  <si>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</si>
  <si>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</si>
  <si>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</si>
  <si>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</si>
  <si>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</si>
  <si>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</si>
  <si>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</si>
  <si>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</si>
  <si>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</si>
  <si>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</si>
  <si>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</si>
  <si>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</si>
  <si>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</si>
  <si>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</si>
  <si>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</si>
  <si>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</si>
  <si>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</si>
  <si>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</si>
  <si>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</si>
  <si>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</si>
  <si>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</si>
  <si>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</si>
  <si>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</si>
  <si>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</si>
  <si>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</si>
  <si>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</si>
  <si>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</si>
  <si>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</si>
  <si>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</si>
  <si>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</si>
  <si>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</si>
  <si>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</si>
  <si>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</si>
  <si>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</si>
  <si>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</si>
  <si>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</si>
  <si>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</si>
  <si>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</si>
  <si>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</si>
  <si>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</si>
  <si>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</si>
  <si>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</si>
  <si>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</si>
  <si>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</si>
  <si>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</si>
  <si>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</si>
  <si>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</si>
  <si>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</si>
  <si>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</si>
  <si>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</si>
  <si>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</si>
  <si>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</si>
  <si>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</si>
  <si>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</si>
  <si>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</si>
  <si>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</si>
  <si>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</si>
  <si>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</si>
  <si>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</si>
  <si>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</si>
  <si>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</si>
  <si>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</si>
  <si>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</si>
  <si>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</si>
  <si>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</si>
  <si>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</si>
  <si>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</si>
  <si>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</si>
  <si>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</si>
  <si>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</si>
  <si>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</si>
  <si>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</si>
  <si>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</si>
  <si>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</si>
  <si>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</si>
  <si>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</si>
  <si>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</si>
  <si>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</si>
  <si>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</si>
  <si>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</si>
  <si>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</si>
  <si>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</si>
  <si>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</si>
  <si>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</si>
  <si>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</si>
  <si>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</si>
  <si>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</si>
  <si>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</si>
  <si>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</si>
  <si>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</si>
  <si>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</si>
  <si>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</si>
  <si>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</si>
  <si>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</si>
  <si>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</si>
  <si>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</si>
  <si>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</si>
  <si>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</si>
  <si>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</si>
  <si>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</si>
  <si>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</si>
  <si>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</si>
  <si>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</si>
  <si>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</si>
  <si>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</si>
  <si>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</si>
  <si>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</si>
  <si>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</si>
  <si>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</si>
  <si>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</si>
  <si>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</si>
  <si>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</si>
  <si>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</si>
  <si>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</si>
  <si>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</si>
  <si>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</si>
  <si>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</si>
  <si>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</si>
  <si>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</si>
  <si>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</si>
  <si>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</si>
  <si>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</si>
  <si>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</si>
  <si>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</si>
  <si>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</si>
  <si>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</si>
  <si>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</si>
  <si>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</si>
  <si>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</si>
  <si>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</si>
  <si>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</si>
  <si>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</si>
  <si>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</si>
  <si>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</si>
  <si>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</si>
  <si>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</si>
  <si>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</si>
  <si>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</si>
  <si>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</si>
  <si>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</si>
  <si>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</si>
  <si>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</si>
  <si>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</si>
  <si>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</si>
  <si>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</si>
  <si>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</si>
  <si>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</si>
  <si>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</si>
  <si>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</si>
  <si>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</si>
  <si>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</si>
  <si>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</si>
  <si>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</si>
  <si>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</si>
  <si>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</si>
  <si>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</si>
  <si>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</si>
  <si>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</si>
  <si>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</si>
  <si>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</si>
  <si>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</si>
  <si>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</si>
  <si>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</si>
  <si>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</si>
  <si>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</si>
  <si>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</si>
  <si>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</si>
  <si>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</si>
  <si>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</si>
  <si>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</si>
  <si>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</si>
  <si>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</si>
  <si>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</si>
  <si>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</si>
  <si>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</si>
  <si>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</si>
  <si>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</si>
  <si>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</si>
  <si>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</si>
  <si>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</si>
  <si>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</si>
  <si>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</si>
  <si>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</si>
  <si>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</si>
  <si>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</si>
  <si>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</si>
  <si>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</si>
  <si>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</si>
  <si>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</si>
  <si>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</si>
  <si>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</si>
  <si>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</si>
  <si>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</si>
  <si>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</si>
  <si>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</si>
  <si>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</si>
  <si>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</si>
  <si>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</si>
  <si>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</si>
  <si>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</si>
  <si>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</si>
  <si>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</si>
  <si>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</si>
  <si>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</si>
  <si>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</si>
  <si>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</si>
  <si>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</si>
  <si>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</si>
  <si>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</si>
  <si>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</si>
  <si>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</si>
  <si>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</si>
  <si>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</si>
  <si>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</si>
  <si>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</si>
  <si>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</si>
  <si>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</si>
  <si>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</si>
  <si>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</si>
  <si>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</si>
  <si>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</si>
  <si>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</si>
  <si>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</si>
  <si>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</si>
  <si>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</si>
  <si>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</si>
  <si>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</si>
  <si>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</si>
  <si>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</si>
  <si>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</si>
  <si>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</si>
  <si>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</si>
  <si>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</si>
  <si>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</si>
  <si>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</si>
  <si>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</si>
  <si>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</si>
  <si>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</si>
  <si>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</si>
  <si>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</si>
  <si>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</si>
  <si>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</si>
  <si>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</si>
  <si>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</si>
  <si>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</si>
  <si>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</si>
  <si>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</si>
  <si>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</si>
  <si>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</si>
  <si>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</si>
  <si>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</si>
  <si>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</si>
  <si>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</si>
  <si>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</si>
  <si>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</si>
  <si>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</si>
  <si>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</si>
  <si>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</si>
  <si>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</si>
  <si>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</si>
  <si>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</si>
  <si>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</si>
  <si>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</si>
  <si>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</si>
  <si>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</si>
  <si>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</si>
  <si>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</si>
  <si>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</si>
  <si>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</si>
  <si>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</si>
  <si>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</si>
  <si>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</si>
  <si>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</si>
  <si>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</si>
  <si>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</si>
  <si>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</si>
  <si>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</si>
  <si>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</si>
  <si>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</si>
  <si>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</si>
  <si>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</si>
  <si>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</si>
  <si>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</si>
  <si>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</si>
  <si>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</si>
  <si>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</si>
  <si>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</si>
  <si>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</si>
  <si>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</si>
  <si>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</si>
  <si>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</si>
  <si>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</si>
  <si>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</si>
  <si>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</si>
  <si>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</si>
  <si>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</si>
  <si>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</si>
  <si>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</si>
  <si>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</si>
  <si>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</si>
  <si>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</si>
  <si>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</si>
  <si>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</si>
  <si>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</si>
  <si>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</si>
  <si>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</si>
  <si>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</si>
  <si>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</si>
  <si>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</si>
  <si>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</si>
  <si>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</si>
  <si>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</si>
  <si>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</si>
  <si>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</si>
  <si>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</si>
  <si>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</si>
  <si>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</si>
  <si>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</si>
  <si>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</si>
  <si>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</si>
  <si>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</si>
  <si>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</si>
  <si>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</si>
  <si>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</si>
  <si>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</si>
  <si>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</si>
  <si>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</si>
  <si>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</si>
  <si>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</si>
  <si>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</si>
  <si>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</si>
  <si>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</si>
  <si>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</si>
  <si>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</si>
  <si>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</si>
  <si>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</si>
  <si>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</si>
  <si>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</si>
  <si>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</si>
  <si>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</si>
  <si>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</si>
  <si>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</si>
  <si>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</si>
  <si>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</si>
  <si>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</si>
  <si>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</si>
  <si>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</si>
  <si>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</si>
  <si>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</si>
  <si>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</si>
  <si>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</si>
  <si>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</si>
  <si>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</si>
  <si>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</si>
  <si>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</si>
  <si>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</si>
  <si>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</si>
  <si>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</si>
  <si>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</si>
  <si>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</si>
  <si>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</si>
  <si>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</si>
  <si>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</si>
  <si>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</si>
  <si>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</si>
  <si>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</si>
  <si>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</si>
  <si>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</si>
  <si>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</si>
  <si>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</si>
  <si>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</si>
  <si>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</si>
  <si>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</si>
  <si>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</si>
  <si>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</si>
  <si>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</si>
  <si>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</si>
  <si>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</si>
  <si>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</si>
  <si>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</si>
  <si>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</si>
  <si>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</si>
  <si>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</si>
  <si>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</si>
  <si>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</si>
  <si>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</si>
  <si>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</si>
  <si>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</si>
  <si>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</si>
  <si>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</si>
  <si>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</si>
  <si>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</si>
  <si>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</si>
  <si>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</si>
  <si>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</si>
  <si>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</si>
  <si>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</si>
  <si>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</si>
  <si>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</si>
  <si>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</si>
  <si>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</si>
  <si>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</si>
  <si>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</si>
  <si>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</si>
  <si>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</si>
  <si>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</si>
  <si>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</si>
  <si>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</si>
  <si>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</si>
  <si>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</si>
  <si>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</si>
  <si>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</si>
  <si>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</si>
  <si>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</si>
  <si>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</si>
  <si>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</si>
  <si>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</si>
  <si>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</si>
  <si>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</si>
  <si>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</si>
  <si>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</si>
  <si>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</si>
  <si>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</si>
  <si>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</si>
  <si>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</si>
  <si>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</si>
  <si>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</si>
  <si>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</si>
  <si>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</si>
  <si>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</si>
  <si>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</si>
  <si>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</si>
  <si>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</si>
  <si>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</si>
  <si>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</si>
  <si>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</si>
  <si>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</si>
  <si>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</si>
  <si>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</si>
  <si>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</si>
  <si>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</si>
  <si>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</si>
  <si>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</si>
  <si>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</si>
  <si>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</si>
  <si>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</si>
  <si>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</si>
  <si>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</si>
  <si>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</si>
  <si>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</si>
  <si>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</si>
  <si>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</si>
  <si>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</si>
  <si>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</si>
  <si>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</si>
  <si>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</si>
  <si>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</si>
  <si>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</si>
  <si>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</si>
  <si>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</si>
  <si>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</si>
  <si>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</si>
  <si>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</si>
  <si>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</si>
  <si>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</si>
  <si>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</si>
  <si>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</si>
  <si>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</si>
  <si>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</si>
  <si>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</si>
  <si>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</si>
  <si>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</si>
  <si>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</si>
  <si>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</si>
  <si>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</si>
  <si>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</si>
  <si>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</si>
  <si>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</si>
  <si>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</si>
  <si>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</si>
  <si>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</si>
  <si>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</si>
  <si>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</si>
  <si>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</si>
  <si>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</si>
  <si>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</si>
  <si>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</si>
  <si>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</si>
  <si>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</si>
  <si>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</si>
  <si>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</si>
  <si>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</si>
  <si>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</si>
  <si>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</si>
  <si>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</si>
  <si>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</si>
  <si>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</si>
  <si>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</si>
  <si>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</si>
  <si>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</si>
  <si>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</si>
  <si>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</si>
  <si>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</si>
  <si>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</si>
  <si>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</si>
  <si>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</si>
  <si>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</si>
  <si>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</si>
  <si>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</si>
  <si>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</si>
  <si>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</si>
  <si>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</si>
  <si>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</si>
  <si>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</si>
  <si>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</si>
  <si>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</si>
  <si>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</si>
  <si>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</si>
  <si>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</si>
  <si>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</si>
  <si>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</si>
  <si>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</si>
  <si>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</si>
  <si>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</si>
  <si>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</si>
  <si>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</si>
  <si>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</si>
  <si>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</si>
  <si>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</si>
  <si>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</si>
  <si>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</si>
  <si>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</si>
  <si>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</si>
  <si>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</si>
  <si>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</si>
  <si>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</si>
  <si>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</si>
  <si>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</si>
  <si>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</si>
  <si>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</si>
  <si>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</si>
  <si>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</si>
  <si>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</si>
  <si>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</si>
  <si>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</si>
  <si>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</si>
  <si>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</si>
  <si>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</si>
  <si>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</si>
  <si>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</si>
  <si>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</si>
  <si>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</si>
  <si>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</si>
  <si>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</si>
  <si>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</si>
  <si>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</si>
  <si>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</si>
  <si>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</si>
  <si>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</si>
  <si>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</si>
  <si>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</si>
  <si>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</si>
  <si>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</si>
  <si>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</si>
  <si>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</si>
  <si>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</si>
  <si>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</si>
  <si>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</si>
  <si>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</si>
  <si>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</si>
  <si>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</si>
  <si>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</si>
  <si>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</si>
  <si>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</si>
  <si>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</si>
  <si>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</si>
  <si>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</si>
  <si>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</si>
  <si>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</si>
  <si>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</si>
  <si>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</si>
  <si>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</si>
  <si>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</si>
  <si>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</si>
  <si>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</si>
  <si>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</si>
  <si>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</si>
  <si>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</si>
  <si>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</si>
  <si>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</si>
  <si>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</si>
  <si>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</si>
  <si>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</si>
  <si>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</si>
  <si>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</si>
  <si>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</si>
  <si>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</si>
  <si>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</si>
  <si>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</si>
  <si>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</si>
  <si>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</si>
  <si>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</si>
  <si>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</si>
  <si>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</si>
  <si>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</si>
  <si>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</si>
  <si>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</si>
  <si>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</si>
  <si>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</si>
  <si>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</si>
  <si>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</si>
  <si>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</si>
  <si>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</si>
  <si>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</si>
  <si>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</si>
  <si>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</si>
  <si>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</si>
  <si>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</si>
  <si>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</si>
  <si>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</si>
  <si>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</si>
  <si>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</si>
  <si>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</si>
  <si>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</si>
  <si>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</si>
  <si>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</si>
  <si>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</si>
  <si>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</si>
  <si>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</si>
  <si>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</si>
  <si>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</si>
  <si>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</si>
  <si>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</si>
  <si>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</si>
  <si>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</si>
  <si>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</si>
  <si>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</si>
  <si>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</si>
  <si>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</si>
  <si>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</si>
  <si>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</si>
  <si>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</si>
  <si>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</si>
  <si>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</si>
  <si>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</si>
  <si>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</si>
  <si>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</si>
  <si>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</si>
  <si>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</si>
  <si>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</si>
  <si>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</si>
  <si>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</si>
  <si>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</si>
  <si>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</si>
  <si>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</si>
  <si>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</si>
  <si>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</si>
  <si>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</si>
  <si>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</si>
  <si>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</si>
  <si>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</si>
  <si>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</si>
  <si>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</si>
  <si>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</si>
  <si>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</si>
  <si>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</si>
  <si>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</si>
  <si>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</si>
  <si>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</si>
  <si>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</si>
  <si>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</si>
  <si>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</si>
  <si>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</si>
  <si>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</si>
  <si>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</si>
  <si>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</si>
  <si>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</si>
  <si>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</si>
  <si>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</si>
  <si>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</si>
  <si>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</si>
  <si>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</si>
  <si>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</si>
  <si>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</si>
  <si>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</si>
  <si>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</si>
  <si>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</si>
  <si>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</si>
  <si>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</si>
  <si>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</si>
  <si>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</si>
  <si>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</si>
  <si>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</si>
  <si>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</si>
  <si>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</si>
  <si>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</si>
  <si>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</si>
  <si>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</si>
  <si>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</si>
  <si>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</si>
  <si>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</si>
  <si>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</si>
  <si>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</si>
  <si>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</si>
  <si>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</si>
  <si>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</si>
  <si>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</si>
  <si>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</si>
  <si>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</si>
  <si>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</si>
  <si>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</si>
  <si>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</si>
  <si>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</si>
  <si>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</si>
  <si>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</si>
  <si>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</si>
  <si>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</si>
  <si>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</si>
  <si>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</si>
  <si>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</si>
  <si>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</si>
  <si>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</si>
  <si>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</si>
  <si>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</si>
  <si>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</si>
  <si>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</si>
  <si>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</si>
  <si>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</si>
  <si>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</si>
  <si>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</si>
  <si>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</si>
  <si>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</si>
  <si>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</si>
  <si>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</si>
  <si>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</si>
  <si>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</si>
  <si>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</si>
  <si>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</si>
  <si>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</si>
  <si>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</si>
  <si>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</si>
  <si>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</si>
  <si>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</si>
  <si>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</si>
  <si>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</si>
  <si>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</si>
  <si>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</si>
  <si>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</si>
  <si>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</si>
  <si>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</si>
  <si>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</si>
  <si>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</si>
  <si>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</si>
  <si>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</si>
  <si>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</si>
  <si>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</si>
  <si>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</si>
  <si>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</si>
  <si>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</si>
  <si>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</si>
  <si>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</si>
  <si>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</si>
  <si>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</si>
  <si>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</si>
  <si>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</si>
  <si>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</si>
  <si>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</si>
  <si>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</si>
  <si>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</si>
  <si>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</si>
  <si>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</si>
  <si>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</si>
  <si>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</si>
  <si>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</si>
  <si>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</si>
  <si>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</si>
  <si>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</si>
  <si>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</si>
  <si>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</si>
  <si>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</si>
  <si>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</si>
  <si>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</si>
  <si>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</si>
  <si>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</si>
  <si>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</si>
  <si>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</si>
  <si>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</si>
  <si>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</si>
  <si>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</si>
  <si>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</si>
  <si>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</si>
  <si>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</si>
  <si>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</si>
  <si>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</si>
  <si>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</si>
  <si>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</si>
  <si>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</si>
  <si>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</si>
  <si>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</si>
  <si>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</si>
  <si>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</si>
  <si>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</si>
  <si>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</si>
  <si>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</si>
  <si>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</si>
  <si>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</si>
  <si>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</si>
  <si>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</si>
  <si>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</si>
  <si>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</si>
  <si>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</si>
  <si>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</si>
  <si>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</si>
  <si>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</si>
  <si>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</si>
  <si>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</si>
  <si>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</si>
  <si>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</si>
  <si>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</si>
  <si>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</si>
  <si>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</si>
  <si>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</si>
  <si>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</si>
  <si>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</si>
  <si>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</si>
  <si>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</si>
  <si>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</si>
  <si>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</si>
  <si>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</si>
  <si>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</si>
  <si>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</si>
  <si>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</si>
  <si>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</si>
  <si>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</si>
  <si>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</si>
  <si>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</si>
  <si>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</si>
  <si>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</si>
  <si>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</si>
  <si>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</si>
  <si>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</si>
  <si>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</si>
  <si>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</si>
  <si>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</si>
  <si>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</si>
  <si>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</si>
  <si>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</si>
  <si>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</si>
  <si>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</si>
  <si>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</si>
  <si>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</si>
  <si>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</si>
  <si>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</si>
  <si>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</si>
  <si>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</si>
  <si>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</si>
  <si>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</si>
  <si>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</si>
  <si>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</si>
  <si>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</si>
  <si>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</si>
  <si>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</si>
  <si>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</si>
  <si>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</si>
  <si>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</si>
  <si>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</si>
  <si>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</si>
  <si>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</si>
  <si>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</si>
  <si>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</si>
  <si>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</si>
  <si>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</si>
  <si>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</si>
  <si>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</si>
  <si>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</si>
  <si>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</si>
  <si>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</si>
  <si>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</si>
  <si>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</si>
  <si>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</si>
  <si>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</si>
  <si>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</si>
  <si>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</si>
  <si>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</si>
  <si>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</si>
  <si>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</si>
  <si>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</si>
  <si>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</si>
  <si>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</si>
  <si>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</si>
  <si>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</si>
  <si>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</si>
  <si>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</si>
  <si>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</si>
  <si>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</si>
  <si>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</si>
  <si>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</si>
  <si>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</si>
  <si>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</si>
  <si>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</si>
  <si>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</si>
  <si>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</si>
  <si>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</si>
  <si>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</si>
  <si>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</si>
  <si>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</si>
  <si>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</si>
  <si>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</si>
  <si>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</si>
  <si>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</si>
  <si>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</si>
  <si>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</si>
  <si>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</si>
  <si>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</si>
  <si>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</si>
  <si>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</si>
  <si>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</si>
  <si>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</si>
  <si>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</si>
  <si>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</si>
  <si>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</si>
  <si>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</si>
  <si>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</si>
  <si>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</si>
  <si>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</si>
  <si>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</si>
  <si>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</si>
  <si>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</si>
  <si>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</si>
  <si>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</si>
  <si>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</si>
  <si>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</si>
  <si>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</si>
  <si>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</si>
  <si>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</si>
  <si>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</si>
  <si>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</si>
  <si>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</si>
  <si>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</si>
  <si>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</si>
  <si>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</si>
  <si>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</si>
  <si>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</si>
  <si>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</si>
  <si>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</si>
  <si>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</si>
  <si>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</si>
  <si>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</si>
  <si>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</si>
  <si>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</si>
  <si>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</si>
  <si>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</si>
  <si>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</si>
  <si>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</si>
  <si>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</si>
  <si>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</si>
  <si>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</si>
  <si>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</si>
  <si>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</si>
  <si>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</si>
  <si>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</si>
  <si>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</si>
  <si>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</si>
  <si>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</si>
  <si>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</si>
  <si>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</si>
  <si>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</si>
  <si>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</si>
  <si>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</si>
  <si>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</si>
  <si>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</si>
  <si>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</si>
  <si>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</si>
  <si>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</si>
  <si>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</si>
  <si>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</si>
  <si>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</si>
  <si>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</si>
  <si>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</si>
  <si>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</si>
  <si>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</si>
  <si>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</si>
  <si>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</si>
  <si>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</si>
  <si>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</si>
  <si>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</si>
  <si>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</si>
  <si>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</si>
  <si>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</si>
  <si>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</si>
  <si>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</si>
  <si>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</si>
  <si>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</si>
  <si>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</si>
  <si>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</si>
  <si>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</si>
  <si>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</si>
  <si>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</si>
  <si>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</si>
  <si>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</si>
  <si>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</si>
  <si>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</si>
  <si>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</si>
  <si>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</si>
  <si>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</si>
  <si>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</si>
  <si>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</si>
  <si>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</si>
  <si>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</si>
  <si>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</si>
  <si>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</si>
  <si>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</si>
  <si>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</si>
  <si>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</si>
  <si>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</si>
  <si>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</si>
  <si>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</si>
  <si>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</si>
  <si>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</si>
  <si>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</si>
  <si>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</si>
  <si>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</si>
  <si>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</si>
  <si>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</si>
  <si>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</si>
  <si>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</si>
  <si>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</si>
  <si>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</si>
  <si>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</si>
  <si>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</si>
  <si>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</si>
  <si>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</si>
  <si>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</si>
  <si>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</si>
  <si>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</si>
  <si>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</si>
  <si>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</si>
  <si>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</si>
  <si>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</si>
  <si>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</si>
  <si>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</si>
  <si>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</si>
  <si>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</si>
  <si>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</si>
  <si>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</si>
  <si>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</si>
  <si>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</si>
  <si>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</si>
  <si>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</si>
  <si>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</si>
  <si>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</si>
  <si>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</si>
  <si>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</si>
  <si>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</si>
  <si>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</si>
  <si>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</si>
  <si>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</si>
  <si>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</si>
  <si>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</si>
  <si>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</si>
  <si>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</si>
  <si>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</si>
  <si>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</si>
  <si>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</si>
  <si>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</si>
  <si>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</si>
  <si>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</si>
  <si>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</si>
  <si>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</si>
  <si>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</si>
  <si>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</si>
  <si>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</si>
  <si>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</si>
  <si>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</si>
  <si>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</si>
  <si>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</si>
  <si>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</si>
  <si>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</si>
  <si>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</si>
  <si>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</si>
  <si>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</si>
  <si>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</si>
  <si>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</si>
  <si>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</si>
  <si>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</si>
  <si>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</si>
  <si>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</si>
  <si>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</si>
  <si>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</si>
  <si>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</si>
  <si>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</si>
  <si>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</si>
  <si>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</si>
  <si>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</si>
  <si>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</si>
  <si>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</si>
  <si>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</si>
  <si>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</si>
  <si>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</si>
  <si>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</si>
  <si>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</si>
  <si>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</si>
  <si>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</si>
  <si>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</si>
  <si>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</si>
  <si>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</si>
  <si>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</si>
  <si>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</si>
  <si>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</si>
  <si>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</si>
  <si>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</si>
  <si>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</si>
  <si>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</si>
  <si>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</si>
  <si>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</si>
  <si>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</si>
  <si>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</si>
  <si>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</si>
  <si>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</si>
  <si>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</si>
  <si>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</si>
  <si>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</si>
  <si>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</si>
  <si>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</si>
  <si>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</si>
  <si>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</si>
  <si>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</si>
  <si>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</si>
  <si>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</si>
  <si>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</si>
  <si>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</si>
  <si>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</si>
  <si>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</si>
  <si>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</si>
  <si>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</si>
  <si>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</si>
  <si>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</si>
  <si>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</si>
  <si>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</si>
  <si>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</si>
  <si>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</si>
  <si>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</si>
  <si>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</si>
  <si>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</si>
  <si>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</si>
  <si>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</si>
  <si>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</si>
  <si>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</si>
  <si>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</si>
  <si>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</si>
  <si>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</si>
  <si>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</si>
  <si>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</si>
  <si>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</si>
  <si>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</si>
  <si>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</si>
  <si>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</si>
  <si>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</si>
  <si>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</si>
  <si>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</si>
  <si>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</si>
  <si>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</si>
  <si>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</si>
  <si>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</si>
  <si>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</si>
  <si>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</si>
  <si>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</si>
  <si>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</si>
  <si>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</si>
  <si>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</si>
  <si>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</si>
  <si>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</si>
  <si>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</si>
  <si>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</si>
  <si>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</si>
  <si>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</si>
  <si>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</si>
  <si>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</si>
  <si>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</si>
  <si>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</si>
  <si>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</si>
  <si>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</si>
  <si>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</si>
  <si>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</si>
  <si>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</si>
  <si>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</si>
  <si>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</si>
  <si>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</si>
  <si>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</si>
  <si>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</si>
  <si>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</si>
  <si>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</si>
  <si>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</si>
  <si>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</si>
  <si>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</si>
  <si>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</si>
  <si>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</si>
  <si>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</si>
  <si>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</si>
  <si>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</si>
  <si>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</si>
  <si>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</si>
  <si>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</si>
  <si>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</si>
  <si>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</si>
  <si>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</si>
  <si>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</si>
  <si>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</si>
  <si>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</si>
  <si>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</si>
  <si>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</si>
  <si>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</si>
  <si>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</si>
  <si>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</si>
  <si>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</si>
  <si>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</si>
  <si>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</si>
  <si>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</si>
  <si>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</si>
  <si>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</si>
  <si>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</si>
  <si>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</si>
  <si>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</si>
  <si>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</si>
  <si>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</si>
  <si>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</si>
  <si>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</si>
  <si>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</si>
  <si>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</si>
  <si>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</si>
  <si>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</si>
  <si>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</si>
  <si>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</si>
  <si>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</si>
  <si>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</si>
  <si>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</si>
  <si>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</si>
  <si>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</si>
  <si>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</si>
  <si>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</si>
  <si>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</si>
  <si>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</si>
  <si>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</si>
  <si>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</si>
  <si>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</si>
  <si>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</si>
  <si>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</si>
  <si>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</si>
  <si>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</si>
  <si>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</si>
  <si>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</si>
  <si>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</si>
  <si>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</si>
  <si>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</si>
  <si>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</si>
  <si>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</si>
  <si>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</si>
  <si>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</si>
  <si>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</si>
  <si>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</si>
  <si>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</si>
  <si>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</si>
  <si>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</si>
  <si>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</si>
  <si>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</si>
  <si>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</si>
  <si>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</si>
  <si>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</si>
  <si>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</si>
  <si>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</si>
  <si>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</si>
  <si>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</si>
  <si>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</si>
  <si>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</si>
  <si>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</si>
  <si>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</si>
  <si>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</si>
  <si>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</si>
  <si>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</si>
  <si>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</si>
  <si>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</si>
  <si>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</si>
  <si>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</si>
  <si>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</si>
  <si>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</si>
  <si>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</si>
  <si>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</si>
  <si>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</si>
  <si>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</si>
  <si>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</si>
  <si>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</si>
  <si>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</si>
  <si>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</si>
  <si>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</si>
  <si>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</si>
  <si>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</si>
  <si>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</si>
  <si>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</si>
  <si>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</si>
  <si>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</si>
  <si>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</si>
  <si>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</si>
  <si>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</si>
  <si>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</si>
  <si>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</si>
  <si>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</si>
  <si>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</si>
  <si>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</si>
  <si>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</si>
  <si>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</si>
  <si>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</si>
  <si>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</si>
  <si>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</si>
  <si>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</si>
  <si>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</si>
  <si>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</si>
  <si>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</si>
  <si>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</si>
  <si>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</si>
  <si>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</si>
  <si>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</si>
  <si>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</si>
  <si>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</si>
  <si>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</si>
  <si>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</si>
  <si>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</si>
  <si>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</si>
  <si>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</si>
  <si>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</si>
  <si>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</si>
  <si>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</si>
  <si>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</si>
  <si>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</si>
  <si>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</si>
  <si>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</si>
  <si>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</si>
  <si>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</si>
  <si>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</si>
  <si>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</si>
  <si>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</si>
  <si>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</si>
  <si>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</si>
  <si>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</si>
  <si>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</si>
  <si>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</si>
  <si>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</si>
  <si>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</si>
  <si>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</si>
  <si>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</si>
  <si>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</si>
  <si>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</si>
  <si>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</si>
  <si>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</si>
  <si>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</si>
  <si>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</si>
  <si>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</si>
  <si>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</si>
  <si>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</si>
  <si>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</si>
  <si>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</si>
  <si>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</si>
  <si>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</si>
  <si>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</si>
  <si>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</si>
  <si>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</si>
  <si>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</si>
  <si>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</si>
  <si>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</si>
  <si>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</si>
  <si>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</si>
  <si>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</si>
  <si>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</si>
  <si>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</si>
  <si>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</si>
  <si>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</si>
  <si>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</si>
  <si>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</si>
  <si>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</si>
  <si>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</si>
  <si>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</si>
  <si>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</si>
  <si>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</si>
  <si>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</si>
  <si>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</si>
  <si>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</si>
  <si>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</si>
  <si>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</si>
  <si>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</si>
  <si>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</si>
  <si>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</si>
  <si>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</si>
  <si>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</si>
  <si>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</si>
  <si>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</si>
  <si>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</si>
  <si>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</si>
  <si>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</si>
  <si>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</si>
  <si>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</si>
  <si>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</si>
  <si>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</si>
  <si>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</si>
  <si>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</si>
  <si>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</si>
  <si>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</si>
  <si>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</si>
  <si>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</si>
  <si>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</si>
  <si>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</si>
  <si>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</si>
  <si>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</si>
  <si>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</si>
  <si>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</si>
  <si>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</si>
  <si>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</si>
  <si>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</si>
  <si>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</si>
  <si>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</si>
  <si>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</si>
  <si>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</si>
  <si>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</si>
  <si>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</si>
  <si>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</si>
  <si>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</si>
  <si>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</si>
  <si>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</si>
  <si>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</si>
  <si>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</si>
  <si>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</si>
  <si>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</si>
  <si>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</si>
  <si>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</si>
  <si>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</si>
  <si>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</si>
  <si>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</si>
  <si>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</si>
  <si>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</si>
  <si>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</si>
  <si>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</si>
  <si>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</si>
  <si>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</si>
  <si>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</si>
  <si>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</si>
  <si>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</si>
  <si>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</si>
  <si>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</si>
  <si>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</si>
  <si>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</si>
  <si>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</si>
  <si>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</si>
  <si>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</si>
  <si>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</si>
  <si>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</si>
  <si>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</si>
  <si>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</si>
  <si>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</si>
  <si>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</si>
  <si>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</si>
  <si>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</si>
  <si>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</si>
  <si>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</si>
  <si>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</si>
  <si>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</si>
  <si>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</si>
  <si>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</si>
  <si>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</si>
  <si>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</si>
  <si>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</si>
  <si>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</si>
  <si>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</si>
  <si>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</si>
  <si>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</si>
  <si>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</si>
  <si>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</si>
  <si>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</si>
  <si>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</si>
  <si>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</si>
  <si>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</si>
  <si>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</si>
  <si>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</si>
  <si>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</si>
  <si>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</si>
  <si>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</si>
  <si>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</si>
  <si>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</si>
  <si>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</si>
  <si>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</si>
  <si>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</si>
  <si>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</si>
  <si>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</si>
  <si>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</si>
  <si>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</si>
  <si>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</si>
  <si>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</si>
  <si>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</si>
  <si>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</si>
  <si>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</si>
  <si>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</si>
  <si>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</si>
  <si>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</si>
  <si>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</si>
  <si>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</si>
  <si>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</si>
  <si>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</si>
  <si>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</si>
  <si>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</si>
  <si>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</si>
  <si>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</si>
  <si>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</si>
  <si>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</si>
  <si>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</si>
  <si>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</si>
  <si>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</si>
  <si>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</si>
  <si>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</si>
  <si>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</si>
  <si>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</si>
  <si>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</si>
  <si>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</si>
  <si>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</si>
  <si>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</si>
  <si>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</si>
  <si>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</si>
  <si>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</si>
  <si>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</si>
  <si>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</si>
  <si>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</si>
  <si>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</si>
  <si>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</si>
  <si>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</si>
  <si>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</si>
  <si>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</si>
  <si>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</si>
  <si>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</si>
  <si>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</si>
  <si>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</si>
  <si>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</si>
  <si>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</si>
  <si>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</si>
  <si>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</si>
  <si>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</si>
  <si>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</si>
  <si>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</si>
  <si>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</si>
  <si>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</si>
  <si>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</si>
  <si>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</si>
  <si>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</si>
  <si>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</si>
  <si>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</si>
  <si>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</si>
  <si>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</si>
  <si>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</si>
  <si>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</si>
  <si>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</si>
  <si>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</si>
  <si>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</si>
  <si>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</si>
  <si>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</si>
  <si>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</si>
  <si>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</si>
  <si>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</si>
  <si>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</si>
  <si>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</si>
  <si>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</si>
  <si>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</si>
  <si>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</si>
  <si>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</si>
  <si>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</si>
  <si>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</si>
  <si>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</si>
  <si>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</si>
  <si>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</si>
  <si>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</si>
  <si>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</si>
  <si>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</si>
  <si>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</si>
  <si>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</si>
  <si>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</si>
  <si>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</si>
  <si>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</si>
  <si>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</si>
  <si>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</si>
  <si>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</si>
  <si>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</si>
  <si>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</si>
  <si>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</si>
  <si>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</si>
  <si>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</si>
  <si>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</si>
  <si>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</si>
  <si>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</si>
  <si>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</si>
  <si>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</si>
  <si>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</si>
  <si>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</si>
  <si>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</si>
  <si>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</si>
  <si>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</si>
  <si>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</si>
  <si>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</si>
  <si>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</si>
  <si>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</si>
  <si>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</si>
  <si>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</si>
  <si>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</si>
  <si>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</si>
  <si>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</si>
  <si>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</si>
  <si>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</si>
  <si>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</si>
  <si>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</si>
  <si>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</si>
  <si>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</si>
  <si>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</si>
  <si>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</si>
  <si>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</si>
  <si>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</si>
  <si>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</si>
  <si>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</si>
  <si>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</si>
  <si>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</si>
  <si>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</si>
  <si>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</si>
  <si>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</si>
  <si>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</si>
  <si>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</si>
  <si>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</si>
  <si>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</si>
  <si>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</si>
  <si>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</si>
  <si>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</si>
  <si>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</si>
  <si>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</si>
  <si>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</si>
  <si>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</si>
  <si>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</si>
  <si>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</si>
  <si>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</si>
  <si>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</si>
  <si>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</si>
  <si>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</si>
  <si>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</si>
  <si>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</si>
  <si>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</si>
  <si>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</si>
  <si>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</si>
  <si>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</si>
  <si>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</si>
  <si>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</si>
  <si>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</si>
  <si>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</si>
  <si>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</si>
  <si>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</si>
  <si>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</si>
  <si>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</si>
  <si>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</si>
  <si>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</si>
  <si>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</si>
  <si>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</si>
  <si>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</si>
  <si>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</si>
  <si>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</si>
  <si>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</si>
  <si>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</si>
  <si>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</si>
  <si>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</si>
  <si>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</si>
  <si>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</si>
  <si>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</si>
  <si>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</si>
  <si>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</si>
  <si>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</si>
  <si>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</si>
  <si>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</si>
  <si>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</si>
  <si>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</si>
  <si>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</si>
  <si>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</si>
  <si>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</si>
  <si>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</si>
  <si>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</si>
  <si>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</si>
  <si>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</si>
  <si>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</si>
  <si>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</si>
  <si>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</si>
  <si>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</si>
  <si>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</si>
  <si>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</si>
  <si>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</si>
  <si>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</si>
  <si>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</si>
  <si>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</si>
  <si>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</si>
  <si>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</si>
  <si>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</si>
  <si>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</si>
  <si>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</si>
  <si>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</si>
  <si>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</si>
  <si>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</si>
  <si>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</si>
  <si>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</si>
  <si>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</si>
  <si>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</si>
  <si>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</si>
  <si>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</si>
  <si>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</si>
  <si>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</si>
  <si>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</si>
  <si>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</si>
  <si>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</si>
  <si>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</si>
  <si>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</si>
  <si>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</si>
  <si>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</si>
  <si>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</si>
  <si>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</si>
  <si>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</si>
  <si>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</si>
  <si>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</si>
  <si>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</si>
  <si>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</si>
  <si>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</si>
  <si>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</si>
  <si>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</si>
  <si>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</si>
  <si>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</si>
  <si>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</si>
  <si>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</si>
  <si>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</si>
  <si>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</si>
  <si>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</si>
  <si>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</si>
  <si>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</si>
  <si>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</si>
  <si>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</si>
  <si>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</si>
  <si>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</si>
  <si>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</si>
  <si>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</si>
  <si>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</si>
  <si>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</si>
  <si>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</si>
  <si>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</si>
  <si>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</si>
  <si>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</si>
  <si>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</si>
  <si>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</si>
  <si>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</si>
  <si>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</si>
  <si>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</si>
  <si>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</si>
  <si>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</si>
  <si>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</si>
  <si>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</si>
  <si>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</si>
  <si>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</si>
  <si>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</si>
  <si>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</si>
  <si>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</si>
  <si>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</si>
  <si>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</si>
  <si>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</si>
  <si>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</si>
  <si>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</si>
  <si>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</si>
  <si>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</si>
  <si>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</si>
  <si>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</si>
  <si>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</si>
  <si>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</si>
  <si>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</si>
  <si>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</si>
  <si>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</si>
  <si>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</si>
  <si>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</si>
  <si>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</si>
  <si>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</si>
  <si>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</si>
  <si>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</si>
  <si>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</si>
  <si>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</si>
  <si>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</si>
  <si>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</si>
  <si>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</si>
  <si>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</si>
  <si>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</si>
  <si>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</si>
  <si>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</si>
  <si>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</si>
  <si>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</si>
  <si>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</si>
  <si>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</si>
  <si>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</si>
  <si>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</si>
  <si>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</si>
  <si>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</si>
  <si>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</si>
  <si>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</si>
  <si>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</si>
  <si>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</si>
  <si>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</si>
  <si>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</si>
  <si>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</si>
  <si>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</si>
  <si>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</si>
  <si>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</si>
  <si>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</si>
  <si>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</si>
  <si>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</si>
  <si>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</si>
  <si>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</si>
  <si>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</si>
  <si>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</si>
  <si>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</si>
  <si>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</si>
  <si>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</si>
  <si>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</si>
  <si>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</si>
  <si>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</si>
  <si>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</si>
  <si>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</si>
  <si>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</si>
  <si>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</si>
  <si>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</si>
  <si>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</si>
  <si>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</si>
  <si>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</si>
  <si>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</si>
  <si>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</si>
  <si>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</si>
  <si>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</si>
  <si>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</si>
  <si>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</si>
  <si>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</si>
  <si>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</si>
  <si>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</si>
  <si>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</si>
  <si>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</si>
  <si>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</si>
  <si>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</si>
  <si>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</si>
  <si>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</si>
  <si>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</si>
  <si>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</si>
  <si>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</si>
  <si>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</si>
  <si>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</si>
  <si>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</si>
  <si>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</si>
  <si>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</si>
  <si>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</si>
  <si>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</si>
  <si>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</si>
  <si>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</si>
  <si>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</si>
  <si>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</si>
  <si>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</si>
  <si>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</si>
  <si>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</si>
  <si>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</si>
  <si>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</si>
  <si>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</si>
  <si>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</si>
  <si>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</si>
  <si>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</si>
  <si>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</si>
  <si>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</si>
  <si>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</si>
  <si>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</si>
  <si>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</si>
  <si>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</si>
  <si>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</si>
  <si>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</si>
  <si>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</si>
  <si>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</si>
  <si>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</si>
  <si>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</si>
  <si>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</si>
  <si>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</si>
  <si>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</si>
  <si>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</si>
  <si>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</si>
  <si>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</si>
  <si>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</si>
  <si>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</si>
  <si>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</si>
  <si>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</si>
  <si>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</si>
  <si>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</si>
  <si>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</si>
  <si>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</si>
  <si>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</si>
  <si>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</si>
  <si>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</si>
  <si>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</si>
  <si>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</si>
  <si>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</si>
  <si>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</si>
  <si>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</si>
  <si>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</si>
  <si>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</si>
  <si>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</si>
  <si>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</si>
  <si>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</si>
  <si>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</si>
  <si>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</si>
  <si>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</si>
  <si>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</si>
  <si>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</si>
  <si>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</si>
  <si>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</si>
  <si>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</si>
  <si>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</si>
  <si>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</si>
  <si>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</si>
  <si>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</si>
  <si>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</si>
  <si>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</si>
  <si>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</si>
  <si>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</si>
  <si>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</si>
  <si>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</si>
  <si>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</si>
  <si>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</si>
  <si>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</si>
  <si>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</si>
  <si>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</si>
  <si>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</si>
  <si>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</si>
  <si>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</si>
  <si>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</si>
  <si>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</si>
  <si>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房地产抵押价值</t>
  </si>
  <si>
    <t>抵押</t>
  </si>
  <si>
    <t>北京市</t>
  </si>
  <si>
    <t>企业</t>
  </si>
  <si>
    <t>出让</t>
  </si>
  <si>
    <t>北京鹏房（国美第一城）项目车位明细表</t>
    <phoneticPr fontId="4" type="noConversion"/>
  </si>
  <si>
    <t>截止日期：2021.12.31</t>
    <phoneticPr fontId="4" type="noConversion"/>
  </si>
  <si>
    <t>序号</t>
  </si>
  <si>
    <t>项目名称</t>
    <phoneticPr fontId="4" type="noConversion"/>
  </si>
  <si>
    <t>业态</t>
    <phoneticPr fontId="4" type="noConversion"/>
  </si>
  <si>
    <t>楼号</t>
    <phoneticPr fontId="257" type="noConversion"/>
  </si>
  <si>
    <t>房号</t>
  </si>
  <si>
    <t>面积（平米）</t>
    <phoneticPr fontId="257"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</si>
  <si>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</si>
  <si>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</si>
  <si>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</si>
  <si>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</si>
  <si>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</si>
  <si>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</si>
  <si>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</si>
  <si>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</si>
  <si>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</si>
  <si>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</si>
  <si>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</si>
  <si>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</si>
  <si>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国美第一城</t>
    <phoneticPr fontId="4" type="noConversion"/>
  </si>
  <si>
    <t>车位</t>
    <phoneticPr fontId="4" type="noConversion"/>
  </si>
  <si>
    <t>A区</t>
    <phoneticPr fontId="4" type="noConversion"/>
  </si>
  <si>
    <t>C区</t>
    <phoneticPr fontId="4" type="noConversion"/>
  </si>
  <si>
    <t>C区</t>
    <phoneticPr fontId="4" type="noConversion"/>
  </si>
  <si>
    <t>C区</t>
    <phoneticPr fontId="4" type="noConversion"/>
  </si>
  <si>
    <t>国美第一城</t>
    <phoneticPr fontId="4" type="noConversion"/>
  </si>
  <si>
    <t>车位</t>
    <phoneticPr fontId="4" type="noConversion"/>
  </si>
  <si>
    <t>C区</t>
    <phoneticPr fontId="4" type="noConversion"/>
  </si>
  <si>
    <t>车位小计</t>
    <phoneticPr fontId="4" type="noConversion"/>
  </si>
  <si>
    <t>是</t>
    <phoneticPr fontId="4" type="noConversion"/>
  </si>
  <si>
    <t>是</t>
    <phoneticPr fontId="4" type="noConversion"/>
  </si>
  <si>
    <t>地下</t>
    <phoneticPr fontId="4" type="noConversion"/>
  </si>
  <si>
    <t>车库</t>
  </si>
  <si>
    <t>车库</t>
    <phoneticPr fontId="4" type="noConversion"/>
  </si>
  <si>
    <t>基准车库</t>
  </si>
  <si>
    <t>基准车库</t>
    <phoneticPr fontId="8" type="noConversion"/>
  </si>
  <si>
    <t>其他车库</t>
    <phoneticPr fontId="8" type="noConversion"/>
  </si>
  <si>
    <t>利息：取LPR加浮动点数</t>
  </si>
  <si>
    <t>成新度</t>
  </si>
  <si>
    <t>住宅</t>
  </si>
  <si>
    <t>居住用地（指二类居住用地）</t>
  </si>
  <si>
    <t>自定义容积率</t>
  </si>
  <si>
    <t>有</t>
  </si>
  <si>
    <t>无</t>
  </si>
  <si>
    <t>1000米以外</t>
  </si>
  <si>
    <t>通路</t>
  </si>
  <si>
    <t>通电</t>
  </si>
  <si>
    <t>通讯</t>
  </si>
  <si>
    <t>通上水</t>
  </si>
  <si>
    <t>通下水</t>
  </si>
  <si>
    <t>通热</t>
  </si>
  <si>
    <t>燃气</t>
  </si>
  <si>
    <t>平整</t>
  </si>
  <si>
    <t>与级别开发程度一致</t>
  </si>
  <si>
    <t>按公示增长率计算</t>
  </si>
  <si>
    <t>容积率修正</t>
  </si>
  <si>
    <t>较好</t>
  </si>
  <si>
    <t>一般</t>
  </si>
  <si>
    <t>好</t>
  </si>
  <si>
    <t>未包含在土地购买价格中</t>
  </si>
  <si>
    <t>已包含在土地取得成本中</t>
  </si>
  <si>
    <t>售价</t>
  </si>
  <si>
    <t>壹·亮马</t>
    <phoneticPr fontId="141" type="noConversion"/>
  </si>
  <si>
    <t>阳光上东</t>
    <phoneticPr fontId="141" type="noConversion"/>
  </si>
  <si>
    <t>正常</t>
    <phoneticPr fontId="33" type="noConversion"/>
  </si>
  <si>
    <t>正常</t>
    <phoneticPr fontId="33" type="noConversion"/>
  </si>
  <si>
    <t>一般</t>
    <phoneticPr fontId="33" type="noConversion"/>
  </si>
  <si>
    <t>较好</t>
    <phoneticPr fontId="33" type="noConversion"/>
  </si>
  <si>
    <t>七通</t>
    <phoneticPr fontId="33" type="noConversion"/>
  </si>
  <si>
    <t>住宅</t>
    <phoneticPr fontId="33" type="noConversion"/>
  </si>
  <si>
    <t>熙悦尚郡</t>
    <phoneticPr fontId="141" type="noConversion"/>
  </si>
  <si>
    <t>比较法-车位</t>
  </si>
  <si>
    <t>珠江罗马嘉园</t>
    <phoneticPr fontId="141" type="noConversion"/>
  </si>
  <si>
    <t>熙悦尚郡</t>
    <phoneticPr fontId="141" type="noConversion"/>
  </si>
  <si>
    <t>润枫嘉尚</t>
    <phoneticPr fontId="141" type="noConversion"/>
  </si>
  <si>
    <t>收益法 (元)</t>
  </si>
  <si>
    <t>钢混</t>
  </si>
  <si>
    <t>非生产用房</t>
  </si>
  <si>
    <t>较好</t>
    <phoneticPr fontId="33" type="noConversion"/>
  </si>
  <si>
    <t>一般</t>
    <phoneticPr fontId="33" type="noConversion"/>
  </si>
  <si>
    <t>自定义</t>
  </si>
  <si>
    <t>按租金收入计税</t>
  </si>
  <si>
    <t>需扣减承租人权益</t>
  </si>
  <si>
    <t>总价</t>
  </si>
  <si>
    <t>2号院车位面积</t>
    <phoneticPr fontId="141" type="noConversion"/>
  </si>
  <si>
    <t>3号院车位面积</t>
  </si>
  <si>
    <t>2号院总面积</t>
    <phoneticPr fontId="141" type="noConversion"/>
  </si>
  <si>
    <t>3号院总面积</t>
  </si>
  <si>
    <t>2号院土地面积</t>
    <phoneticPr fontId="141" type="noConversion"/>
  </si>
  <si>
    <t>3号院土地面积</t>
  </si>
  <si>
    <t>分摊土地面积</t>
    <phoneticPr fontId="141" type="noConversion"/>
  </si>
  <si>
    <t>是</t>
  </si>
  <si>
    <t>楼面单价</t>
  </si>
  <si>
    <t>建筑面积</t>
  </si>
  <si>
    <r>
      <t>(</t>
    </r>
    <r>
      <rPr>
        <sz val="9"/>
        <color rgb="FFE36C0A"/>
        <rFont val="华文细黑"/>
        <family val="3"/>
        <charset val="134"/>
      </rPr>
      <t>分摊</t>
    </r>
    <r>
      <rPr>
        <sz val="9"/>
        <color rgb="FFE36C0A"/>
        <rFont val="Arial"/>
        <family val="2"/>
      </rPr>
      <t>)</t>
    </r>
    <r>
      <rPr>
        <sz val="9"/>
        <color theme="1"/>
        <rFont val="华文细黑"/>
        <family val="3"/>
        <charset val="134"/>
      </rPr>
      <t>土地面积</t>
    </r>
  </si>
  <si>
    <t>出让国有建设用地使用权价值</t>
  </si>
  <si>
    <t>建筑物价值</t>
  </si>
  <si>
    <t>房地产价值</t>
  </si>
  <si>
    <r>
      <t>总</t>
    </r>
    <r>
      <rPr>
        <sz val="9"/>
        <color theme="1"/>
        <rFont val="Arial"/>
        <family val="2"/>
      </rPr>
      <t xml:space="preserve"> </t>
    </r>
    <r>
      <rPr>
        <sz val="9"/>
        <color theme="1"/>
        <rFont val="华文细黑"/>
        <family val="3"/>
        <charset val="134"/>
      </rPr>
      <t>价</t>
    </r>
  </si>
  <si>
    <t>车位</t>
  </si>
  <si>
    <t>B区 B078</t>
  </si>
  <si>
    <t>B区 B089</t>
  </si>
  <si>
    <t>D区 D097</t>
  </si>
  <si>
    <t>D区 D101</t>
  </si>
  <si>
    <t>F区 F051</t>
  </si>
  <si>
    <t>G区 G004</t>
  </si>
  <si>
    <t>G区 G005</t>
  </si>
  <si>
    <t>G区 G006</t>
  </si>
  <si>
    <t>G区 G007</t>
  </si>
  <si>
    <t>G区 G093</t>
  </si>
  <si>
    <t>G区 G094</t>
  </si>
  <si>
    <t>G区 G095</t>
  </si>
  <si>
    <t>H区 H027</t>
  </si>
  <si>
    <t>H区 H032</t>
  </si>
  <si>
    <t>K区 K113</t>
  </si>
  <si>
    <t>K区 K114</t>
  </si>
  <si>
    <t>K区 K123</t>
  </si>
  <si>
    <t>K区 K124</t>
  </si>
  <si>
    <t>K区 K125</t>
  </si>
  <si>
    <t>K区 K126</t>
  </si>
  <si>
    <t>L区 L006</t>
  </si>
  <si>
    <t>L区 L090</t>
  </si>
  <si>
    <t>L区 L096</t>
  </si>
  <si>
    <t>L区 L098</t>
  </si>
  <si>
    <t>M区 M001</t>
  </si>
  <si>
    <t>M区 M002</t>
  </si>
  <si>
    <t>M区 M003</t>
  </si>
  <si>
    <t>M区 M004</t>
  </si>
  <si>
    <t>M区 M005</t>
  </si>
  <si>
    <t>M区 M006</t>
  </si>
  <si>
    <t>M区 M007</t>
  </si>
  <si>
    <t>M区 M008</t>
  </si>
  <si>
    <t>M区 M009</t>
  </si>
  <si>
    <t>M区 M010</t>
  </si>
  <si>
    <t>M区 M011</t>
  </si>
  <si>
    <t>M区 M012</t>
  </si>
  <si>
    <t>M区 M013</t>
  </si>
  <si>
    <t>M区 M014</t>
  </si>
  <si>
    <t>M区 M015</t>
  </si>
  <si>
    <t>M区 M016</t>
  </si>
  <si>
    <t>M区 M034</t>
  </si>
  <si>
    <t>M区 M035</t>
  </si>
  <si>
    <t>M区 M036</t>
  </si>
  <si>
    <t>M区 M037</t>
  </si>
  <si>
    <t>M区 M038</t>
  </si>
  <si>
    <t>M区 M040</t>
  </si>
  <si>
    <t>M区 M041</t>
  </si>
  <si>
    <t>M区 M043</t>
  </si>
  <si>
    <t>M区 M044</t>
  </si>
  <si>
    <t>M区 M050</t>
  </si>
  <si>
    <t>M区 M054</t>
  </si>
  <si>
    <t>M区 M058</t>
  </si>
  <si>
    <t>M区 M059</t>
  </si>
  <si>
    <t>M区 M071</t>
  </si>
  <si>
    <t>M区 M072</t>
  </si>
  <si>
    <t>M区 M073</t>
  </si>
  <si>
    <t>M区 M074</t>
  </si>
  <si>
    <t>M区 M075</t>
  </si>
  <si>
    <t>M区 M076</t>
  </si>
  <si>
    <t>M区 M077</t>
  </si>
  <si>
    <t>M区 M078</t>
  </si>
  <si>
    <t>M区 M079</t>
  </si>
  <si>
    <t>M区 M081</t>
  </si>
  <si>
    <t>M区 M082</t>
  </si>
  <si>
    <t>M区 M084</t>
  </si>
  <si>
    <t>M区 M085</t>
  </si>
  <si>
    <t>M区 M091</t>
  </si>
  <si>
    <t>M区 M094</t>
  </si>
  <si>
    <t>M区 M095</t>
  </si>
  <si>
    <t>M区 M097</t>
  </si>
  <si>
    <t>M区 M099</t>
  </si>
  <si>
    <t>M区 M100</t>
  </si>
  <si>
    <t>M区 M103</t>
  </si>
  <si>
    <t>M区 M109</t>
  </si>
  <si>
    <t>M区 M111</t>
  </si>
  <si>
    <t>M区 M112</t>
  </si>
  <si>
    <t>M区 M113</t>
  </si>
  <si>
    <t>M区 M114</t>
  </si>
  <si>
    <t>M区 M115</t>
  </si>
  <si>
    <t>M区 M116</t>
  </si>
  <si>
    <t>M区 M124</t>
  </si>
  <si>
    <t>M区 M125</t>
  </si>
  <si>
    <t>M区 M126</t>
  </si>
  <si>
    <t>M区 M131</t>
  </si>
  <si>
    <t>M区 M132</t>
  </si>
  <si>
    <t>M区 M133</t>
  </si>
  <si>
    <t>N区 N001</t>
  </si>
  <si>
    <t>N区 N003</t>
  </si>
  <si>
    <t>N区 N020</t>
  </si>
  <si>
    <t>N区 N023</t>
  </si>
  <si>
    <t>N区 N068</t>
  </si>
  <si>
    <t>N区 N074</t>
  </si>
  <si>
    <t>N区 N077</t>
  </si>
  <si>
    <t>N区 N078</t>
  </si>
  <si>
    <t>N区 N081</t>
  </si>
  <si>
    <t>N区 N091</t>
  </si>
  <si>
    <t>N区 N092</t>
  </si>
  <si>
    <t>P区 P002</t>
  </si>
  <si>
    <t>P区 P003</t>
  </si>
  <si>
    <t>P区 P004</t>
  </si>
  <si>
    <t>P区 P031</t>
  </si>
  <si>
    <t>P区 P033</t>
  </si>
  <si>
    <t>P区 P034</t>
  </si>
  <si>
    <t>P区 P044</t>
  </si>
  <si>
    <t>P区 P045</t>
  </si>
  <si>
    <t>P区 P046</t>
  </si>
  <si>
    <t>P区 P051</t>
  </si>
  <si>
    <t>P区 P061</t>
  </si>
  <si>
    <t>P区 P062</t>
  </si>
  <si>
    <t>P区 P063</t>
  </si>
  <si>
    <t>P区 P066</t>
  </si>
  <si>
    <t>P区 P069</t>
  </si>
  <si>
    <t>P区 P074</t>
  </si>
  <si>
    <t>P区 P075</t>
  </si>
  <si>
    <t>P区 P076</t>
  </si>
  <si>
    <t>P区 P077</t>
  </si>
  <si>
    <t>P区 P078</t>
  </si>
  <si>
    <t>P区 P079</t>
  </si>
  <si>
    <t>P区 P080</t>
  </si>
  <si>
    <t>P区 P081</t>
  </si>
  <si>
    <t>P区 P082</t>
  </si>
  <si>
    <t>P区 P083</t>
  </si>
  <si>
    <t>P区 P084</t>
  </si>
  <si>
    <t>P区 P086</t>
  </si>
  <si>
    <t>P区 P087</t>
  </si>
  <si>
    <t>P区 P089</t>
  </si>
  <si>
    <t>P区 P090</t>
  </si>
  <si>
    <t>P区 P091</t>
  </si>
  <si>
    <t>P区 P093</t>
  </si>
  <si>
    <t>P区 P094</t>
  </si>
  <si>
    <t>P区 P096</t>
  </si>
  <si>
    <t>P区 P099</t>
  </si>
  <si>
    <t>P区 P103</t>
  </si>
  <si>
    <t>P区 P104</t>
  </si>
  <si>
    <t>P区 P105</t>
  </si>
  <si>
    <t>P区 P108</t>
  </si>
  <si>
    <t>P区 P109</t>
  </si>
  <si>
    <t>P区 P110</t>
  </si>
  <si>
    <t>P区 P111</t>
  </si>
  <si>
    <t>P区 P112</t>
  </si>
  <si>
    <t>P区 P113</t>
  </si>
  <si>
    <t>P区 P114</t>
  </si>
  <si>
    <t>P区 P115</t>
  </si>
  <si>
    <t>P区 P116</t>
  </si>
  <si>
    <t>P区 P117</t>
  </si>
  <si>
    <t>P区 P118</t>
  </si>
  <si>
    <t>P区 P119</t>
  </si>
  <si>
    <t>P区 P120</t>
  </si>
  <si>
    <t>P区 P121</t>
  </si>
  <si>
    <t>Q区 Q001</t>
  </si>
  <si>
    <t>Q区 Q002</t>
  </si>
  <si>
    <t>Q区 Q003</t>
  </si>
  <si>
    <t>Q区 Q024</t>
  </si>
  <si>
    <t>Q区 Q026</t>
  </si>
  <si>
    <t>Q区 Q035</t>
  </si>
  <si>
    <t>Q区 Q041</t>
  </si>
  <si>
    <t>Q区 Q042</t>
  </si>
  <si>
    <t>Q区 Q044</t>
  </si>
  <si>
    <t>Q区 Q046</t>
  </si>
  <si>
    <t>Q区 Q054</t>
  </si>
  <si>
    <t>Q区 Q060</t>
  </si>
  <si>
    <t>Q区 Q062</t>
  </si>
  <si>
    <t>Q区 Q069</t>
  </si>
  <si>
    <t>Q区 Q070</t>
  </si>
  <si>
    <t>Q区 Q077</t>
  </si>
  <si>
    <t>Q区 Q080</t>
  </si>
  <si>
    <t>Q区 Q081</t>
  </si>
  <si>
    <t>Q区 Q089</t>
  </si>
  <si>
    <t>Q区 Q090</t>
  </si>
  <si>
    <t>Q区 Q092</t>
  </si>
  <si>
    <t>Q区 Q093</t>
  </si>
  <si>
    <t>Q区 Q094</t>
  </si>
  <si>
    <t>Q区 Q095</t>
  </si>
  <si>
    <t>Q区 Q096</t>
  </si>
  <si>
    <t>Q区 Q91</t>
  </si>
  <si>
    <t>R区 R013</t>
  </si>
  <si>
    <t>R区 R014</t>
  </si>
  <si>
    <t>R区 R016</t>
  </si>
  <si>
    <t>R区 R017</t>
  </si>
  <si>
    <t>R区 R037</t>
  </si>
  <si>
    <t>R区 R040</t>
  </si>
  <si>
    <t>R区 R041</t>
  </si>
  <si>
    <t>R区 R042</t>
  </si>
  <si>
    <t>R区 R052</t>
  </si>
  <si>
    <t>R区 R053</t>
  </si>
  <si>
    <t>R区 R054</t>
  </si>
  <si>
    <t>R区 R055</t>
  </si>
  <si>
    <t>R区 R056</t>
  </si>
  <si>
    <t>R区 R057</t>
  </si>
  <si>
    <t>R区 R067</t>
  </si>
  <si>
    <t>R区 R068</t>
  </si>
  <si>
    <t>R区 R069</t>
  </si>
  <si>
    <t>R区 R094</t>
  </si>
  <si>
    <t>R区 R095</t>
  </si>
  <si>
    <t>R区 R096</t>
  </si>
  <si>
    <t>R区 R097</t>
  </si>
  <si>
    <t>R区 R098</t>
  </si>
  <si>
    <t>R区 R099</t>
  </si>
  <si>
    <t>R区 R100</t>
  </si>
  <si>
    <t>R区 R101</t>
  </si>
  <si>
    <t>R区 R102</t>
  </si>
  <si>
    <t>R区 R103</t>
  </si>
  <si>
    <t>R区 R104</t>
  </si>
  <si>
    <t>R区 R105</t>
  </si>
  <si>
    <t>S区 S002</t>
  </si>
  <si>
    <t>S区 S003</t>
  </si>
  <si>
    <t>S区 S004</t>
  </si>
  <si>
    <t>S区 S005</t>
  </si>
  <si>
    <t>S区 S007</t>
  </si>
  <si>
    <t>S区 S008</t>
  </si>
  <si>
    <t>S区 S012</t>
  </si>
  <si>
    <t>S区 S013</t>
  </si>
  <si>
    <t>S区 S038</t>
  </si>
  <si>
    <t>S区 S041</t>
  </si>
  <si>
    <t>S区 S042</t>
  </si>
  <si>
    <t>S区 S043</t>
  </si>
  <si>
    <t>S区 S044</t>
  </si>
  <si>
    <t>S区 S045</t>
  </si>
  <si>
    <t>S区 S046</t>
  </si>
  <si>
    <t>S区 S048</t>
  </si>
  <si>
    <t>S区 S049</t>
  </si>
  <si>
    <t>S区 S075</t>
  </si>
  <si>
    <t>S区 S081</t>
  </si>
  <si>
    <t>S区 S083</t>
  </si>
  <si>
    <t>S区 S084</t>
  </si>
  <si>
    <t>S区 S086</t>
  </si>
  <si>
    <t>S区 S087</t>
  </si>
  <si>
    <t>S区 S091</t>
  </si>
  <si>
    <t>S区 S094</t>
  </si>
  <si>
    <t>S区 S095</t>
  </si>
  <si>
    <t>S区 S096</t>
  </si>
  <si>
    <t>S区 S099</t>
  </si>
  <si>
    <t>S区 S100</t>
  </si>
  <si>
    <t>S区 S101</t>
  </si>
  <si>
    <t>S区 S102</t>
  </si>
  <si>
    <t>S区 S103</t>
  </si>
  <si>
    <t>S区 S105</t>
  </si>
  <si>
    <t>S区 S113</t>
  </si>
  <si>
    <t>S区 S114</t>
  </si>
  <si>
    <t>S区 S115</t>
  </si>
  <si>
    <t>S区 S116</t>
  </si>
  <si>
    <t>S区 S117</t>
  </si>
  <si>
    <t>S区 S118</t>
  </si>
  <si>
    <t>S区 S123</t>
  </si>
  <si>
    <t>S区 S124</t>
  </si>
  <si>
    <t>S区 S129</t>
  </si>
  <si>
    <t>S区 S130</t>
  </si>
  <si>
    <t>S区 S131</t>
  </si>
  <si>
    <t>S区 S132</t>
  </si>
  <si>
    <t>S区 S134</t>
  </si>
  <si>
    <t>S区 S135</t>
  </si>
  <si>
    <t>S区 S138</t>
  </si>
  <si>
    <t>S区 S140</t>
  </si>
  <si>
    <t>T区 T002</t>
  </si>
  <si>
    <t>T区 T004</t>
  </si>
  <si>
    <t>T区 T008</t>
  </si>
  <si>
    <t>T区 T018</t>
  </si>
  <si>
    <t>T区 T019</t>
  </si>
  <si>
    <t>T区 T021</t>
  </si>
  <si>
    <t>T区 T022</t>
  </si>
  <si>
    <t>T区 T023</t>
  </si>
  <si>
    <t>T区 T024</t>
  </si>
  <si>
    <t>T区 T025</t>
  </si>
  <si>
    <t>T区 T026</t>
  </si>
  <si>
    <t>T区 T027</t>
  </si>
  <si>
    <t>T区 T028</t>
  </si>
  <si>
    <t>T区 T029</t>
  </si>
  <si>
    <t>T区 T033</t>
  </si>
  <si>
    <t>T区 T040</t>
  </si>
  <si>
    <t>T区 T044</t>
  </si>
  <si>
    <t>T区 T061</t>
  </si>
  <si>
    <t>T区 T062</t>
  </si>
  <si>
    <t>T区 T066</t>
  </si>
  <si>
    <t>T区 T085</t>
  </si>
  <si>
    <t>U区 U003</t>
  </si>
  <si>
    <t>U区 U008</t>
  </si>
  <si>
    <t>U区 U044</t>
  </si>
  <si>
    <t>U区 U045</t>
  </si>
  <si>
    <t>U区 U046</t>
  </si>
  <si>
    <t>U区 U087</t>
  </si>
  <si>
    <t>U区 U092</t>
  </si>
  <si>
    <t>U区 U094</t>
  </si>
  <si>
    <t>U区 U095</t>
  </si>
  <si>
    <t>U区 U097</t>
  </si>
  <si>
    <t>V区 V001</t>
  </si>
  <si>
    <t>V区 V068</t>
  </si>
  <si>
    <t>V区 V070</t>
  </si>
  <si>
    <t>V区 V071</t>
  </si>
  <si>
    <t>V区 V072</t>
  </si>
  <si>
    <t>V区 V073</t>
  </si>
  <si>
    <t>V区 V074</t>
  </si>
  <si>
    <t>A1区 001</t>
  </si>
  <si>
    <t>A1区 002</t>
  </si>
  <si>
    <t>A1区 003</t>
  </si>
  <si>
    <t>A1区 004</t>
  </si>
  <si>
    <t>A1区 006</t>
  </si>
  <si>
    <t>A1区 007</t>
  </si>
  <si>
    <t>A1区 009</t>
  </si>
  <si>
    <t>A1区 010</t>
  </si>
  <si>
    <t>A1区 011</t>
  </si>
  <si>
    <t>A1区 012</t>
  </si>
  <si>
    <t>A1区 014</t>
  </si>
  <si>
    <t>A1区 015</t>
  </si>
  <si>
    <t>A1区 030</t>
  </si>
  <si>
    <t>A1区 031</t>
  </si>
  <si>
    <t>A1区 032</t>
  </si>
  <si>
    <t>A1区 046</t>
  </si>
  <si>
    <t>A1区 064</t>
  </si>
  <si>
    <t>A1区 087</t>
  </si>
  <si>
    <t>A1区 088</t>
  </si>
  <si>
    <t>A1区 089</t>
  </si>
  <si>
    <t>B1区 001</t>
  </si>
  <si>
    <t>B1区 002</t>
  </si>
  <si>
    <t>B1区 003</t>
  </si>
  <si>
    <t>B1区 004</t>
  </si>
  <si>
    <t>B1区 005</t>
  </si>
  <si>
    <t>B1区 006</t>
  </si>
  <si>
    <t>B1区 007</t>
  </si>
  <si>
    <t>B1区 008</t>
  </si>
  <si>
    <t>B1区 009</t>
  </si>
  <si>
    <t>B1区 010</t>
  </si>
  <si>
    <t>B1区 011</t>
  </si>
  <si>
    <t>B1区 013</t>
  </si>
  <si>
    <t>B1区 016</t>
  </si>
  <si>
    <t>B1区 017</t>
  </si>
  <si>
    <t>B1区 018</t>
  </si>
  <si>
    <t>B1区 019</t>
  </si>
  <si>
    <t>B1区 021</t>
  </si>
  <si>
    <t>B1区 022</t>
  </si>
  <si>
    <t>B1区 023</t>
  </si>
  <si>
    <t>B1区 024</t>
  </si>
  <si>
    <t>B1区 025</t>
  </si>
  <si>
    <t>B1区 026</t>
  </si>
  <si>
    <t>B1区 032</t>
  </si>
  <si>
    <t>B1区 033</t>
  </si>
  <si>
    <t>B1区 034</t>
  </si>
  <si>
    <t>B1区 035</t>
  </si>
  <si>
    <t>B1区 036</t>
  </si>
  <si>
    <t>B1区 037</t>
  </si>
  <si>
    <t>B1区 039</t>
  </si>
  <si>
    <t>B1区 040</t>
  </si>
  <si>
    <t>B1区 062</t>
  </si>
  <si>
    <t>B1区 063</t>
  </si>
  <si>
    <t>B1区 065</t>
  </si>
  <si>
    <t>B1区 066</t>
  </si>
  <si>
    <t>B1区 069</t>
  </si>
  <si>
    <t>B1区 083</t>
  </si>
  <si>
    <t>B1区 087</t>
  </si>
  <si>
    <t>B1区 088</t>
  </si>
  <si>
    <t>B1区 089</t>
  </si>
  <si>
    <t>B1区 090</t>
  </si>
  <si>
    <t>B1区 108</t>
  </si>
  <si>
    <t>B1区 109</t>
  </si>
  <si>
    <t>B1区 110</t>
  </si>
  <si>
    <t>B1区 111</t>
  </si>
  <si>
    <t>B1区 113</t>
  </si>
  <si>
    <t>C1区 001</t>
  </si>
  <si>
    <t>C1区 002</t>
  </si>
  <si>
    <t>C1区 003</t>
  </si>
  <si>
    <t>C1区 004</t>
  </si>
  <si>
    <t>C1区 005</t>
  </si>
  <si>
    <t>C1区 006</t>
  </si>
  <si>
    <t>C1区 007</t>
  </si>
  <si>
    <t>C1区 008</t>
  </si>
  <si>
    <t>C1区 009</t>
  </si>
  <si>
    <t>C1区 023</t>
  </si>
  <si>
    <t>C1区 026</t>
  </si>
  <si>
    <t>C1区 027</t>
  </si>
  <si>
    <t>C1区 028</t>
  </si>
  <si>
    <t>C1区 029</t>
  </si>
  <si>
    <t>C1区 031</t>
  </si>
  <si>
    <t>C1区 038</t>
  </si>
  <si>
    <t>C1区 047</t>
  </si>
  <si>
    <t>C1区 055</t>
  </si>
  <si>
    <t>C1区 056</t>
  </si>
  <si>
    <t>C1区 057</t>
  </si>
  <si>
    <t>C1区 058</t>
  </si>
  <si>
    <t>C1区 059</t>
  </si>
  <si>
    <t>C1区 060</t>
  </si>
  <si>
    <t>C1区 062</t>
  </si>
  <si>
    <t>C1区 065</t>
  </si>
  <si>
    <t>C1区 068</t>
  </si>
  <si>
    <t>C1区 071</t>
  </si>
  <si>
    <t>C1区 072</t>
  </si>
  <si>
    <t>C1区 073</t>
  </si>
  <si>
    <t>C1区 074</t>
  </si>
  <si>
    <t>C1区 075</t>
  </si>
  <si>
    <t>C1区 076</t>
  </si>
  <si>
    <t>C1区 077</t>
  </si>
  <si>
    <t>C1区 078</t>
  </si>
  <si>
    <t>C1区 079</t>
  </si>
  <si>
    <t>C1区 080</t>
  </si>
  <si>
    <t>C1区 081</t>
  </si>
  <si>
    <t>C1区 082</t>
  </si>
  <si>
    <t>C1区 083</t>
  </si>
  <si>
    <t>C1区 084</t>
  </si>
  <si>
    <t>C1区 085</t>
  </si>
  <si>
    <t>C1区 086</t>
  </si>
  <si>
    <t>C1区（四） 010</t>
  </si>
  <si>
    <t>C1区（四） 011</t>
  </si>
  <si>
    <t>C1区（四） 012</t>
  </si>
  <si>
    <t>C1区（四） 013</t>
  </si>
  <si>
    <t>C1区（四） 014</t>
  </si>
  <si>
    <t>C1区（四） 015</t>
  </si>
  <si>
    <t>C1区（四） 016</t>
  </si>
  <si>
    <t>C1区（四） 017</t>
  </si>
  <si>
    <t>C1区（四） 019</t>
  </si>
  <si>
    <t>C1区（四） 020</t>
  </si>
  <si>
    <t>C1区（四） 021</t>
  </si>
  <si>
    <t>C1区（四） 040</t>
  </si>
  <si>
    <t>C1区（四） 041</t>
  </si>
  <si>
    <t>C1区（四） 042</t>
  </si>
  <si>
    <t>C1区（四） 043</t>
  </si>
  <si>
    <t>C1区（四） 044</t>
  </si>
  <si>
    <t>C1区（四） 045</t>
  </si>
  <si>
    <t>D1区 001</t>
  </si>
  <si>
    <t>D1区 005</t>
  </si>
  <si>
    <t>D1区 006</t>
  </si>
  <si>
    <t>D1区 007</t>
  </si>
  <si>
    <t>D1区 008</t>
  </si>
  <si>
    <t>D1区 009</t>
  </si>
  <si>
    <t>D1区 010</t>
  </si>
  <si>
    <t>D1区 013</t>
  </si>
  <si>
    <t>D1区 016</t>
  </si>
  <si>
    <t>D1区 023</t>
  </si>
  <si>
    <t>D1区 025</t>
  </si>
  <si>
    <t>D1区 026</t>
  </si>
  <si>
    <t>D1区 027</t>
  </si>
  <si>
    <t>D1区 028</t>
  </si>
  <si>
    <t>D1区 029</t>
  </si>
  <si>
    <t>D1区 030</t>
  </si>
  <si>
    <t>D1区 031</t>
  </si>
  <si>
    <t>D1区 032</t>
  </si>
  <si>
    <t>D1区 033</t>
  </si>
  <si>
    <t>D1区 037</t>
  </si>
  <si>
    <t>D1区 040</t>
  </si>
  <si>
    <t>D1区 041</t>
  </si>
  <si>
    <t>D1区 043</t>
  </si>
  <si>
    <t>D1区 044</t>
  </si>
  <si>
    <t>D1区 048</t>
  </si>
  <si>
    <t>D1区 050</t>
  </si>
  <si>
    <t>D1区 058</t>
  </si>
  <si>
    <t>D1区 060</t>
  </si>
  <si>
    <t>D1区 061</t>
  </si>
  <si>
    <t>D1区 069</t>
  </si>
  <si>
    <t>D1区 070</t>
  </si>
  <si>
    <t>D1区 071</t>
  </si>
  <si>
    <t>D1区 072</t>
  </si>
  <si>
    <t>D1区 073</t>
  </si>
  <si>
    <t>D1区 074</t>
  </si>
  <si>
    <t>D1区 075</t>
  </si>
  <si>
    <t>D1区 076</t>
  </si>
  <si>
    <t>D1区 077</t>
  </si>
  <si>
    <t>D1区 079</t>
  </si>
  <si>
    <t>D1区 087</t>
  </si>
  <si>
    <t>D1区 088</t>
  </si>
  <si>
    <t>D1区 089</t>
  </si>
  <si>
    <t>D1区 094</t>
  </si>
  <si>
    <t>D1区 096</t>
  </si>
  <si>
    <t>D1区 097</t>
  </si>
  <si>
    <t>D1区 102</t>
  </si>
  <si>
    <t>D1区 103</t>
  </si>
  <si>
    <t>D1区 104</t>
  </si>
  <si>
    <t>D1区 105</t>
  </si>
  <si>
    <t>D1区 106</t>
  </si>
  <si>
    <t>D1区 107</t>
  </si>
  <si>
    <t>D1区 109</t>
  </si>
  <si>
    <t>D1区 112</t>
  </si>
  <si>
    <t>D1区 113</t>
  </si>
  <si>
    <t>D1区 114</t>
  </si>
  <si>
    <t>E1区 002</t>
  </si>
  <si>
    <t>E1区 004</t>
  </si>
  <si>
    <t>E1区 005</t>
  </si>
  <si>
    <t>E1区 007</t>
  </si>
  <si>
    <t>E1区 009</t>
  </si>
  <si>
    <t>E1区 010</t>
  </si>
  <si>
    <t>E1区 014</t>
  </si>
  <si>
    <t>E1区 015</t>
  </si>
  <si>
    <t>E1区 016</t>
  </si>
  <si>
    <t>E1区 017</t>
  </si>
  <si>
    <t>E1区 018</t>
  </si>
  <si>
    <t>E1区 019</t>
  </si>
  <si>
    <t>E1区 020</t>
  </si>
  <si>
    <t>E1区 021</t>
  </si>
  <si>
    <t>E1区 022</t>
  </si>
  <si>
    <t>E1区 023</t>
  </si>
  <si>
    <t>E1区 024</t>
  </si>
  <si>
    <t>E1区 040</t>
  </si>
  <si>
    <t>E1区 041</t>
  </si>
  <si>
    <t>E1区 044</t>
  </si>
  <si>
    <t>E1区 081</t>
  </si>
  <si>
    <t>E1区 082</t>
  </si>
  <si>
    <t>F1区 062</t>
  </si>
  <si>
    <t>F1区 063</t>
  </si>
  <si>
    <t>F1区 064</t>
  </si>
  <si>
    <t>F1区 065</t>
  </si>
  <si>
    <t>F1区 066</t>
  </si>
  <si>
    <t>F1区 067</t>
  </si>
  <si>
    <t>F1区 068</t>
  </si>
  <si>
    <t>F1区 079</t>
  </si>
  <si>
    <t>F1区 080</t>
  </si>
  <si>
    <t>F1区 082</t>
  </si>
  <si>
    <t>F1区 083</t>
  </si>
  <si>
    <t>F1区 084</t>
  </si>
  <si>
    <t>F1区 085</t>
  </si>
  <si>
    <t>F1区 086</t>
  </si>
  <si>
    <t>F1区 089</t>
  </si>
  <si>
    <t>F1区 090</t>
  </si>
  <si>
    <t>F1区 091</t>
  </si>
  <si>
    <t>F1区 092</t>
  </si>
  <si>
    <t>F1区 093</t>
  </si>
  <si>
    <t>F1区 094</t>
  </si>
  <si>
    <t>F1区 095</t>
  </si>
  <si>
    <t>F1区 096</t>
  </si>
  <si>
    <t>F1区 097</t>
  </si>
  <si>
    <t>F1区 098</t>
  </si>
  <si>
    <t>F1区 099</t>
  </si>
  <si>
    <t>F1区 100</t>
  </si>
  <si>
    <t>F1区 101</t>
  </si>
  <si>
    <t>F1区 102</t>
  </si>
  <si>
    <t>F1区 103</t>
  </si>
  <si>
    <t>F1区 104</t>
  </si>
  <si>
    <t>F1区 105</t>
  </si>
  <si>
    <t>F1区 107</t>
  </si>
  <si>
    <t>F1区 110</t>
  </si>
  <si>
    <t>F1区 111</t>
  </si>
  <si>
    <t>F1区 112</t>
  </si>
  <si>
    <t>F1区 113</t>
  </si>
  <si>
    <t>F1区 114</t>
  </si>
  <si>
    <t>F1区 116</t>
  </si>
  <si>
    <t>F1区 117</t>
  </si>
  <si>
    <t>F1区（四） 008</t>
  </si>
  <si>
    <t>F1区（四） 009</t>
  </si>
  <si>
    <t>F1区（四） 010</t>
  </si>
  <si>
    <t>F1区（四） 011</t>
  </si>
  <si>
    <t>F1区（四） 012</t>
  </si>
  <si>
    <t>F1区（四） 013</t>
  </si>
  <si>
    <t>F1区（四） 014</t>
  </si>
  <si>
    <t>F1区（四） 015</t>
  </si>
  <si>
    <t>F1区（四） 016</t>
  </si>
  <si>
    <t>F1区（四） 017</t>
  </si>
  <si>
    <t>F1区（四） 018</t>
  </si>
  <si>
    <t>F1区（四） 019</t>
  </si>
  <si>
    <t>F1区（四） 022</t>
  </si>
  <si>
    <t>F1区（四） 024</t>
  </si>
  <si>
    <t>F1区（四） 025</t>
  </si>
  <si>
    <t>F1区（四） 027</t>
  </si>
  <si>
    <t>F1区（四） 028</t>
  </si>
  <si>
    <t>F1区（四） 029</t>
  </si>
  <si>
    <t>F1区（四） 032</t>
  </si>
  <si>
    <t>F1区（四） 033</t>
  </si>
  <si>
    <t>F1区（四） 034</t>
  </si>
  <si>
    <t>F1区（四） 035</t>
  </si>
  <si>
    <t>F1区（四） 036</t>
  </si>
  <si>
    <t>F1区（四） 041</t>
  </si>
  <si>
    <t>F1区（四） 042</t>
  </si>
  <si>
    <t>F1区（四） 046</t>
  </si>
  <si>
    <t>G1区（四） 001</t>
  </si>
  <si>
    <t>G1区（四） 002</t>
  </si>
  <si>
    <t>G1区（四） 003</t>
  </si>
  <si>
    <t>G1区（四） 004</t>
  </si>
  <si>
    <t>G1区（四） 005</t>
  </si>
  <si>
    <t>G1区（四） 006</t>
  </si>
  <si>
    <t>G1区（四） 007</t>
  </si>
  <si>
    <t>G1区（四） 008</t>
  </si>
  <si>
    <t>G1区（四） 009</t>
  </si>
  <si>
    <t>G1区（四） 010</t>
  </si>
  <si>
    <t>G1区（四） 011</t>
  </si>
  <si>
    <t>G1区（四） 012</t>
  </si>
  <si>
    <t>G1区（四） 013</t>
  </si>
  <si>
    <t>G1区（四） 014</t>
  </si>
  <si>
    <t>G1区（四） 017</t>
  </si>
  <si>
    <t>G1区（四） 018</t>
  </si>
  <si>
    <t>G1区（四） 019</t>
  </si>
  <si>
    <t>G1区（四） 023</t>
  </si>
  <si>
    <t>G1区（四） 024</t>
  </si>
  <si>
    <t>G1区（四） 025</t>
  </si>
  <si>
    <t>G1区（四） 026</t>
  </si>
  <si>
    <t>G1区（四） 027</t>
  </si>
  <si>
    <t>G1区（四） 028</t>
  </si>
  <si>
    <t>G1区（四） 029</t>
  </si>
  <si>
    <t>G1区（四） 030</t>
  </si>
  <si>
    <t>G1区（四） 031</t>
  </si>
  <si>
    <t>G1区（四） 032</t>
  </si>
  <si>
    <t>G1区（四） 036</t>
  </si>
  <si>
    <t>G1区（四） 038</t>
  </si>
  <si>
    <t>G1区（四） 040</t>
  </si>
  <si>
    <t>G1区（四） 041</t>
  </si>
  <si>
    <t>G1区（四） 044</t>
  </si>
  <si>
    <t>G1区（四） 047</t>
  </si>
  <si>
    <t>G1区（四） 052</t>
  </si>
  <si>
    <t>G1区（四） 053</t>
  </si>
  <si>
    <t>G1区（四） 054</t>
  </si>
  <si>
    <t>G1区（四） 055</t>
  </si>
  <si>
    <t>G1区（四） 056</t>
  </si>
  <si>
    <t>G1区（四） 057</t>
  </si>
  <si>
    <t>G1区（四） 058</t>
  </si>
  <si>
    <t>G1区（四） 059</t>
  </si>
  <si>
    <t>G1区（四） 060</t>
  </si>
  <si>
    <t>G1区（四） 061</t>
  </si>
  <si>
    <t>G1区（四） 063</t>
  </si>
  <si>
    <t>G1区（四） 064</t>
  </si>
  <si>
    <t>G1区（四） 065</t>
  </si>
  <si>
    <t>G1区（四） 067</t>
  </si>
  <si>
    <t>G1区（四） 072</t>
  </si>
  <si>
    <t>G1区（四） 073</t>
  </si>
  <si>
    <t>G1区（四） 074</t>
  </si>
  <si>
    <t>G1区（四） 075</t>
  </si>
  <si>
    <t>G1区（四） 076</t>
  </si>
  <si>
    <t>G1区（四） 077</t>
  </si>
  <si>
    <t>G1区（四） 078</t>
  </si>
  <si>
    <t>G1区（四） 079</t>
  </si>
  <si>
    <t>G1区（四） 080</t>
  </si>
  <si>
    <t>G1区（四） 081</t>
  </si>
  <si>
    <t>G1区（四） 082</t>
  </si>
  <si>
    <t>G1区（四） 083</t>
  </si>
  <si>
    <t>G1区（四） 084</t>
  </si>
  <si>
    <t>G1区（四） 089</t>
  </si>
  <si>
    <t>G1区（四） 090</t>
  </si>
  <si>
    <t>G1区（四） 091</t>
  </si>
  <si>
    <t>G1区（四） 092</t>
  </si>
  <si>
    <t>G1区（四） 093</t>
  </si>
  <si>
    <t>G1区（四） 094</t>
  </si>
  <si>
    <t>G1区（四） 095</t>
  </si>
  <si>
    <t>G1区（四） 096</t>
  </si>
  <si>
    <t>G1区（四） 097</t>
  </si>
  <si>
    <t>H1区（四） 022</t>
  </si>
  <si>
    <t>H1区（四） 023</t>
  </si>
  <si>
    <t>H1区（四） 024</t>
  </si>
  <si>
    <t>H1区（四） 025</t>
  </si>
  <si>
    <t>H1区（四） 026</t>
  </si>
  <si>
    <t>H1区（四） 029</t>
  </si>
  <si>
    <t>H1区（四） 031</t>
  </si>
  <si>
    <t>H1区（四） 032</t>
  </si>
  <si>
    <t>H1区（四） 034</t>
  </si>
  <si>
    <t>H1区（四） 035</t>
  </si>
  <si>
    <t>H1区（四） 037</t>
  </si>
  <si>
    <t>H1区（四） 038</t>
  </si>
  <si>
    <t>H1区（四） 039</t>
  </si>
  <si>
    <t>H1区（四） 040</t>
  </si>
  <si>
    <t>H1区（四） 043</t>
  </si>
  <si>
    <t>H1区（四） 044</t>
  </si>
  <si>
    <t>H1区（四） 045</t>
  </si>
  <si>
    <t>H1区（四） 046</t>
  </si>
  <si>
    <t>H1区（四） 047</t>
  </si>
  <si>
    <t>J1区 001</t>
  </si>
  <si>
    <t>J1区 002</t>
  </si>
  <si>
    <t>J1区 003</t>
  </si>
  <si>
    <t>J1区 004</t>
  </si>
  <si>
    <t>J1区 005</t>
  </si>
  <si>
    <t>J1区 006</t>
  </si>
  <si>
    <t>J1区（四） 007</t>
  </si>
  <si>
    <t>J1区（四） 008</t>
  </si>
  <si>
    <t>J1区（四） 009</t>
  </si>
  <si>
    <t>J1区（四） 010</t>
  </si>
  <si>
    <t>J1区（四） 011</t>
  </si>
  <si>
    <t>J1区（四） 012</t>
  </si>
  <si>
    <t>J1区（四） 013</t>
  </si>
  <si>
    <t>J1区（四） 014</t>
  </si>
  <si>
    <t>J1区（四） 015</t>
  </si>
  <si>
    <t>J1区（四） 016</t>
  </si>
  <si>
    <t>J1区（四） 017</t>
  </si>
  <si>
    <t>J1区（四） 018</t>
  </si>
  <si>
    <t>J1区（四） 019</t>
  </si>
  <si>
    <t>J1区（四） 020</t>
  </si>
  <si>
    <t>J1区（四） 021</t>
  </si>
  <si>
    <t>J1区（四） 022</t>
  </si>
  <si>
    <t>J1区（四） 023</t>
  </si>
  <si>
    <t>J1区（四） 025</t>
  </si>
  <si>
    <t>J1区（四） 026</t>
  </si>
  <si>
    <t>J1区（四） 027</t>
  </si>
  <si>
    <t>J1区（四） 028</t>
  </si>
  <si>
    <t>J1区（四） 029</t>
  </si>
  <si>
    <t>J1区（四） 030</t>
  </si>
  <si>
    <t>J1区（四） 031</t>
  </si>
  <si>
    <t>J1区（四） 032</t>
  </si>
  <si>
    <t>J1区（四） 033</t>
  </si>
  <si>
    <t>J1区（四） 034</t>
  </si>
  <si>
    <t>J1区（四） 035</t>
  </si>
  <si>
    <t>J1区（四） 036</t>
  </si>
  <si>
    <t>J1区（四） 037</t>
  </si>
  <si>
    <t>J1区（四） 038</t>
  </si>
  <si>
    <t>J1区（四） 039</t>
  </si>
  <si>
    <t>J1区（四） 041</t>
  </si>
  <si>
    <t>J1区（四） 042</t>
  </si>
  <si>
    <t>J1区（四） 043</t>
  </si>
  <si>
    <t>J1区（四） 046</t>
  </si>
  <si>
    <t>J1区（四） 047</t>
  </si>
  <si>
    <t>J1区（四） 048</t>
  </si>
  <si>
    <t>J1区（四） 059</t>
  </si>
  <si>
    <t>J1区（四） 060</t>
  </si>
  <si>
    <t>J1区（四） 061</t>
  </si>
  <si>
    <t>J1区（四） 063</t>
  </si>
  <si>
    <t>J1区（四） 064</t>
  </si>
  <si>
    <t>J1区（四） 065</t>
  </si>
  <si>
    <t>J1区（四） 067</t>
  </si>
  <si>
    <t>J1区（四） 073</t>
  </si>
  <si>
    <t>J1区（四） 074</t>
  </si>
  <si>
    <t>J1区（四） 077</t>
  </si>
  <si>
    <t>J1区（四） 079</t>
  </si>
  <si>
    <t>J1区（四） 080</t>
  </si>
  <si>
    <t>J1区（四） 082</t>
  </si>
  <si>
    <t>J1区（四） 083</t>
  </si>
  <si>
    <t>J1区（四） 084</t>
  </si>
  <si>
    <t>J1区（四） 085</t>
  </si>
  <si>
    <t>J1区（四） 086</t>
  </si>
  <si>
    <t>J1区（四） 089</t>
  </si>
  <si>
    <t>J1区（四） 092</t>
  </si>
  <si>
    <t>J1区（四） 093</t>
  </si>
  <si>
    <t>J1区（四） 094</t>
  </si>
  <si>
    <t>J1区（四） 096</t>
  </si>
  <si>
    <t>K1区 033</t>
  </si>
  <si>
    <t>K1区 034</t>
  </si>
  <si>
    <t>K1区 035</t>
  </si>
  <si>
    <t>K1区 036</t>
  </si>
  <si>
    <t>K1区 037</t>
  </si>
  <si>
    <t>K1区 038</t>
  </si>
  <si>
    <t>K1区 039</t>
  </si>
  <si>
    <t>K1区 040</t>
  </si>
  <si>
    <t>K1区 041</t>
  </si>
  <si>
    <t>K1区 042</t>
  </si>
  <si>
    <t>K1区 043</t>
  </si>
  <si>
    <t>K1区 044</t>
  </si>
  <si>
    <t>K1区 045</t>
  </si>
  <si>
    <t>K1区 046</t>
  </si>
  <si>
    <t>K1区 047</t>
  </si>
  <si>
    <t>K1区 048</t>
  </si>
  <si>
    <t>K1区 049</t>
  </si>
  <si>
    <t>K1区 050</t>
  </si>
  <si>
    <t>K1区 052</t>
  </si>
  <si>
    <t>K1区 053</t>
  </si>
  <si>
    <t>K1区 054</t>
  </si>
  <si>
    <t>K1区 055</t>
  </si>
  <si>
    <t>K1区（四） 001</t>
  </si>
  <si>
    <t>K1区（四） 002</t>
  </si>
  <si>
    <t>K1区（四） 003</t>
  </si>
  <si>
    <t>K1区（四） 005</t>
  </si>
  <si>
    <t>K1区（四） 008</t>
  </si>
  <si>
    <t>K1区（四） 011</t>
  </si>
  <si>
    <t>K1区（四） 012</t>
  </si>
  <si>
    <t>K1区（四） 013</t>
  </si>
  <si>
    <t>K1区（四） 016</t>
  </si>
  <si>
    <t>K1区（四） 017</t>
  </si>
  <si>
    <t>K1区（四） 019</t>
  </si>
  <si>
    <t>K1区（四） 020</t>
  </si>
  <si>
    <t>K1区（四） 021</t>
  </si>
  <si>
    <t>K1区（四） 022</t>
  </si>
  <si>
    <t>K1区（四） 023</t>
  </si>
  <si>
    <t>K1区（四） 024</t>
  </si>
  <si>
    <t>K1区（四） 025</t>
  </si>
  <si>
    <t>K1区（四） 026</t>
  </si>
  <si>
    <t>K1区（四） 027</t>
  </si>
  <si>
    <t>K1区（四） 028</t>
  </si>
  <si>
    <t>K1区（四） 029</t>
  </si>
  <si>
    <t>K1区（四） 030</t>
  </si>
  <si>
    <t>K1区（四） 031</t>
  </si>
  <si>
    <t>K1区（四） 032</t>
  </si>
  <si>
    <t>K1区（四） 059</t>
  </si>
  <si>
    <t>K1区（四） 061</t>
  </si>
  <si>
    <t>K1区（四） 062</t>
  </si>
  <si>
    <t>K1区（四） 063</t>
  </si>
  <si>
    <t>K1区（四） 064</t>
  </si>
  <si>
    <t>K1区（四） 067</t>
  </si>
  <si>
    <t>K1区（四） 070</t>
  </si>
  <si>
    <t>K1区（四） 071</t>
  </si>
  <si>
    <t>K1区（四） 072</t>
  </si>
  <si>
    <t>K1区（四） 076</t>
  </si>
  <si>
    <t>K1区（四） 077</t>
  </si>
  <si>
    <t>K1区（四） 080</t>
  </si>
  <si>
    <t>K1区（四） 082</t>
  </si>
  <si>
    <t>K1区（四） 083</t>
  </si>
  <si>
    <t>K1区（四） 084</t>
  </si>
  <si>
    <t>K1区（四） 085</t>
  </si>
  <si>
    <t>K1区（四） 086</t>
  </si>
  <si>
    <t>K1区（四） 087</t>
  </si>
  <si>
    <t>K1区（四） 088</t>
  </si>
  <si>
    <t>K1区（四） 089</t>
  </si>
  <si>
    <t>K1区（四） 090</t>
  </si>
  <si>
    <t>K1区（四） 091</t>
  </si>
  <si>
    <t>K1区（四） 092</t>
  </si>
  <si>
    <t>K1区（四） 094</t>
  </si>
  <si>
    <t>K1区（四） 097</t>
  </si>
  <si>
    <t>K1区（四） 106</t>
  </si>
  <si>
    <t>K1区（四） 107</t>
  </si>
  <si>
    <t>K1区（四） 108</t>
  </si>
  <si>
    <t>K1区（四） 109</t>
  </si>
  <si>
    <t>K1区（四） 110</t>
  </si>
  <si>
    <t>L1区（四） 001</t>
  </si>
  <si>
    <t>L1区（四） 003</t>
  </si>
  <si>
    <t>L1区（四） 004</t>
  </si>
  <si>
    <t>L1区（四） 005</t>
  </si>
  <si>
    <t>L1区（四） 006</t>
  </si>
  <si>
    <t>L1区（四） 007</t>
  </si>
  <si>
    <t>L1区（四） 008</t>
  </si>
  <si>
    <t>L1区（四） 009</t>
  </si>
  <si>
    <t>L1区（四） 010</t>
  </si>
  <si>
    <t>L1区（四） 011</t>
  </si>
  <si>
    <t>L1区（四） 012</t>
  </si>
  <si>
    <t>L1区（四） 013</t>
  </si>
  <si>
    <t>L1区（四） 014</t>
  </si>
  <si>
    <t>L1区（四） 015</t>
  </si>
  <si>
    <t>L1区（四） 016</t>
  </si>
  <si>
    <t>L1区（四） 017</t>
  </si>
  <si>
    <t>L1区（四） 020</t>
  </si>
  <si>
    <t>L1区（四） 021</t>
  </si>
  <si>
    <t>L1区（四） 022</t>
  </si>
  <si>
    <t>L1区（四） 023</t>
  </si>
  <si>
    <t>L1区（四） 024</t>
  </si>
  <si>
    <t>L1区（四） 025</t>
  </si>
  <si>
    <t>L1区（四） 026</t>
  </si>
  <si>
    <t>L1区（四） 027</t>
  </si>
  <si>
    <t>L1区（四） 028</t>
  </si>
  <si>
    <t>L1区（四） 029</t>
  </si>
  <si>
    <t>L1区（四） 030</t>
  </si>
  <si>
    <t>L1区（四） 031</t>
  </si>
  <si>
    <t>L1区（四） 032</t>
  </si>
  <si>
    <t>L1区（四） 033</t>
  </si>
  <si>
    <t>L1区（四） 034</t>
  </si>
  <si>
    <t>L1区（四） 035</t>
  </si>
  <si>
    <t>L1区（四） 036</t>
  </si>
  <si>
    <t>L1区（四） 037</t>
  </si>
  <si>
    <t>L1区（四） 038</t>
  </si>
  <si>
    <t>L1区（四） 039</t>
  </si>
  <si>
    <t>L1区（四） 040</t>
  </si>
  <si>
    <t>L1区（四） 041</t>
  </si>
  <si>
    <t>L1区（四） 042</t>
  </si>
  <si>
    <t>L1区（四） 043</t>
  </si>
  <si>
    <t>L1区（四） 044</t>
  </si>
  <si>
    <t>L1区（四） 045</t>
  </si>
  <si>
    <t>L1区（四） 046</t>
  </si>
  <si>
    <t>L1区（四） 047</t>
  </si>
  <si>
    <t>L1区（四） 048</t>
  </si>
  <si>
    <t>L1区（四） 049</t>
  </si>
  <si>
    <t>L1区（四） 050</t>
  </si>
  <si>
    <t>L1区（四） 051</t>
  </si>
  <si>
    <t>L1区（四） 054</t>
  </si>
  <si>
    <t>L1区（四） 055</t>
  </si>
  <si>
    <t>L1区（四） 057</t>
  </si>
  <si>
    <t>L1区（四） 059</t>
  </si>
  <si>
    <t>L1区（四） 060</t>
  </si>
  <si>
    <t>L1区（四） 061</t>
  </si>
  <si>
    <t>L1区（四） 062</t>
  </si>
  <si>
    <t>L1区（四） 063</t>
  </si>
  <si>
    <t>L1区（四） 069</t>
  </si>
  <si>
    <t>M1区 073</t>
  </si>
  <si>
    <t>M1区 074</t>
  </si>
  <si>
    <t>M1区 075</t>
  </si>
  <si>
    <t>M1区 077</t>
  </si>
  <si>
    <t>M1区 078</t>
  </si>
  <si>
    <t>M1区 079</t>
  </si>
  <si>
    <t>M1区 080</t>
  </si>
  <si>
    <t>M1区 081</t>
  </si>
  <si>
    <t>M1区（四） 001</t>
  </si>
  <si>
    <t>M1区（四） 002</t>
  </si>
  <si>
    <t>M1区（四） 003</t>
  </si>
  <si>
    <t>M1区（四） 004</t>
  </si>
  <si>
    <t>M1区（四） 005</t>
  </si>
  <si>
    <t>M1区（四） 006</t>
  </si>
  <si>
    <t>M1区（四） 007</t>
  </si>
  <si>
    <t>M1区（四） 008</t>
  </si>
  <si>
    <t>M1区（四） 009</t>
  </si>
  <si>
    <t>M1区（四） 010</t>
  </si>
  <si>
    <t>M1区（四） 011</t>
  </si>
  <si>
    <t>M1区（四） 012</t>
  </si>
  <si>
    <t>M1区（四） 013</t>
  </si>
  <si>
    <t>M1区（四） 014</t>
  </si>
  <si>
    <t>M1区（四） 016</t>
  </si>
  <si>
    <t>M1区（四） 032</t>
  </si>
  <si>
    <t>M1区（四） 033</t>
  </si>
  <si>
    <t>M1区（四） 034</t>
  </si>
  <si>
    <t>M1区（四） 035</t>
  </si>
  <si>
    <t>M1区（四） 037</t>
  </si>
  <si>
    <t>M1区（四） 038</t>
  </si>
  <si>
    <t>M1区（四） 040</t>
  </si>
  <si>
    <t>M1区（四） 041</t>
  </si>
  <si>
    <t>M1区（四） 042</t>
  </si>
  <si>
    <t>M1区（四） 043</t>
  </si>
  <si>
    <t>M1区（四） 044</t>
  </si>
  <si>
    <t>M1区（四） 045</t>
  </si>
  <si>
    <t>M1区（四） 046</t>
  </si>
  <si>
    <t>M1区（四） 047</t>
  </si>
  <si>
    <t>M1区（四） 048</t>
  </si>
  <si>
    <t>M1区（四） 049</t>
  </si>
  <si>
    <t>M1区（四） 050</t>
  </si>
  <si>
    <t>M1区（四） 051</t>
  </si>
  <si>
    <t>M1区（四） 052</t>
  </si>
  <si>
    <t>M1区（四） 053</t>
  </si>
  <si>
    <t>M1区（四） 054</t>
  </si>
  <si>
    <t>M1区（四） 055</t>
  </si>
  <si>
    <t>M1区（四） 056</t>
  </si>
  <si>
    <t>M1区（四） 057</t>
  </si>
  <si>
    <t>M1区（四） 058</t>
  </si>
  <si>
    <t>M1区（四） 059</t>
  </si>
  <si>
    <t>M1区（四） 060</t>
  </si>
  <si>
    <t>M1区（四） 061</t>
  </si>
  <si>
    <t>M1区（四） 062</t>
  </si>
  <si>
    <t>M1区（四） 063</t>
  </si>
  <si>
    <t>M1区（四） 064</t>
  </si>
  <si>
    <t>M1区（四） 065</t>
  </si>
  <si>
    <t>M1区（四） 066</t>
  </si>
  <si>
    <t>青年路西里2号院</t>
    <phoneticPr fontId="141" type="noConversion"/>
  </si>
  <si>
    <t>青年路西里3号院</t>
  </si>
  <si>
    <t>坐落</t>
    <phoneticPr fontId="141" type="noConversion"/>
  </si>
  <si>
    <t>车位号</t>
    <phoneticPr fontId="141" type="noConversion"/>
  </si>
  <si>
    <t>建筑面积</t>
    <phoneticPr fontId="141" type="noConversion"/>
  </si>
  <si>
    <t>分摊土地面积</t>
    <phoneticPr fontId="141" type="noConversion"/>
  </si>
  <si>
    <t>用途</t>
    <phoneticPr fontId="141" type="noConversion"/>
  </si>
  <si>
    <t>房屋所有权证号</t>
    <phoneticPr fontId="141" type="noConversion"/>
  </si>
  <si>
    <t>序号</t>
    <phoneticPr fontId="141" type="noConversion"/>
  </si>
  <si>
    <t>合计</t>
    <phoneticPr fontId="141" type="noConversion"/>
  </si>
  <si>
    <t>——</t>
    <phoneticPr fontId="141" type="noConversion"/>
  </si>
  <si>
    <t>X京房权证朝其字第511173号</t>
    <phoneticPr fontId="141" type="noConversion"/>
  </si>
  <si>
    <t>X京房权证朝其字第501482号</t>
    <phoneticPr fontId="141" type="noConversion"/>
  </si>
  <si>
    <r>
      <rPr>
        <sz val="11"/>
        <color indexed="8"/>
        <rFont val="宋体"/>
        <family val="3"/>
        <charset val="134"/>
      </rPr>
      <t>停车位面积</t>
    </r>
    <phoneticPr fontId="32" type="noConversion"/>
  </si>
  <si>
    <t>典型户型修正</t>
  </si>
  <si>
    <t>B078</t>
  </si>
  <si>
    <t>B089</t>
  </si>
  <si>
    <t>D097</t>
  </si>
  <si>
    <t>D101</t>
  </si>
  <si>
    <t>F051</t>
  </si>
  <si>
    <t>G004</t>
  </si>
  <si>
    <t>G005</t>
  </si>
  <si>
    <t>G006</t>
  </si>
  <si>
    <t>G007</t>
  </si>
  <si>
    <t>G093</t>
  </si>
  <si>
    <t>G094</t>
  </si>
  <si>
    <t>G095</t>
  </si>
  <si>
    <t>H027</t>
  </si>
  <si>
    <t>H032</t>
  </si>
  <si>
    <t>K113</t>
  </si>
  <si>
    <t>K114</t>
  </si>
  <si>
    <t>K123</t>
  </si>
  <si>
    <t>K124</t>
  </si>
  <si>
    <t>K125</t>
  </si>
  <si>
    <t>K126</t>
  </si>
  <si>
    <t>L006</t>
  </si>
  <si>
    <t>L090</t>
  </si>
  <si>
    <t>L096</t>
  </si>
  <si>
    <t>L098</t>
  </si>
  <si>
    <t>M001</t>
  </si>
  <si>
    <t>M002</t>
  </si>
  <si>
    <t>M003</t>
  </si>
  <si>
    <t>M004</t>
  </si>
  <si>
    <t>M005</t>
  </si>
  <si>
    <t>M006</t>
  </si>
  <si>
    <t>M007</t>
  </si>
  <si>
    <t>M008</t>
  </si>
  <si>
    <t>M009</t>
  </si>
  <si>
    <t>M010</t>
  </si>
  <si>
    <t>M011</t>
  </si>
  <si>
    <t>M012</t>
  </si>
  <si>
    <t>M013</t>
  </si>
  <si>
    <t>M014</t>
  </si>
  <si>
    <t>M015</t>
  </si>
  <si>
    <t>M016</t>
  </si>
  <si>
    <t>M034</t>
  </si>
  <si>
    <t>M035</t>
  </si>
  <si>
    <t>M036</t>
  </si>
  <si>
    <t>M037</t>
  </si>
  <si>
    <t>M038</t>
  </si>
  <si>
    <t>M040</t>
  </si>
  <si>
    <t>M041</t>
  </si>
  <si>
    <t>M043</t>
  </si>
  <si>
    <t>M044</t>
  </si>
  <si>
    <t>M050</t>
  </si>
  <si>
    <t>M054</t>
  </si>
  <si>
    <t>M058</t>
  </si>
  <si>
    <t>M059</t>
  </si>
  <si>
    <t>M071</t>
  </si>
  <si>
    <t>M072</t>
  </si>
  <si>
    <t>M073</t>
  </si>
  <si>
    <t>M074</t>
  </si>
  <si>
    <t>M075</t>
  </si>
  <si>
    <t>M076</t>
  </si>
  <si>
    <t>M077</t>
  </si>
  <si>
    <t>M078</t>
  </si>
  <si>
    <t>M079</t>
  </si>
  <si>
    <t>M081</t>
  </si>
  <si>
    <t>M082</t>
  </si>
  <si>
    <t>M084</t>
  </si>
  <si>
    <t>M085</t>
  </si>
  <si>
    <t>M091</t>
  </si>
  <si>
    <t>M094</t>
  </si>
  <si>
    <t>M095</t>
  </si>
  <si>
    <t>M097</t>
  </si>
  <si>
    <t>M099</t>
  </si>
  <si>
    <t>M100</t>
  </si>
  <si>
    <t>M103</t>
  </si>
  <si>
    <t>M109</t>
  </si>
  <si>
    <t>M111</t>
  </si>
  <si>
    <t>M112</t>
  </si>
  <si>
    <t>M113</t>
  </si>
  <si>
    <t>M114</t>
  </si>
  <si>
    <t>M115</t>
  </si>
  <si>
    <t>M116</t>
  </si>
  <si>
    <t>M124</t>
  </si>
  <si>
    <t>M125</t>
  </si>
  <si>
    <t>M126</t>
  </si>
  <si>
    <t>M131</t>
  </si>
  <si>
    <t>M132</t>
  </si>
  <si>
    <t>M133</t>
  </si>
  <si>
    <t>N001</t>
  </si>
  <si>
    <t>N003</t>
  </si>
  <si>
    <t>N020</t>
  </si>
  <si>
    <t>N023</t>
  </si>
  <si>
    <t>N068</t>
  </si>
  <si>
    <t>N074</t>
  </si>
  <si>
    <t>N077</t>
  </si>
  <si>
    <t>N078</t>
  </si>
  <si>
    <t>N081</t>
  </si>
  <si>
    <t>N091</t>
  </si>
  <si>
    <t>N092</t>
  </si>
  <si>
    <t>P002</t>
  </si>
  <si>
    <t>P003</t>
  </si>
  <si>
    <t>P004</t>
  </si>
  <si>
    <t>P031</t>
  </si>
  <si>
    <t>P033</t>
  </si>
  <si>
    <t>P034</t>
  </si>
  <si>
    <t>P044</t>
  </si>
  <si>
    <t>P045</t>
  </si>
  <si>
    <t>P046</t>
  </si>
  <si>
    <t>P051</t>
  </si>
  <si>
    <t>P061</t>
  </si>
  <si>
    <t>P062</t>
  </si>
  <si>
    <t>P063</t>
  </si>
  <si>
    <t>P066</t>
  </si>
  <si>
    <t>P069</t>
  </si>
  <si>
    <t>P074</t>
  </si>
  <si>
    <t>P075</t>
  </si>
  <si>
    <t>P076</t>
  </si>
  <si>
    <t>P077</t>
  </si>
  <si>
    <t>P078</t>
  </si>
  <si>
    <t>P079</t>
  </si>
  <si>
    <t>P080</t>
  </si>
  <si>
    <t>P081</t>
  </si>
  <si>
    <t>P082</t>
  </si>
  <si>
    <t>P083</t>
  </si>
  <si>
    <t>P084</t>
  </si>
  <si>
    <t>P086</t>
  </si>
  <si>
    <t>P087</t>
  </si>
  <si>
    <t>P089</t>
  </si>
  <si>
    <t>P090</t>
  </si>
  <si>
    <t>P091</t>
  </si>
  <si>
    <t>P093</t>
  </si>
  <si>
    <t>P094</t>
  </si>
  <si>
    <t>P096</t>
  </si>
  <si>
    <t>P099</t>
  </si>
  <si>
    <t>P103</t>
  </si>
  <si>
    <t>P104</t>
  </si>
  <si>
    <t>P105</t>
  </si>
  <si>
    <t>P108</t>
  </si>
  <si>
    <t>P109</t>
  </si>
  <si>
    <t>P110</t>
  </si>
  <si>
    <t>P111</t>
  </si>
  <si>
    <t>P112</t>
  </si>
  <si>
    <t>P113</t>
  </si>
  <si>
    <t>P114</t>
  </si>
  <si>
    <t>P115</t>
  </si>
  <si>
    <t>P116</t>
  </si>
  <si>
    <t>P117</t>
  </si>
  <si>
    <t>P118</t>
  </si>
  <si>
    <t>P119</t>
  </si>
  <si>
    <t>P120</t>
  </si>
  <si>
    <t>P121</t>
  </si>
  <si>
    <t>Q001</t>
  </si>
  <si>
    <t>Q002</t>
  </si>
  <si>
    <t>Q003</t>
  </si>
  <si>
    <t>Q024</t>
  </si>
  <si>
    <t>Q026</t>
  </si>
  <si>
    <t>Q035</t>
  </si>
  <si>
    <t>Q041</t>
  </si>
  <si>
    <t>Q042</t>
  </si>
  <si>
    <t>Q044</t>
  </si>
  <si>
    <t>Q046</t>
  </si>
  <si>
    <t>Q054</t>
  </si>
  <si>
    <t>Q060</t>
  </si>
  <si>
    <t>Q062</t>
  </si>
  <si>
    <t>Q069</t>
  </si>
  <si>
    <t>Q070</t>
  </si>
  <si>
    <t>Q077</t>
  </si>
  <si>
    <t>Q080</t>
  </si>
  <si>
    <t>Q081</t>
  </si>
  <si>
    <t>Q089</t>
  </si>
  <si>
    <t>Q090</t>
  </si>
  <si>
    <t>Q091</t>
  </si>
  <si>
    <t>Q092</t>
  </si>
  <si>
    <t>Q093</t>
  </si>
  <si>
    <t>Q094</t>
  </si>
  <si>
    <t>Q095</t>
  </si>
  <si>
    <t>Q096</t>
  </si>
  <si>
    <t>R013</t>
  </si>
  <si>
    <t>R014</t>
  </si>
  <si>
    <t>R016</t>
  </si>
  <si>
    <t>R017</t>
  </si>
  <si>
    <t>R037</t>
  </si>
  <si>
    <t>R040</t>
  </si>
  <si>
    <t>R041</t>
  </si>
  <si>
    <t>R042</t>
  </si>
  <si>
    <t>R052</t>
  </si>
  <si>
    <t>R053</t>
  </si>
  <si>
    <t>R054</t>
  </si>
  <si>
    <t>R055</t>
  </si>
  <si>
    <t>R056</t>
  </si>
  <si>
    <t>R057</t>
  </si>
  <si>
    <t>R067</t>
  </si>
  <si>
    <t>R068</t>
  </si>
  <si>
    <t>R069</t>
  </si>
  <si>
    <t>R094</t>
  </si>
  <si>
    <t>R095</t>
  </si>
  <si>
    <t>R096</t>
  </si>
  <si>
    <t>R097</t>
  </si>
  <si>
    <t>R098</t>
  </si>
  <si>
    <t>R099</t>
  </si>
  <si>
    <t>R100</t>
  </si>
  <si>
    <t>R101</t>
  </si>
  <si>
    <t>R102</t>
  </si>
  <si>
    <t>R103</t>
  </si>
  <si>
    <t>R104</t>
  </si>
  <si>
    <t>R105</t>
  </si>
  <si>
    <t>S002</t>
  </si>
  <si>
    <t>S003</t>
  </si>
  <si>
    <t>S004</t>
  </si>
  <si>
    <t>S005</t>
  </si>
  <si>
    <t>S007</t>
  </si>
  <si>
    <t>S008</t>
  </si>
  <si>
    <t>S012</t>
  </si>
  <si>
    <t>S013</t>
  </si>
  <si>
    <t>S038</t>
  </si>
  <si>
    <t>S041</t>
  </si>
  <si>
    <t>S042</t>
  </si>
  <si>
    <t>S043</t>
  </si>
  <si>
    <t>S044</t>
  </si>
  <si>
    <t>S045</t>
  </si>
  <si>
    <t>S046</t>
  </si>
  <si>
    <t>S048</t>
  </si>
  <si>
    <t>S049</t>
  </si>
  <si>
    <t>S075</t>
  </si>
  <si>
    <t>S081</t>
  </si>
  <si>
    <t>S083</t>
  </si>
  <si>
    <t>S084</t>
  </si>
  <si>
    <t>S086</t>
  </si>
  <si>
    <t>S087</t>
  </si>
  <si>
    <t>S091</t>
  </si>
  <si>
    <t>S094</t>
  </si>
  <si>
    <t>S095</t>
  </si>
  <si>
    <t>S096</t>
  </si>
  <si>
    <t>S099</t>
  </si>
  <si>
    <t>S100</t>
  </si>
  <si>
    <t>S101</t>
  </si>
  <si>
    <t>S102</t>
  </si>
  <si>
    <t>S103</t>
  </si>
  <si>
    <t>S105</t>
  </si>
  <si>
    <t>S113</t>
  </si>
  <si>
    <t>S114</t>
  </si>
  <si>
    <t>S115</t>
  </si>
  <si>
    <t>S116</t>
  </si>
  <si>
    <t>S117</t>
  </si>
  <si>
    <t>S118</t>
  </si>
  <si>
    <t>S123</t>
  </si>
  <si>
    <t>S124</t>
  </si>
  <si>
    <t>S129</t>
  </si>
  <si>
    <t>S130</t>
  </si>
  <si>
    <t>S131</t>
  </si>
  <si>
    <t>S132</t>
  </si>
  <si>
    <t>S134</t>
  </si>
  <si>
    <t>S135</t>
  </si>
  <si>
    <t>S138</t>
  </si>
  <si>
    <t>S140</t>
  </si>
  <si>
    <t>T002</t>
  </si>
  <si>
    <t>T004</t>
  </si>
  <si>
    <t>T008</t>
  </si>
  <si>
    <t>T013</t>
  </si>
  <si>
    <t>T014</t>
  </si>
  <si>
    <t>T018</t>
  </si>
  <si>
    <t>T019</t>
  </si>
  <si>
    <t>T021</t>
  </si>
  <si>
    <t>T022</t>
  </si>
  <si>
    <t>T023</t>
  </si>
  <si>
    <t>T024</t>
  </si>
  <si>
    <t>T025</t>
  </si>
  <si>
    <t>T026</t>
  </si>
  <si>
    <t>T027</t>
  </si>
  <si>
    <t>T028</t>
  </si>
  <si>
    <t>T029</t>
  </si>
  <si>
    <t>T033</t>
  </si>
  <si>
    <t>T040</t>
  </si>
  <si>
    <t>T044</t>
  </si>
  <si>
    <t>T061</t>
  </si>
  <si>
    <t>T062</t>
  </si>
  <si>
    <t>T066</t>
  </si>
  <si>
    <t>T085</t>
  </si>
  <si>
    <t>U003</t>
  </si>
  <si>
    <t>U044</t>
  </si>
  <si>
    <t>U045</t>
  </si>
  <si>
    <t>U046</t>
  </si>
  <si>
    <t>U087</t>
  </si>
  <si>
    <t>U092</t>
  </si>
  <si>
    <t>U094</t>
  </si>
  <si>
    <t>U095</t>
  </si>
  <si>
    <t>U097</t>
  </si>
  <si>
    <t>V001</t>
  </si>
  <si>
    <t>V068</t>
  </si>
  <si>
    <t>V070</t>
  </si>
  <si>
    <t>V071</t>
  </si>
  <si>
    <t>V072</t>
  </si>
  <si>
    <t>V073</t>
  </si>
  <si>
    <t>V074</t>
  </si>
  <si>
    <r>
      <t>X</t>
    </r>
    <r>
      <rPr>
        <sz val="9"/>
        <color rgb="FF000000"/>
        <rFont val="华文细黑"/>
        <family val="3"/>
        <charset val="134"/>
      </rPr>
      <t>京房权证朝其字第</t>
    </r>
    <r>
      <rPr>
        <sz val="9"/>
        <color rgb="FF000000"/>
        <rFont val="Arial"/>
        <family val="2"/>
      </rPr>
      <t>501482</t>
    </r>
    <r>
      <rPr>
        <sz val="9"/>
        <color rgb="FF000000"/>
        <rFont val="华文细黑"/>
        <family val="3"/>
        <charset val="134"/>
      </rPr>
      <t>号</t>
    </r>
  </si>
  <si>
    <r>
      <t>2</t>
    </r>
    <r>
      <rPr>
        <sz val="9"/>
        <color rgb="FF000000"/>
        <rFont val="华文细黑"/>
        <family val="3"/>
        <charset val="134"/>
      </rPr>
      <t>号院小计</t>
    </r>
  </si>
  <si>
    <r>
      <t>3</t>
    </r>
    <r>
      <rPr>
        <sz val="9"/>
        <color rgb="FF000000"/>
        <rFont val="华文细黑"/>
        <family val="3"/>
        <charset val="134"/>
      </rPr>
      <t>号院小计</t>
    </r>
  </si>
  <si>
    <t>A1-001</t>
  </si>
  <si>
    <t>A1-002</t>
  </si>
  <si>
    <t>A1-003</t>
  </si>
  <si>
    <t>A1-004</t>
  </si>
  <si>
    <t>A1-006</t>
  </si>
  <si>
    <t>A1-007</t>
  </si>
  <si>
    <t>A1-009</t>
  </si>
  <si>
    <t>A1-010</t>
  </si>
  <si>
    <t>A1-012</t>
  </si>
  <si>
    <t>A1-014</t>
  </si>
  <si>
    <t>A1-015</t>
  </si>
  <si>
    <t>A1-030</t>
  </si>
  <si>
    <t>A1-031</t>
  </si>
  <si>
    <t>A1-032</t>
  </si>
  <si>
    <t>A1-046</t>
  </si>
  <si>
    <t>A1-064</t>
  </si>
  <si>
    <t>A1-087</t>
  </si>
  <si>
    <t>A1-088</t>
  </si>
  <si>
    <t>A1-089</t>
  </si>
  <si>
    <t>B1-001</t>
  </si>
  <si>
    <t>B1-002</t>
  </si>
  <si>
    <t>B1-003</t>
  </si>
  <si>
    <t>B1-004</t>
  </si>
  <si>
    <t>B1-005</t>
  </si>
  <si>
    <t>B1-006</t>
  </si>
  <si>
    <t>B1-007</t>
  </si>
  <si>
    <t>B1-008</t>
  </si>
  <si>
    <t>B1-009</t>
  </si>
  <si>
    <t>B1-010</t>
  </si>
  <si>
    <t>B1-011</t>
  </si>
  <si>
    <t>B1-013</t>
  </si>
  <si>
    <t>B1-016</t>
  </si>
  <si>
    <t>B1-017</t>
  </si>
  <si>
    <t>B1-018</t>
  </si>
  <si>
    <t>B1-019</t>
  </si>
  <si>
    <t>B1-021</t>
  </si>
  <si>
    <t>B1-022</t>
  </si>
  <si>
    <t>B1-023</t>
  </si>
  <si>
    <t>B1-024</t>
  </si>
  <si>
    <t>B1-025</t>
  </si>
  <si>
    <t>B1-026</t>
  </si>
  <si>
    <t>B1-032</t>
  </si>
  <si>
    <t>B1-033</t>
  </si>
  <si>
    <t>B1-034</t>
  </si>
  <si>
    <t>B1-035</t>
  </si>
  <si>
    <t>B1-036</t>
  </si>
  <si>
    <t>B1-037</t>
  </si>
  <si>
    <t>B1-039</t>
  </si>
  <si>
    <t>B1-040</t>
  </si>
  <si>
    <t>B1-062</t>
  </si>
  <si>
    <t>B1-063</t>
  </si>
  <si>
    <t>B1-065</t>
  </si>
  <si>
    <t>B1-066</t>
  </si>
  <si>
    <t>B1-069</t>
  </si>
  <si>
    <t>B1-083</t>
  </si>
  <si>
    <t>B1-087</t>
  </si>
  <si>
    <t>B1-088</t>
  </si>
  <si>
    <t>B1-089</t>
  </si>
  <si>
    <t>B1-090</t>
  </si>
  <si>
    <t>B1-108</t>
  </si>
  <si>
    <t>B1-109</t>
  </si>
  <si>
    <t>B1-110</t>
  </si>
  <si>
    <t>B1-111</t>
  </si>
  <si>
    <t>B1-113</t>
  </si>
  <si>
    <t>C1-001</t>
  </si>
  <si>
    <t>C1-002</t>
  </si>
  <si>
    <t>C1-003</t>
  </si>
  <si>
    <t>C1-004</t>
  </si>
  <si>
    <t>C1-005</t>
  </si>
  <si>
    <t>C1-006</t>
  </si>
  <si>
    <t>C1-007</t>
  </si>
  <si>
    <t>C1-008</t>
  </si>
  <si>
    <t>C1-009</t>
  </si>
  <si>
    <t>C1-023</t>
  </si>
  <si>
    <t>C1-026</t>
  </si>
  <si>
    <t>C1-027</t>
  </si>
  <si>
    <t>C1-028</t>
  </si>
  <si>
    <t>C1-029</t>
  </si>
  <si>
    <t>C1-031</t>
  </si>
  <si>
    <t>C1-038</t>
  </si>
  <si>
    <t>C1-047</t>
  </si>
  <si>
    <t>C1-055</t>
  </si>
  <si>
    <t>C1-056</t>
  </si>
  <si>
    <t>C1-057</t>
  </si>
  <si>
    <t>C1-058</t>
  </si>
  <si>
    <t>C1-059</t>
  </si>
  <si>
    <t>C1-060</t>
  </si>
  <si>
    <t>C1-062</t>
  </si>
  <si>
    <t>C1-065</t>
  </si>
  <si>
    <t>C1-068</t>
  </si>
  <si>
    <t>C1-071</t>
  </si>
  <si>
    <t>C1-072</t>
  </si>
  <si>
    <t>C1-073</t>
  </si>
  <si>
    <t>C1-074</t>
  </si>
  <si>
    <t>C1-075</t>
  </si>
  <si>
    <t>C1-076</t>
  </si>
  <si>
    <t>C1-077</t>
  </si>
  <si>
    <t>C1-078</t>
  </si>
  <si>
    <t>C1-079</t>
  </si>
  <si>
    <t>C1-080</t>
  </si>
  <si>
    <t>C1-081</t>
  </si>
  <si>
    <t>C1-082</t>
  </si>
  <si>
    <t>C1-083</t>
  </si>
  <si>
    <t>C1-084</t>
  </si>
  <si>
    <t>C1-085</t>
  </si>
  <si>
    <t>C1-086</t>
  </si>
  <si>
    <t>D1-001</t>
  </si>
  <si>
    <t>D1-005</t>
  </si>
  <si>
    <t>D1-007</t>
  </si>
  <si>
    <t>D1-008</t>
  </si>
  <si>
    <t>D1-009</t>
  </si>
  <si>
    <t>D1-010</t>
  </si>
  <si>
    <t>D1-013</t>
  </si>
  <si>
    <t>D1-016</t>
  </si>
  <si>
    <t>D1-017</t>
  </si>
  <si>
    <t>D1-023</t>
  </si>
  <si>
    <t>D1-025</t>
  </si>
  <si>
    <t>D1-026</t>
  </si>
  <si>
    <t>D1-027</t>
  </si>
  <si>
    <t>D1-028</t>
  </si>
  <si>
    <t>D1-029</t>
  </si>
  <si>
    <t>D1-030</t>
  </si>
  <si>
    <t>D1-031</t>
  </si>
  <si>
    <t>D1-032</t>
  </si>
  <si>
    <t>D1-033</t>
  </si>
  <si>
    <t>D1-037</t>
  </si>
  <si>
    <t>D1-040</t>
  </si>
  <si>
    <t>D1-041</t>
  </si>
  <si>
    <t>D1-043</t>
  </si>
  <si>
    <t>D1-044</t>
  </si>
  <si>
    <t>D1-048</t>
  </si>
  <si>
    <t>D1-050</t>
  </si>
  <si>
    <t>D1-058</t>
  </si>
  <si>
    <t>D1-060</t>
  </si>
  <si>
    <t>D1-061</t>
  </si>
  <si>
    <t>D1-069</t>
  </si>
  <si>
    <t>D1-070</t>
  </si>
  <si>
    <t>D1-071</t>
  </si>
  <si>
    <t>D1-072</t>
  </si>
  <si>
    <t>D1-073</t>
  </si>
  <si>
    <t>D1-074</t>
  </si>
  <si>
    <t>D1-075</t>
  </si>
  <si>
    <t>D1-076</t>
  </si>
  <si>
    <t>D1-077</t>
  </si>
  <si>
    <t>D1-079</t>
  </si>
  <si>
    <t>D1-087</t>
  </si>
  <si>
    <t>D1-088</t>
  </si>
  <si>
    <t>D1-089</t>
  </si>
  <si>
    <t>D1-094</t>
  </si>
  <si>
    <t>D1-096</t>
  </si>
  <si>
    <t>D1-097</t>
  </si>
  <si>
    <t>D1-102</t>
  </si>
  <si>
    <t>D1-103</t>
  </si>
  <si>
    <t>D1-104</t>
  </si>
  <si>
    <t>D1-105</t>
  </si>
  <si>
    <t>D1-106</t>
  </si>
  <si>
    <t>D1-107</t>
  </si>
  <si>
    <t>D1-109</t>
  </si>
  <si>
    <t>D1-112</t>
  </si>
  <si>
    <t>D1-113</t>
  </si>
  <si>
    <t>D1-114</t>
  </si>
  <si>
    <t>E1-002</t>
  </si>
  <si>
    <t>E1-004</t>
  </si>
  <si>
    <t>E1-005</t>
  </si>
  <si>
    <t>E1-007</t>
  </si>
  <si>
    <t>E1-009</t>
  </si>
  <si>
    <t>E1-010</t>
  </si>
  <si>
    <t>E1-014</t>
  </si>
  <si>
    <t>E1-015</t>
  </si>
  <si>
    <t>E1-016</t>
  </si>
  <si>
    <t>E1-017</t>
  </si>
  <si>
    <t>E1-018</t>
  </si>
  <si>
    <t>E1-019</t>
  </si>
  <si>
    <t>E1-020</t>
  </si>
  <si>
    <t>E1-021</t>
  </si>
  <si>
    <t>E1-022</t>
  </si>
  <si>
    <t>E1-023</t>
  </si>
  <si>
    <t>E1-024</t>
  </si>
  <si>
    <t>E1-040</t>
  </si>
  <si>
    <t>E1-041</t>
  </si>
  <si>
    <t>E1-044</t>
  </si>
  <si>
    <t>E1-081</t>
  </si>
  <si>
    <t>E1-082</t>
  </si>
  <si>
    <t>F1-062</t>
  </si>
  <si>
    <t>F1-063</t>
  </si>
  <si>
    <t>F1-064</t>
  </si>
  <si>
    <t>F1-065</t>
  </si>
  <si>
    <t>F1-066</t>
  </si>
  <si>
    <t>F1-067</t>
  </si>
  <si>
    <t>F1-068</t>
  </si>
  <si>
    <t>F1-079</t>
  </si>
  <si>
    <t>F1-080</t>
  </si>
  <si>
    <t>F1-082</t>
  </si>
  <si>
    <t>F1-083</t>
  </si>
  <si>
    <t>F1-084</t>
  </si>
  <si>
    <t>F1-085</t>
  </si>
  <si>
    <t>F1-086</t>
  </si>
  <si>
    <t>F1-089</t>
  </si>
  <si>
    <t>F1-090</t>
  </si>
  <si>
    <t>F1-091</t>
  </si>
  <si>
    <t>F1-092</t>
  </si>
  <si>
    <t>F1-093</t>
  </si>
  <si>
    <t>F1-094</t>
  </si>
  <si>
    <t>F1-095</t>
  </si>
  <si>
    <t>F1-096</t>
  </si>
  <si>
    <t>F1-097</t>
  </si>
  <si>
    <t>F1-098</t>
  </si>
  <si>
    <t>F1-099</t>
  </si>
  <si>
    <t>F1-100</t>
  </si>
  <si>
    <t>F1-101</t>
  </si>
  <si>
    <t>F1-102</t>
  </si>
  <si>
    <t>F1-103</t>
  </si>
  <si>
    <t>F1-104</t>
  </si>
  <si>
    <t>F1-105</t>
  </si>
  <si>
    <t>F1-107</t>
  </si>
  <si>
    <t>F1-110</t>
  </si>
  <si>
    <t>F1-111</t>
  </si>
  <si>
    <t>F1-112</t>
  </si>
  <si>
    <t>F1-113</t>
  </si>
  <si>
    <t>F1-114</t>
  </si>
  <si>
    <t>F1-116</t>
  </si>
  <si>
    <t>F1-117</t>
  </si>
  <si>
    <t>J1-001</t>
  </si>
  <si>
    <t>J1-002</t>
  </si>
  <si>
    <t>J1-003</t>
  </si>
  <si>
    <t>J1-004</t>
  </si>
  <si>
    <t>J1-005</t>
  </si>
  <si>
    <t>J1-006</t>
  </si>
  <si>
    <t>K1-033</t>
  </si>
  <si>
    <t>K1-034</t>
  </si>
  <si>
    <t>K1-035</t>
  </si>
  <si>
    <t>K1-036</t>
  </si>
  <si>
    <t>K1-037</t>
  </si>
  <si>
    <t>K1-038</t>
  </si>
  <si>
    <t>K1-039</t>
  </si>
  <si>
    <t>K1-040</t>
  </si>
  <si>
    <t>K1-041</t>
  </si>
  <si>
    <t>K1-042</t>
  </si>
  <si>
    <t>K1-043</t>
  </si>
  <si>
    <t>K1-044</t>
  </si>
  <si>
    <t>K1-045</t>
  </si>
  <si>
    <t>K1-046</t>
  </si>
  <si>
    <t>K1-047</t>
  </si>
  <si>
    <t>K1-048</t>
  </si>
  <si>
    <t>K1-049</t>
  </si>
  <si>
    <t>K1-050</t>
  </si>
  <si>
    <t>K1-052</t>
  </si>
  <si>
    <t>K1-053</t>
  </si>
  <si>
    <t>K1-054</t>
  </si>
  <si>
    <t>K1-055</t>
  </si>
  <si>
    <t>M1-073</t>
  </si>
  <si>
    <t>M1-074</t>
  </si>
  <si>
    <t>M1-075</t>
  </si>
  <si>
    <t>M1-077</t>
  </si>
  <si>
    <t>M1-078</t>
  </si>
  <si>
    <t>M1-079</t>
  </si>
  <si>
    <t>M1-080</t>
  </si>
  <si>
    <t>M1-081</t>
  </si>
  <si>
    <t>C1-010</t>
  </si>
  <si>
    <t>C1-011</t>
  </si>
  <si>
    <t>C1-012</t>
  </si>
  <si>
    <t>C1-013</t>
  </si>
  <si>
    <t>C1-014</t>
  </si>
  <si>
    <t>C1-015</t>
  </si>
  <si>
    <t>C1-016</t>
  </si>
  <si>
    <t>C1-017</t>
  </si>
  <si>
    <t>C1-019</t>
  </si>
  <si>
    <t>C1-020</t>
  </si>
  <si>
    <t>C1-021</t>
  </si>
  <si>
    <t>C1-040</t>
  </si>
  <si>
    <t>C1-041</t>
  </si>
  <si>
    <t>C1-042</t>
  </si>
  <si>
    <t>C1-043</t>
  </si>
  <si>
    <t>C1-044</t>
  </si>
  <si>
    <t>C1-045</t>
  </si>
  <si>
    <t>F1-008</t>
  </si>
  <si>
    <t>F1-009</t>
  </si>
  <si>
    <t>F1-010</t>
  </si>
  <si>
    <t>F1-011</t>
  </si>
  <si>
    <t>F1-012</t>
  </si>
  <si>
    <t>F1-013</t>
  </si>
  <si>
    <t>F1-014</t>
  </si>
  <si>
    <t>F1-015</t>
  </si>
  <si>
    <t>F1-016</t>
  </si>
  <si>
    <t>F1-017</t>
  </si>
  <si>
    <t>F1-018</t>
  </si>
  <si>
    <t>F1-019</t>
  </si>
  <si>
    <t>F1-022</t>
  </si>
  <si>
    <t>F1-024</t>
  </si>
  <si>
    <t>F1-025</t>
  </si>
  <si>
    <t>F1-027</t>
  </si>
  <si>
    <t>F1-028</t>
  </si>
  <si>
    <t>F1-029</t>
  </si>
  <si>
    <t>F1-032</t>
  </si>
  <si>
    <t>F1-033</t>
  </si>
  <si>
    <t>F1-034</t>
  </si>
  <si>
    <t>F1-035</t>
  </si>
  <si>
    <t>F1-036</t>
  </si>
  <si>
    <t>F1-041</t>
  </si>
  <si>
    <t>F1-042</t>
  </si>
  <si>
    <t>F1-046</t>
  </si>
  <si>
    <t>G1-002</t>
  </si>
  <si>
    <t>G1-003</t>
  </si>
  <si>
    <t>G1-004</t>
  </si>
  <si>
    <t>G1-005</t>
  </si>
  <si>
    <t>G1-006</t>
  </si>
  <si>
    <t>G1-007</t>
  </si>
  <si>
    <t>G1-008</t>
  </si>
  <si>
    <t>G1-009</t>
  </si>
  <si>
    <t>G1-010</t>
  </si>
  <si>
    <t>G1-011</t>
  </si>
  <si>
    <t>G1-012</t>
  </si>
  <si>
    <t>G1-013</t>
  </si>
  <si>
    <t>G1-014</t>
  </si>
  <si>
    <t>G1-017</t>
  </si>
  <si>
    <t>G1-018</t>
  </si>
  <si>
    <t>G1-019</t>
  </si>
  <si>
    <t>G1-023</t>
  </si>
  <si>
    <t>G1-024</t>
  </si>
  <si>
    <t>G1-025</t>
  </si>
  <si>
    <t>G1-026</t>
  </si>
  <si>
    <t>G1-027</t>
  </si>
  <si>
    <t>G1-028</t>
  </si>
  <si>
    <t>G1-029</t>
  </si>
  <si>
    <t>G1-030</t>
  </si>
  <si>
    <t>G1-031</t>
  </si>
  <si>
    <t>G1-032</t>
  </si>
  <si>
    <t>G1-036</t>
  </si>
  <si>
    <t>G1-038</t>
  </si>
  <si>
    <t>G1-040</t>
  </si>
  <si>
    <t>G1-041</t>
  </si>
  <si>
    <t>G1-044</t>
  </si>
  <si>
    <t>G1-047</t>
  </si>
  <si>
    <t>G1-052</t>
  </si>
  <si>
    <t>G1-053</t>
  </si>
  <si>
    <t>G1-054</t>
  </si>
  <si>
    <t>G1-055</t>
  </si>
  <si>
    <t>G1-056</t>
  </si>
  <si>
    <t>G1-057</t>
  </si>
  <si>
    <t>G1-058</t>
  </si>
  <si>
    <t>G1-059</t>
  </si>
  <si>
    <t>G1-060</t>
  </si>
  <si>
    <t>G1-061</t>
  </si>
  <si>
    <t>G1-063</t>
  </si>
  <si>
    <t>G1-064</t>
  </si>
  <si>
    <t>G1-065</t>
  </si>
  <si>
    <t>G1-067</t>
  </si>
  <si>
    <t>G1-072</t>
  </si>
  <si>
    <t>G1-073</t>
  </si>
  <si>
    <t>G1-074</t>
  </si>
  <si>
    <t>G1-075</t>
  </si>
  <si>
    <t>G1-076</t>
  </si>
  <si>
    <t>G1-077</t>
  </si>
  <si>
    <t>G1-078</t>
  </si>
  <si>
    <t>G1-079</t>
  </si>
  <si>
    <t>G1-080</t>
  </si>
  <si>
    <t>G1-081</t>
  </si>
  <si>
    <t>G1-082</t>
  </si>
  <si>
    <t>G1-083</t>
  </si>
  <si>
    <t>G1-084</t>
  </si>
  <si>
    <t>G1-089</t>
  </si>
  <si>
    <t>G1-090</t>
  </si>
  <si>
    <t>G1-091</t>
  </si>
  <si>
    <t>G1-092</t>
  </si>
  <si>
    <t>G1-093</t>
  </si>
  <si>
    <t>G1-094</t>
  </si>
  <si>
    <t>G1-095</t>
  </si>
  <si>
    <t>G1-096</t>
  </si>
  <si>
    <t>G1-097</t>
  </si>
  <si>
    <t>H1-022</t>
  </si>
  <si>
    <t>H1-023</t>
  </si>
  <si>
    <t>H1-024</t>
  </si>
  <si>
    <t>H1-025</t>
  </si>
  <si>
    <t>H1-026</t>
  </si>
  <si>
    <t>H1-029</t>
  </si>
  <si>
    <t>H1-031</t>
  </si>
  <si>
    <t>H1-032</t>
  </si>
  <si>
    <t>H1-034</t>
  </si>
  <si>
    <t>H1-035</t>
  </si>
  <si>
    <t>H1-037</t>
  </si>
  <si>
    <t>H1-038</t>
  </si>
  <si>
    <t>H1-039</t>
  </si>
  <si>
    <t>H1-040</t>
  </si>
  <si>
    <t>H1-043</t>
  </si>
  <si>
    <t>H1-044</t>
  </si>
  <si>
    <t>H1-045</t>
  </si>
  <si>
    <t>H1-046</t>
  </si>
  <si>
    <t>H1-047</t>
  </si>
  <si>
    <t>J1-007</t>
  </si>
  <si>
    <t>J1-008</t>
  </si>
  <si>
    <t>J1-009</t>
  </si>
  <si>
    <t>J1-010</t>
  </si>
  <si>
    <t>J1-011</t>
  </si>
  <si>
    <t>J1-012</t>
  </si>
  <si>
    <t>J1-013</t>
  </si>
  <si>
    <t>J1-014</t>
  </si>
  <si>
    <t>J1-015</t>
  </si>
  <si>
    <t>J1-016</t>
  </si>
  <si>
    <t>J1-017</t>
  </si>
  <si>
    <t>J1-018</t>
  </si>
  <si>
    <t>J1-019</t>
  </si>
  <si>
    <t>J1-020</t>
  </si>
  <si>
    <t>J1-021</t>
  </si>
  <si>
    <t>J1-022</t>
  </si>
  <si>
    <t>J1-023</t>
  </si>
  <si>
    <t>J1-025</t>
  </si>
  <si>
    <t>J1-026</t>
  </si>
  <si>
    <t>J1-027</t>
  </si>
  <si>
    <t>J1-028</t>
  </si>
  <si>
    <t>J1-029</t>
  </si>
  <si>
    <t>J1-030</t>
  </si>
  <si>
    <t>J1-031</t>
  </si>
  <si>
    <t>J1-032</t>
  </si>
  <si>
    <t>J1-033</t>
  </si>
  <si>
    <t>J1-034</t>
  </si>
  <si>
    <t>J1-035</t>
  </si>
  <si>
    <t>J1-036</t>
  </si>
  <si>
    <t>J1-037</t>
  </si>
  <si>
    <t>J1-038</t>
  </si>
  <si>
    <t>J1-039</t>
  </si>
  <si>
    <t>J1-041</t>
  </si>
  <si>
    <t>J1-042</t>
  </si>
  <si>
    <t>J1-043</t>
  </si>
  <si>
    <t>J1-046</t>
  </si>
  <si>
    <t>J1-047</t>
  </si>
  <si>
    <t>J1-048</t>
  </si>
  <si>
    <t>J1-059</t>
  </si>
  <si>
    <t>J1-060</t>
  </si>
  <si>
    <t>J1-061</t>
  </si>
  <si>
    <t>J1-063</t>
  </si>
  <si>
    <t>J1-064</t>
  </si>
  <si>
    <t>J1-065</t>
  </si>
  <si>
    <t>J1-067</t>
  </si>
  <si>
    <t>J1-073</t>
  </si>
  <si>
    <t>J1-074</t>
  </si>
  <si>
    <t>J1-077</t>
  </si>
  <si>
    <t>J1-079</t>
  </si>
  <si>
    <t>J1-080</t>
  </si>
  <si>
    <t>J1-082</t>
  </si>
  <si>
    <t>J1-083</t>
  </si>
  <si>
    <t>J1-084</t>
  </si>
  <si>
    <t>J1-085</t>
  </si>
  <si>
    <t>J1-086</t>
  </si>
  <si>
    <t>J1-089</t>
  </si>
  <si>
    <t>J1-090</t>
  </si>
  <si>
    <t>J1-092</t>
  </si>
  <si>
    <t>J1-093</t>
  </si>
  <si>
    <t>J1-094</t>
  </si>
  <si>
    <t>J1-096</t>
  </si>
  <si>
    <t>K1-001</t>
  </si>
  <si>
    <t>K1-002</t>
  </si>
  <si>
    <t>K1-003</t>
  </si>
  <si>
    <t>K1-005</t>
  </si>
  <si>
    <t>K1-008</t>
  </si>
  <si>
    <t>K1-011</t>
  </si>
  <si>
    <t>K1-012</t>
  </si>
  <si>
    <t>K1-013</t>
  </si>
  <si>
    <t>K1-016</t>
  </si>
  <si>
    <t>K1-017</t>
  </si>
  <si>
    <t>K1-019</t>
  </si>
  <si>
    <t>K1-020</t>
  </si>
  <si>
    <t>K1-021</t>
  </si>
  <si>
    <t>K1-022</t>
  </si>
  <si>
    <t>K1-023</t>
  </si>
  <si>
    <t>K1-024</t>
  </si>
  <si>
    <t>K1-025</t>
  </si>
  <si>
    <t>K1-026</t>
  </si>
  <si>
    <t>K1-027</t>
  </si>
  <si>
    <t>K1-028</t>
  </si>
  <si>
    <t>K1-029</t>
  </si>
  <si>
    <t>K1-030</t>
  </si>
  <si>
    <t>K1-031</t>
  </si>
  <si>
    <t>K1-032</t>
  </si>
  <si>
    <t>K1-059</t>
  </si>
  <si>
    <t>K1-061</t>
  </si>
  <si>
    <t>K1-062</t>
  </si>
  <si>
    <t>K1-063</t>
  </si>
  <si>
    <t>K1-064</t>
  </si>
  <si>
    <t>K1-067</t>
  </si>
  <si>
    <t>K1-070</t>
  </si>
  <si>
    <t>K1-071</t>
  </si>
  <si>
    <t>K1-072</t>
  </si>
  <si>
    <t>K1-076</t>
  </si>
  <si>
    <t>K1-077</t>
  </si>
  <si>
    <t>K1-080</t>
  </si>
  <si>
    <t>K1-082</t>
  </si>
  <si>
    <t>K1-083</t>
  </si>
  <si>
    <t>K1-084</t>
  </si>
  <si>
    <t>K1-085</t>
  </si>
  <si>
    <t>K1-086</t>
  </si>
  <si>
    <t>K1-087</t>
  </si>
  <si>
    <t>K1-088</t>
  </si>
  <si>
    <t>K1-089</t>
  </si>
  <si>
    <t>K1-090</t>
  </si>
  <si>
    <t>K1-091</t>
  </si>
  <si>
    <t>K1-092</t>
  </si>
  <si>
    <t>K1-094</t>
  </si>
  <si>
    <t>K1-097</t>
  </si>
  <si>
    <t>K1-106</t>
  </si>
  <si>
    <t>K1-107</t>
  </si>
  <si>
    <t>K1-108</t>
  </si>
  <si>
    <t>K1-109</t>
  </si>
  <si>
    <t>K1-110</t>
  </si>
  <si>
    <t>L1-001</t>
  </si>
  <si>
    <t>L1-003</t>
  </si>
  <si>
    <t>L1-004</t>
  </si>
  <si>
    <t>L1-005</t>
  </si>
  <si>
    <t>L1-006</t>
  </si>
  <si>
    <t>L1-007</t>
  </si>
  <si>
    <t>L1-008</t>
  </si>
  <si>
    <t>L1-009</t>
  </si>
  <si>
    <t>L1-010</t>
  </si>
  <si>
    <t>L1-011</t>
  </si>
  <si>
    <t>L1-012</t>
  </si>
  <si>
    <t>L1-013</t>
  </si>
  <si>
    <t>L1-014</t>
  </si>
  <si>
    <t>L1-015</t>
  </si>
  <si>
    <t>L1-016</t>
  </si>
  <si>
    <t>L1-017</t>
  </si>
  <si>
    <t>L1-020</t>
  </si>
  <si>
    <t>L1-021</t>
  </si>
  <si>
    <t>L1-022</t>
  </si>
  <si>
    <t>L1-023</t>
  </si>
  <si>
    <t>L1-024</t>
  </si>
  <si>
    <t>L1-025</t>
  </si>
  <si>
    <t>L1-026</t>
  </si>
  <si>
    <t>L1-027</t>
  </si>
  <si>
    <t>L1-028</t>
  </si>
  <si>
    <t>L1-029</t>
  </si>
  <si>
    <t>L1-030</t>
  </si>
  <si>
    <t>L1-031</t>
  </si>
  <si>
    <t>L1-032</t>
  </si>
  <si>
    <t>L1-033</t>
  </si>
  <si>
    <t>L1-034</t>
  </si>
  <si>
    <t>L1-035</t>
  </si>
  <si>
    <t>L1-036</t>
  </si>
  <si>
    <t>L1-037</t>
  </si>
  <si>
    <t>L1-038</t>
  </si>
  <si>
    <t>L1-039</t>
  </si>
  <si>
    <t>L1-040</t>
  </si>
  <si>
    <t>L1-041</t>
  </si>
  <si>
    <t>L1-042</t>
  </si>
  <si>
    <t>L1-043</t>
  </si>
  <si>
    <t>L1-044</t>
  </si>
  <si>
    <t>L1-045</t>
  </si>
  <si>
    <t>L1-046</t>
  </si>
  <si>
    <t>L1-047</t>
  </si>
  <si>
    <t>L1-048</t>
  </si>
  <si>
    <t>L1-049</t>
  </si>
  <si>
    <t>L1-050</t>
  </si>
  <si>
    <t>L1-051</t>
  </si>
  <si>
    <t>L1-054</t>
  </si>
  <si>
    <t>L1-055</t>
  </si>
  <si>
    <t>L1-057</t>
  </si>
  <si>
    <t>L1-059</t>
  </si>
  <si>
    <t>L1-060</t>
  </si>
  <si>
    <t>L1-061</t>
  </si>
  <si>
    <t>L1-062</t>
  </si>
  <si>
    <t>L1-063</t>
  </si>
  <si>
    <t>L1-069</t>
  </si>
  <si>
    <t>M1-001</t>
  </si>
  <si>
    <t>M1-002</t>
  </si>
  <si>
    <t>M1-003</t>
  </si>
  <si>
    <t>M1-004</t>
  </si>
  <si>
    <t>M1-005</t>
  </si>
  <si>
    <t>M1-006</t>
  </si>
  <si>
    <t>M1-007</t>
  </si>
  <si>
    <t>M1-008</t>
  </si>
  <si>
    <t>M1-009</t>
  </si>
  <si>
    <t>M1-010</t>
  </si>
  <si>
    <t>M1-011</t>
  </si>
  <si>
    <t>M1-012</t>
  </si>
  <si>
    <t>M1-013</t>
  </si>
  <si>
    <t>M1-014</t>
  </si>
  <si>
    <t>M1-016</t>
  </si>
  <si>
    <t>M1-032</t>
  </si>
  <si>
    <t>M1-033</t>
  </si>
  <si>
    <t>M1-034</t>
  </si>
  <si>
    <t>M1-035</t>
  </si>
  <si>
    <t>M1-037</t>
  </si>
  <si>
    <t>M1-038</t>
  </si>
  <si>
    <t>M1-040</t>
  </si>
  <si>
    <t>M1-041</t>
  </si>
  <si>
    <t>M1-042</t>
  </si>
  <si>
    <t>M1-043</t>
  </si>
  <si>
    <t>M1-044</t>
  </si>
  <si>
    <t>M1-045</t>
  </si>
  <si>
    <t>M1-046</t>
  </si>
  <si>
    <t>M1-047</t>
  </si>
  <si>
    <t>M1-048</t>
  </si>
  <si>
    <t>M1-049</t>
  </si>
  <si>
    <t>M1-050</t>
  </si>
  <si>
    <t>M1-051</t>
  </si>
  <si>
    <t>M1-052</t>
  </si>
  <si>
    <t>M1-053</t>
  </si>
  <si>
    <t>M1-054</t>
  </si>
  <si>
    <t>M1-055</t>
  </si>
  <si>
    <t>M1-056</t>
  </si>
  <si>
    <t>M1-057</t>
  </si>
  <si>
    <t>M1-058</t>
  </si>
  <si>
    <t>M1-059</t>
  </si>
  <si>
    <t>M1-060</t>
  </si>
  <si>
    <t>M1-061</t>
  </si>
  <si>
    <t>M1-062</t>
  </si>
  <si>
    <t>M1-063</t>
  </si>
  <si>
    <t>M1-064</t>
  </si>
  <si>
    <t>M1-065</t>
  </si>
  <si>
    <t>M1-066</t>
  </si>
  <si>
    <r>
      <rPr>
        <sz val="9"/>
        <color rgb="FF000000"/>
        <rFont val="华文细黑"/>
        <family val="3"/>
        <charset val="134"/>
      </rPr>
      <t>序号</t>
    </r>
  </si>
  <si>
    <r>
      <rPr>
        <sz val="9"/>
        <color rgb="FF000000"/>
        <rFont val="华文细黑"/>
        <family val="3"/>
        <charset val="134"/>
      </rPr>
      <t>房屋所有权证号</t>
    </r>
  </si>
  <si>
    <r>
      <rPr>
        <sz val="9"/>
        <color rgb="FF000000"/>
        <rFont val="华文细黑"/>
        <family val="3"/>
        <charset val="134"/>
      </rPr>
      <t>坐落</t>
    </r>
  </si>
  <si>
    <r>
      <rPr>
        <sz val="9"/>
        <color rgb="FF000000"/>
        <rFont val="华文细黑"/>
        <family val="3"/>
        <charset val="134"/>
      </rPr>
      <t>车位号</t>
    </r>
  </si>
  <si>
    <r>
      <rPr>
        <sz val="9"/>
        <color rgb="FF000000"/>
        <rFont val="华文细黑"/>
        <family val="3"/>
        <charset val="134"/>
      </rPr>
      <t>建筑面积</t>
    </r>
  </si>
  <si>
    <r>
      <rPr>
        <sz val="9"/>
        <color rgb="FF000000"/>
        <rFont val="华文细黑"/>
        <family val="3"/>
        <charset val="134"/>
      </rPr>
      <t>用途</t>
    </r>
  </si>
  <si>
    <r>
      <rPr>
        <sz val="9"/>
        <color rgb="FF000000"/>
        <rFont val="华文细黑"/>
        <family val="3"/>
        <charset val="134"/>
      </rPr>
      <t>青年路西里</t>
    </r>
    <r>
      <rPr>
        <sz val="9"/>
        <color rgb="FF000000"/>
        <rFont val="Arial"/>
        <family val="2"/>
      </rPr>
      <t>2</t>
    </r>
    <r>
      <rPr>
        <sz val="9"/>
        <color rgb="FF000000"/>
        <rFont val="华文细黑"/>
        <family val="3"/>
        <charset val="134"/>
      </rPr>
      <t>号院</t>
    </r>
  </si>
  <si>
    <r>
      <rPr>
        <sz val="9"/>
        <color rgb="FF000000"/>
        <rFont val="华文细黑"/>
        <family val="3"/>
        <charset val="134"/>
      </rPr>
      <t>车位</t>
    </r>
  </si>
  <si>
    <r>
      <rPr>
        <sz val="9"/>
        <color rgb="FF000000"/>
        <rFont val="华文细黑"/>
        <family val="3"/>
        <charset val="134"/>
      </rPr>
      <t>青年路西里</t>
    </r>
    <r>
      <rPr>
        <sz val="9"/>
        <color rgb="FF000000"/>
        <rFont val="Arial"/>
        <family val="2"/>
      </rPr>
      <t>3</t>
    </r>
    <r>
      <rPr>
        <sz val="9"/>
        <color rgb="FF000000"/>
        <rFont val="华文细黑"/>
        <family val="3"/>
        <charset val="134"/>
      </rPr>
      <t>号院</t>
    </r>
  </si>
  <si>
    <r>
      <rPr>
        <sz val="9"/>
        <color rgb="FF000000"/>
        <rFont val="华文细黑"/>
        <family val="3"/>
        <charset val="134"/>
      </rPr>
      <t>总计</t>
    </r>
  </si>
  <si>
    <t>A区</t>
    <phoneticPr fontId="4" type="noConversion"/>
  </si>
  <si>
    <t>30-40（含）</t>
  </si>
  <si>
    <t>40-50（含）</t>
  </si>
  <si>
    <t>——</t>
    <phoneticPr fontId="141" type="noConversion"/>
  </si>
  <si>
    <t>总价（万元）</t>
    <phoneticPr fontId="141" type="noConversion"/>
  </si>
  <si>
    <t>调整系数</t>
    <phoneticPr fontId="141" type="noConversion"/>
  </si>
  <si>
    <t>建筑面积（㎡）</t>
    <phoneticPr fontId="141" type="noConversion"/>
  </si>
  <si>
    <r>
      <rPr>
        <sz val="10"/>
        <color rgb="FF000000"/>
        <rFont val="华文细黑"/>
        <family val="3"/>
        <charset val="134"/>
      </rPr>
      <t>坐落</t>
    </r>
  </si>
  <si>
    <r>
      <rPr>
        <sz val="10"/>
        <color rgb="FF000000"/>
        <rFont val="华文细黑"/>
        <family val="3"/>
        <charset val="134"/>
      </rPr>
      <t>车位号</t>
    </r>
  </si>
  <si>
    <r>
      <rPr>
        <sz val="10"/>
        <color theme="1"/>
        <rFont val="宋体"/>
        <family val="3"/>
        <charset val="134"/>
      </rPr>
      <t>修正单价（元</t>
    </r>
    <r>
      <rPr>
        <sz val="10"/>
        <color theme="1"/>
        <rFont val="Arial"/>
        <family val="2"/>
      </rPr>
      <t>/</t>
    </r>
    <r>
      <rPr>
        <sz val="10"/>
        <color theme="1"/>
        <rFont val="宋体"/>
        <family val="3"/>
        <charset val="134"/>
      </rPr>
      <t>㎡）</t>
    </r>
    <phoneticPr fontId="141" type="noConversion"/>
  </si>
  <si>
    <r>
      <rPr>
        <sz val="10"/>
        <color rgb="FF000000"/>
        <rFont val="华文细黑"/>
        <family val="3"/>
        <charset val="134"/>
      </rPr>
      <t>青年路西里</t>
    </r>
    <r>
      <rPr>
        <sz val="10"/>
        <color rgb="FF000000"/>
        <rFont val="Arial"/>
        <family val="2"/>
      </rPr>
      <t>2</t>
    </r>
    <r>
      <rPr>
        <sz val="10"/>
        <color rgb="FF000000"/>
        <rFont val="华文细黑"/>
        <family val="3"/>
        <charset val="134"/>
      </rPr>
      <t>号院</t>
    </r>
  </si>
  <si>
    <r>
      <rPr>
        <sz val="10"/>
        <color rgb="FF000000"/>
        <rFont val="华文细黑"/>
        <family val="3"/>
        <charset val="134"/>
      </rPr>
      <t>青年路西里</t>
    </r>
    <r>
      <rPr>
        <sz val="10"/>
        <color rgb="FF000000"/>
        <rFont val="Arial"/>
        <family val="2"/>
      </rPr>
      <t>3</t>
    </r>
    <r>
      <rPr>
        <sz val="10"/>
        <color rgb="FF000000"/>
        <rFont val="华文细黑"/>
        <family val="3"/>
        <charset val="134"/>
      </rPr>
      <t>号院</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</si>
</sst>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indexed="8"/>
      <name val="宋体"/>
      <family val="3"/>
      <charset val="134"/>
    </font>
    <font>
      <sz val="9"/>
      <name val="宋体"/>
      <family val="2"/>
      <charset val="134"/>
      <scheme val="minor"/>
    </font>
    <font>
      <sz val="10"/>
      <color indexed="8"/>
      <name val="宋体"/>
      <family val="3"/>
      <charset val="134"/>
      <scheme val="minor"/>
    </font>
    <font>
      <b/>
      <sz val="10.5"/>
      <color indexed="8"/>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sz val="9"/>
      <color rgb="FFE36C0A"/>
      <name val="Arial"/>
      <family val="2"/>
    </font>
    <font>
      <sz val="9"/>
      <color indexed="8"/>
      <name val="宋体"/>
      <family val="3"/>
      <charset val="134"/>
      <scheme val="minor"/>
    </font>
    <font>
      <sz val="9"/>
      <color rgb="FF000000"/>
      <name val="华文细黑"/>
      <family val="3"/>
      <charset val="134"/>
    </font>
    <font>
      <sz val="9"/>
      <color rgb="FF000000"/>
      <name val="Arial"/>
      <family val="2"/>
    </font>
    <font>
      <sz val="10"/>
      <color rgb="FF00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medium">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1" fillId="0" borderId="0">
      <alignment vertical="center"/>
    </xf>
  </cellStyleXfs>
  <cellXfs count="36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256" fillId="0" borderId="47" xfId="18" applyFont="1" applyFill="1" applyBorder="1" applyAlignment="1">
      <alignment vertical="center"/>
    </xf>
    <xf numFmtId="0" fontId="153" fillId="0" borderId="0" xfId="18" applyFont="1" applyFill="1" applyBorder="1" applyAlignment="1">
      <alignment horizontal="center" vertical="center"/>
    </xf>
    <xf numFmtId="0" fontId="184" fillId="6" borderId="160" xfId="17" applyFont="1" applyFill="1" applyBorder="1" applyAlignment="1">
      <alignment horizontal="center" vertical="center" wrapText="1"/>
    </xf>
    <xf numFmtId="0" fontId="184" fillId="6" borderId="161" xfId="17" applyFont="1" applyFill="1" applyBorder="1" applyAlignment="1">
      <alignment horizontal="center" vertical="center" wrapText="1"/>
    </xf>
    <xf numFmtId="43" fontId="184" fillId="6" borderId="161" xfId="17" applyNumberFormat="1" applyFont="1" applyFill="1" applyBorder="1" applyAlignment="1">
      <alignment horizontal="center" vertical="center" wrapText="1"/>
    </xf>
    <xf numFmtId="0" fontId="258" fillId="0" borderId="162" xfId="17" applyFont="1" applyFill="1" applyBorder="1" applyAlignment="1">
      <alignment horizontal="center" vertical="center" wrapText="1"/>
    </xf>
    <xf numFmtId="0" fontId="258" fillId="0" borderId="163" xfId="17" applyFont="1" applyFill="1" applyBorder="1" applyAlignment="1">
      <alignment horizontal="center" vertical="center" wrapText="1"/>
    </xf>
    <xf numFmtId="2" fontId="259" fillId="6" borderId="163" xfId="17" applyNumberFormat="1" applyFont="1" applyFill="1" applyBorder="1" applyAlignment="1">
      <alignment horizontal="center" vertical="center" wrapText="1"/>
    </xf>
    <xf numFmtId="43" fontId="259" fillId="6" borderId="163" xfId="17" applyNumberFormat="1" applyFont="1" applyFill="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80" fillId="2" borderId="4"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43" fontId="63" fillId="0" borderId="1" xfId="0" applyNumberFormat="1"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protection locked="0"/>
    </xf>
    <xf numFmtId="0" fontId="99" fillId="0" borderId="0" xfId="0" applyFont="1">
      <alignment vertical="center"/>
    </xf>
    <xf numFmtId="49" fontId="135"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54" fillId="12" borderId="0" xfId="0" applyNumberFormat="1" applyFont="1" applyFill="1" applyAlignment="1" applyProtection="1">
      <alignment horizontal="center" vertical="center"/>
      <protection locked="0"/>
    </xf>
    <xf numFmtId="10" fontId="47" fillId="0" borderId="37" xfId="0" applyNumberFormat="1" applyFont="1" applyFill="1" applyBorder="1" applyAlignment="1" applyProtection="1">
      <alignment horizontal="center" vertical="center" wrapText="1"/>
      <protection locked="0"/>
    </xf>
    <xf numFmtId="0" fontId="20" fillId="5" borderId="0" xfId="0" applyFont="1" applyFill="1" applyBorder="1" applyAlignment="1" applyProtection="1">
      <alignment horizontal="center" vertical="center"/>
      <protection locked="0"/>
    </xf>
    <xf numFmtId="43" fontId="0" fillId="0" borderId="0" xfId="0" applyNumberFormat="1">
      <alignment vertical="center"/>
    </xf>
    <xf numFmtId="0" fontId="260" fillId="0" borderId="169" xfId="0" applyFont="1" applyBorder="1" applyAlignment="1">
      <alignment vertical="center" wrapText="1"/>
    </xf>
    <xf numFmtId="0" fontId="112" fillId="0" borderId="0" xfId="0" applyFont="1">
      <alignment vertical="center"/>
    </xf>
    <xf numFmtId="0" fontId="112" fillId="0" borderId="1" xfId="0" applyFont="1" applyBorder="1">
      <alignment vertical="center"/>
    </xf>
    <xf numFmtId="0" fontId="258" fillId="0" borderId="1" xfId="17" applyFont="1" applyFill="1" applyBorder="1" applyAlignment="1">
      <alignment horizontal="center" vertical="center" wrapText="1"/>
    </xf>
    <xf numFmtId="43" fontId="258" fillId="0" borderId="1" xfId="17" applyNumberFormat="1" applyFont="1" applyFill="1" applyBorder="1" applyAlignment="1">
      <alignment horizontal="center" vertical="center" wrapText="1"/>
    </xf>
    <xf numFmtId="43" fontId="112" fillId="0" borderId="1" xfId="0" applyNumberFormat="1" applyFont="1" applyBorder="1">
      <alignment vertical="center"/>
    </xf>
    <xf numFmtId="181" fontId="47" fillId="20" borderId="5" xfId="0" applyNumberFormat="1" applyFont="1" applyFill="1" applyBorder="1" applyAlignment="1" applyProtection="1">
      <alignment vertical="center"/>
      <protection locked="0"/>
    </xf>
    <xf numFmtId="0" fontId="47" fillId="20" borderId="24" xfId="0" applyFont="1" applyFill="1" applyBorder="1" applyAlignment="1" applyProtection="1">
      <alignment horizontal="center" vertical="center"/>
      <protection locked="0"/>
    </xf>
    <xf numFmtId="0" fontId="266" fillId="0" borderId="1" xfId="0" applyNumberFormat="1" applyFont="1" applyBorder="1" applyAlignment="1">
      <alignment horizontal="left" vertical="center"/>
    </xf>
    <xf numFmtId="0" fontId="266" fillId="0" borderId="1" xfId="0" applyNumberFormat="1" applyFont="1" applyBorder="1" applyAlignment="1">
      <alignment horizontal="left" vertical="center" wrapText="1"/>
    </xf>
    <xf numFmtId="0" fontId="103" fillId="0" borderId="0" xfId="0" applyNumberFormat="1" applyFont="1" applyAlignment="1">
      <alignment horizontal="left" vertical="center"/>
    </xf>
    <xf numFmtId="0" fontId="58" fillId="0" borderId="1" xfId="17" applyNumberFormat="1" applyFont="1" applyFill="1" applyBorder="1" applyAlignment="1">
      <alignment horizontal="left" vertical="center" wrapText="1"/>
    </xf>
    <xf numFmtId="0" fontId="264" fillId="0" borderId="0" xfId="17" applyFont="1" applyFill="1" applyBorder="1" applyAlignment="1">
      <alignment horizontal="center" vertical="center" wrapText="1"/>
    </xf>
    <xf numFmtId="0" fontId="0" fillId="0" borderId="0" xfId="0" applyBorder="1">
      <alignment vertical="center"/>
    </xf>
    <xf numFmtId="43" fontId="264" fillId="0" borderId="0" xfId="17" applyNumberFormat="1" applyFont="1" applyFill="1" applyBorder="1" applyAlignment="1">
      <alignment horizontal="center" vertical="center" wrapText="1"/>
    </xf>
    <xf numFmtId="43" fontId="47" fillId="8" borderId="1" xfId="0" applyNumberFormat="1" applyFont="1" applyFill="1" applyBorder="1" applyAlignment="1" applyProtection="1">
      <alignment vertical="center"/>
    </xf>
    <xf numFmtId="43" fontId="47" fillId="6" borderId="1" xfId="0" applyNumberFormat="1" applyFont="1" applyFill="1" applyBorder="1" applyAlignment="1" applyProtection="1">
      <alignment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2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60" fillId="0" borderId="171" xfId="0" applyFont="1" applyBorder="1" applyAlignment="1">
      <alignment vertical="center" wrapText="1"/>
    </xf>
    <xf numFmtId="0" fontId="260" fillId="0" borderId="170" xfId="0" applyFont="1" applyBorder="1" applyAlignment="1">
      <alignment vertical="center" wrapText="1"/>
    </xf>
    <xf numFmtId="0" fontId="256" fillId="0" borderId="0" xfId="17" applyFont="1" applyFill="1" applyBorder="1" applyAlignment="1">
      <alignment horizontal="center" vertical="center"/>
    </xf>
    <xf numFmtId="0" fontId="259" fillId="6" borderId="164" xfId="17" applyFont="1" applyFill="1" applyBorder="1" applyAlignment="1">
      <alignment horizontal="center" vertical="center" wrapText="1"/>
    </xf>
    <xf numFmtId="0" fontId="259" fillId="6" borderId="165" xfId="17" applyFont="1" applyFill="1" applyBorder="1" applyAlignment="1">
      <alignment horizontal="center" vertical="center" wrapText="1"/>
    </xf>
    <xf numFmtId="0" fontId="259" fillId="6" borderId="166" xfId="17" applyFont="1" applyFill="1" applyBorder="1" applyAlignment="1">
      <alignment horizontal="center" vertical="center" wrapText="1"/>
    </xf>
    <xf numFmtId="0" fontId="260" fillId="0" borderId="167" xfId="0" applyFont="1" applyBorder="1" applyAlignment="1">
      <alignment vertical="center" wrapText="1"/>
    </xf>
    <xf numFmtId="0" fontId="260" fillId="0" borderId="168" xfId="0" applyFont="1" applyBorder="1" applyAlignment="1">
      <alignment vertical="center" wrapText="1"/>
    </xf>
    <xf numFmtId="0" fontId="261" fillId="0" borderId="167" xfId="0" applyFont="1" applyBorder="1" applyAlignment="1">
      <alignment vertical="center" wrapText="1"/>
    </xf>
    <xf numFmtId="0" fontId="261" fillId="0" borderId="168" xfId="0" applyFont="1" applyBorder="1" applyAlignment="1">
      <alignment vertical="center" wrapText="1"/>
    </xf>
    <xf numFmtId="0" fontId="112" fillId="0" borderId="1" xfId="0" applyFont="1" applyBorder="1" applyAlignment="1">
      <alignment horizontal="center" vertical="center"/>
    </xf>
    <xf numFmtId="0" fontId="266" fillId="0" borderId="1" xfId="0" applyNumberFormat="1" applyFont="1" applyBorder="1" applyAlignment="1">
      <alignment horizontal="left" vertical="center" wrapText="1"/>
    </xf>
    <xf numFmtId="0" fontId="266" fillId="0" borderId="1" xfId="0" applyNumberFormat="1" applyFont="1" applyBorder="1" applyAlignment="1">
      <alignment horizontal="left" vertical="center"/>
    </xf>
    <xf numFmtId="0" fontId="266" fillId="0" borderId="13" xfId="0" applyNumberFormat="1" applyFont="1" applyBorder="1" applyAlignment="1">
      <alignment horizontal="left" vertical="center"/>
    </xf>
    <xf numFmtId="0" fontId="266" fillId="0" borderId="15" xfId="0" applyNumberFormat="1" applyFont="1" applyBorder="1" applyAlignment="1">
      <alignment horizontal="left" vertical="center"/>
    </xf>
    <xf numFmtId="0" fontId="266" fillId="0" borderId="2" xfId="0" applyNumberFormat="1" applyFont="1" applyBorder="1" applyAlignment="1">
      <alignment horizontal="left" vertical="center"/>
    </xf>
    <xf numFmtId="0" fontId="266" fillId="0" borderId="5" xfId="0" applyNumberFormat="1" applyFont="1" applyBorder="1" applyAlignment="1">
      <alignment horizontal="left" vertical="center" wrapText="1"/>
    </xf>
    <xf numFmtId="0" fontId="266" fillId="0" borderId="3" xfId="0" applyNumberFormat="1" applyFont="1" applyBorder="1" applyAlignment="1">
      <alignment horizontal="left" vertical="center" wrapText="1"/>
    </xf>
    <xf numFmtId="0" fontId="104" fillId="0" borderId="1" xfId="0" applyNumberFormat="1" applyFont="1" applyBorder="1" applyAlignment="1">
      <alignment horizontal="left" vertical="center" wrapText="1"/>
    </xf>
    <xf numFmtId="0" fontId="171" fillId="0" borderId="1" xfId="0" applyNumberFormat="1" applyFont="1" applyBorder="1" applyAlignment="1">
      <alignment horizontal="left" vertical="center"/>
    </xf>
    <xf numFmtId="0" fontId="171" fillId="0" borderId="1" xfId="0" applyNumberFormat="1" applyFont="1" applyBorder="1" applyAlignment="1">
      <alignment horizontal="left" vertical="center"/>
    </xf>
    <xf numFmtId="0" fontId="267" fillId="0" borderId="1" xfId="0" applyNumberFormat="1" applyFont="1" applyBorder="1" applyAlignment="1">
      <alignment horizontal="left" vertical="center"/>
    </xf>
    <xf numFmtId="0" fontId="129" fillId="0" borderId="1" xfId="0" applyNumberFormat="1" applyFont="1" applyBorder="1" applyAlignment="1">
      <alignment horizontal="left" vertical="center"/>
    </xf>
    <xf numFmtId="0" fontId="104" fillId="0" borderId="1" xfId="0" applyNumberFormat="1" applyFont="1" applyBorder="1" applyAlignment="1">
      <alignment horizontal="left" vertical="center"/>
    </xf>
    <xf numFmtId="0" fontId="104" fillId="0" borderId="0" xfId="0" applyNumberFormat="1" applyFont="1" applyAlignment="1">
      <alignment horizontal="left" vertical="center"/>
    </xf>
    <xf numFmtId="0" fontId="171" fillId="0" borderId="1" xfId="0" applyNumberFormat="1" applyFont="1" applyBorder="1" applyAlignment="1">
      <alignment horizontal="left" vertical="center" wrapText="1"/>
    </xf>
    <xf numFmtId="0" fontId="50" fillId="0" borderId="1" xfId="17" applyNumberFormat="1" applyFont="1" applyFill="1" applyBorder="1" applyAlignment="1">
      <alignment horizontal="left" vertical="center" wrapText="1"/>
    </xf>
    <xf numFmtId="0" fontId="170" fillId="0" borderId="1" xfId="0" applyNumberFormat="1" applyFont="1" applyBorder="1" applyAlignment="1">
      <alignment horizontal="left" vertical="center"/>
    </xf>
    <xf numFmtId="0" fontId="171" fillId="0" borderId="1" xfId="0" applyNumberFormat="1" applyFont="1" applyBorder="1" applyAlignment="1">
      <alignment horizontal="left" vertical="center" wrapText="1"/>
    </xf>
    <xf numFmtId="0" fontId="171" fillId="0" borderId="0" xfId="0" applyNumberFormat="1" applyFont="1" applyBorder="1" applyAlignment="1">
      <alignment horizontal="left" vertical="center"/>
    </xf>
    <xf numFmtId="0" fontId="171" fillId="0" borderId="0" xfId="0" applyNumberFormat="1" applyFont="1" applyBorder="1" applyAlignment="1">
      <alignment horizontal="left" vertical="center" wrapText="1"/>
    </xf>
    <xf numFmtId="43" fontId="50" fillId="7" borderId="0" xfId="0" applyNumberFormat="1" applyFont="1" applyFill="1" applyProtection="1">
      <alignment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 2 3 3 2" xfId="18"/>
    <cellStyle name="常规 7 2 3 5" xfId="1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456201</xdr:colOff>
      <xdr:row>33</xdr:row>
      <xdr:rowOff>18341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00001" cy="5676191"/>
        </a:xfrm>
        <a:prstGeom prst="rect">
          <a:avLst/>
        </a:prstGeom>
      </xdr:spPr>
    </xdr:pic>
    <xdr:clientData/>
  </xdr:twoCellAnchor>
  <xdr:twoCellAnchor editAs="oneCell">
    <xdr:from>
      <xdr:col>0</xdr:col>
      <xdr:colOff>0</xdr:colOff>
      <xdr:row>33</xdr:row>
      <xdr:rowOff>0</xdr:rowOff>
    </xdr:from>
    <xdr:to>
      <xdr:col>11</xdr:col>
      <xdr:colOff>522867</xdr:colOff>
      <xdr:row>71</xdr:row>
      <xdr:rowOff>103948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8066667" cy="6619048"/>
        </a:xfrm>
        <a:prstGeom prst="rect">
          <a:avLst/>
        </a:prstGeom>
      </xdr:spPr>
    </xdr:pic>
    <xdr:clientData/>
  </xdr:twoCellAnchor>
  <xdr:twoCellAnchor editAs="oneCell">
    <xdr:from>
      <xdr:col>0</xdr:col>
      <xdr:colOff>0</xdr:colOff>
      <xdr:row>72</xdr:row>
      <xdr:rowOff>0</xdr:rowOff>
    </xdr:from>
    <xdr:to>
      <xdr:col>11</xdr:col>
      <xdr:colOff>465724</xdr:colOff>
      <xdr:row>115</xdr:row>
      <xdr:rowOff>37174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8009524" cy="7409524"/>
        </a:xfrm>
        <a:prstGeom prst="rect">
          <a:avLst/>
        </a:prstGeom>
      </xdr:spPr>
    </xdr:pic>
    <xdr:clientData/>
  </xdr:twoCellAnchor>
  <xdr:twoCellAnchor editAs="oneCell">
    <xdr:from>
      <xdr:col>0</xdr:col>
      <xdr:colOff>0</xdr:colOff>
      <xdr:row>116</xdr:row>
      <xdr:rowOff>0</xdr:rowOff>
    </xdr:from>
    <xdr:to>
      <xdr:col>11</xdr:col>
      <xdr:colOff>275248</xdr:colOff>
      <xdr:row>150</xdr:row>
      <xdr:rowOff>27843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888200"/>
          <a:ext cx="7819048"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503820</xdr:colOff>
      <xdr:row>40</xdr:row>
      <xdr:rowOff>65810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47620" cy="6923810"/>
        </a:xfrm>
        <a:prstGeom prst="rect">
          <a:avLst/>
        </a:prstGeom>
      </xdr:spPr>
    </xdr:pic>
    <xdr:clientData/>
  </xdr:twoCellAnchor>
  <xdr:twoCellAnchor editAs="oneCell">
    <xdr:from>
      <xdr:col>0</xdr:col>
      <xdr:colOff>0</xdr:colOff>
      <xdr:row>41</xdr:row>
      <xdr:rowOff>0</xdr:rowOff>
    </xdr:from>
    <xdr:to>
      <xdr:col>11</xdr:col>
      <xdr:colOff>446677</xdr:colOff>
      <xdr:row>80</xdr:row>
      <xdr:rowOff>132498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7990477" cy="6819048"/>
        </a:xfrm>
        <a:prstGeom prst="rect">
          <a:avLst/>
        </a:prstGeom>
      </xdr:spPr>
    </xdr:pic>
    <xdr:clientData/>
  </xdr:twoCellAnchor>
  <xdr:twoCellAnchor editAs="oneCell">
    <xdr:from>
      <xdr:col>0</xdr:col>
      <xdr:colOff>0</xdr:colOff>
      <xdr:row>81</xdr:row>
      <xdr:rowOff>0</xdr:rowOff>
    </xdr:from>
    <xdr:to>
      <xdr:col>11</xdr:col>
      <xdr:colOff>675248</xdr:colOff>
      <xdr:row>124</xdr:row>
      <xdr:rowOff>141936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87450"/>
          <a:ext cx="8219048" cy="7514286"/>
        </a:xfrm>
        <a:prstGeom prst="rect">
          <a:avLst/>
        </a:prstGeom>
      </xdr:spPr>
    </xdr:pic>
    <xdr:clientData/>
  </xdr:twoCellAnchor>
  <xdr:twoCellAnchor editAs="oneCell">
    <xdr:from>
      <xdr:col>0</xdr:col>
      <xdr:colOff>19050</xdr:colOff>
      <xdr:row>124</xdr:row>
      <xdr:rowOff>76200</xdr:rowOff>
    </xdr:from>
    <xdr:to>
      <xdr:col>15</xdr:col>
      <xdr:colOff>360597</xdr:colOff>
      <xdr:row>170</xdr:row>
      <xdr:rowOff>46643</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21336000"/>
          <a:ext cx="10828572" cy="7857143"/>
        </a:xfrm>
        <a:prstGeom prst="rect">
          <a:avLst/>
        </a:prstGeom>
      </xdr:spPr>
    </xdr:pic>
    <xdr:clientData/>
  </xdr:twoCellAnchor>
  <xdr:twoCellAnchor editAs="oneCell">
    <xdr:from>
      <xdr:col>0</xdr:col>
      <xdr:colOff>0</xdr:colOff>
      <xdr:row>173</xdr:row>
      <xdr:rowOff>0</xdr:rowOff>
    </xdr:from>
    <xdr:to>
      <xdr:col>14</xdr:col>
      <xdr:colOff>294014</xdr:colOff>
      <xdr:row>210</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9660850"/>
          <a:ext cx="10095239" cy="6466667"/>
        </a:xfrm>
        <a:prstGeom prst="rect">
          <a:avLst/>
        </a:prstGeom>
      </xdr:spPr>
    </xdr:pic>
    <xdr:clientData/>
  </xdr:twoCellAnchor>
  <xdr:twoCellAnchor editAs="oneCell">
    <xdr:from>
      <xdr:col>0</xdr:col>
      <xdr:colOff>0</xdr:colOff>
      <xdr:row>211</xdr:row>
      <xdr:rowOff>0</xdr:rowOff>
    </xdr:from>
    <xdr:to>
      <xdr:col>12</xdr:col>
      <xdr:colOff>84686</xdr:colOff>
      <xdr:row>251</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6175950"/>
          <a:ext cx="8314286" cy="6904762"/>
        </a:xfrm>
        <a:prstGeom prst="rect">
          <a:avLst/>
        </a:prstGeom>
      </xdr:spPr>
    </xdr:pic>
    <xdr:clientData/>
  </xdr:twoCellAnchor>
  <xdr:twoCellAnchor editAs="oneCell">
    <xdr:from>
      <xdr:col>0</xdr:col>
      <xdr:colOff>0</xdr:colOff>
      <xdr:row>252</xdr:row>
      <xdr:rowOff>0</xdr:rowOff>
    </xdr:from>
    <xdr:to>
      <xdr:col>11</xdr:col>
      <xdr:colOff>599058</xdr:colOff>
      <xdr:row>295</xdr:row>
      <xdr:rowOff>141936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3205400"/>
          <a:ext cx="8142858"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估价对象为北京市房地产，为所有。根据《国有土地使用证》[]，估价对象（分摊）出让国有建设用地使用权面积为6976.24平方米，建筑面积为32206.8900000003平方米。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估价对象为北京市房地产,属开发建设的，该项目尚在开发建设中。根据《国有土地使用证》[]，估价对象（分摊）出让国有建设用地使用权面积为6976.24平方米，规划建筑面积为32206.8900000003平方米。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2022年1月12日</v>
      </c>
    </row>
    <row r="13" spans="1:2" s="1337" customFormat="1">
      <c r="A13" s="1335" t="s">
        <v>1135</v>
      </c>
      <c r="B13" s="1336" t="str">
        <f>'预评函-1'!A18</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本次评估采用的主估价方法为基准地价系数修正法和基准地价系数修正法。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18313</v>
      </c>
    </row>
    <row r="21" spans="1:2" s="1337" customFormat="1">
      <c r="A21" s="1335" t="s">
        <v>1143</v>
      </c>
      <c r="B21" s="1336">
        <f ca="1">'预评函-2'!D7</f>
        <v>5686</v>
      </c>
    </row>
    <row r="22" spans="1:2" s="1337" customFormat="1">
      <c r="A22" s="1335" t="s">
        <v>1144</v>
      </c>
      <c r="B22" s="1336" t="str">
        <f ca="1">'预评函-2'!D6</f>
        <v>壹亿捌仟叁佰壹拾叁万元整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18313</v>
      </c>
    </row>
    <row r="31" spans="1:2" s="1337" customFormat="1">
      <c r="A31" s="1335" t="s">
        <v>1182</v>
      </c>
      <c r="B31" s="1336">
        <f ca="1">'预评函-2'!D15</f>
        <v>5686</v>
      </c>
    </row>
    <row r="32" spans="1:2" s="1337" customFormat="1">
      <c r="A32" s="1335" t="s">
        <v>1149</v>
      </c>
      <c r="B32" s="1336" t="str">
        <f ca="1">'预评函-2'!D14</f>
        <v>壹亿捌仟叁佰壹拾叁万元整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32206.89000000029</v>
      </c>
    </row>
    <row r="44" spans="1:2" s="1337" customFormat="1">
      <c r="A44" s="1335" t="s">
        <v>1181</v>
      </c>
      <c r="B44" s="1336" t="str">
        <f>'预评函-3'!C2</f>
        <v>(分摊)土地面积</v>
      </c>
    </row>
    <row r="45" spans="1:2" s="1337" customFormat="1">
      <c r="A45" s="1335" t="s">
        <v>1153</v>
      </c>
      <c r="B45" s="1336">
        <f>'预评函-3'!C4</f>
        <v>6976.24</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2976</v>
      </c>
      <c r="C17" s="1702"/>
    </row>
    <row r="18" spans="1:3">
      <c r="A18" s="1701" t="s">
        <v>1672</v>
      </c>
      <c r="B18" s="1701" t="s">
        <v>3120</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0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709" t="s">
        <v>832</v>
      </c>
      <c r="C54" s="1706" t="s">
        <v>1189</v>
      </c>
    </row>
    <row r="55" spans="1:4">
      <c r="A55" s="3305"/>
      <c r="B55" s="1709" t="s">
        <v>833</v>
      </c>
      <c r="C55" s="1706" t="s">
        <v>1190</v>
      </c>
    </row>
    <row r="56" spans="1:4">
      <c r="A56" s="3305"/>
      <c r="B56" s="1709" t="s">
        <v>834</v>
      </c>
      <c r="C56" s="1706" t="s">
        <v>1194</v>
      </c>
    </row>
    <row r="57" spans="1:4">
      <c r="A57" s="330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10" zoomScaleNormal="100" zoomScaleSheetLayoutView="100" workbookViewId="0">
      <selection activeCell="H13" sqref="H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4"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06" t="str">
        <f>IF(B10="北京市","北京市",C10)&amp;F10&amp;IF(结果表!G1="在建","出让国有建设用地使用权及在建建筑物",IF(结果表!G1="土地","出让国有建设用地使用权",))&amp;B9&amp;"预评估"</f>
        <v>北京市房地产抵押价值预评估</v>
      </c>
      <c r="C1" s="3307"/>
      <c r="D1" s="3307"/>
      <c r="E1" s="3307"/>
      <c r="F1" s="3307"/>
      <c r="G1" s="3307"/>
      <c r="H1" s="3307"/>
      <c r="I1" s="3308"/>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44573</v>
      </c>
      <c r="E3" s="2859"/>
      <c r="F3" s="2859"/>
      <c r="G3" s="2859"/>
      <c r="H3" s="2859"/>
      <c r="I3" s="2859"/>
      <c r="J3" s="2666"/>
      <c r="K3" s="2561"/>
      <c r="L3" s="2562"/>
      <c r="M3" s="2562"/>
      <c r="N3" s="2563"/>
      <c r="O3" s="1731"/>
      <c r="P3" s="2563"/>
      <c r="Q3" s="2563"/>
      <c r="R3" s="2563"/>
      <c r="S3" s="1838"/>
      <c r="T3" s="1900"/>
      <c r="U3" s="1900"/>
      <c r="V3" s="1900"/>
      <c r="W3" s="1900"/>
      <c r="X3" s="1900"/>
      <c r="Y3" s="1900"/>
      <c r="Z3" s="1900"/>
      <c r="AA3" s="1900"/>
      <c r="AB3" s="1900"/>
    </row>
    <row r="4" spans="1:28" ht="13.5" thickBot="1">
      <c r="A4" s="1222" t="s">
        <v>2855</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1"/>
      <c r="P4" s="2563"/>
      <c r="Q4" s="2563"/>
      <c r="R4" s="2563"/>
      <c r="S4" s="1838"/>
      <c r="T4" s="1900"/>
      <c r="U4" s="1900"/>
      <c r="V4" s="1900"/>
      <c r="W4" s="1900"/>
      <c r="X4" s="1900"/>
      <c r="Y4" s="1900"/>
      <c r="Z4" s="1900"/>
      <c r="AA4" s="1900"/>
      <c r="AB4" s="1900"/>
    </row>
    <row r="5" spans="1:28" ht="13.5" thickTop="1">
      <c r="A5" s="2572" t="s">
        <v>2856</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0"/>
      <c r="T5" s="1900"/>
      <c r="U5" s="1900"/>
      <c r="V5" s="1900"/>
      <c r="W5" s="1900"/>
      <c r="X5" s="1900"/>
      <c r="Y5" s="1900"/>
      <c r="Z5" s="1900"/>
      <c r="AA5" s="1900"/>
      <c r="AB5" s="1900"/>
    </row>
    <row r="6" spans="1:28">
      <c r="A6" s="2576" t="s">
        <v>2857</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2858</v>
      </c>
      <c r="B7" s="2580"/>
      <c r="C7" s="2578"/>
      <c r="D7" s="2579"/>
      <c r="E7" s="2858"/>
      <c r="F7" s="2860"/>
      <c r="G7" s="2860"/>
      <c r="H7" s="2860"/>
      <c r="I7" s="2860"/>
      <c r="J7" s="2634"/>
      <c r="K7" s="2811"/>
      <c r="L7" s="2808"/>
      <c r="M7" s="2808"/>
      <c r="N7" s="2634"/>
      <c r="O7" s="2645"/>
      <c r="P7" s="2634"/>
      <c r="Q7" s="2634"/>
      <c r="R7" s="2634"/>
    </row>
    <row r="8" spans="1:28">
      <c r="A8" s="2581" t="s">
        <v>2859</v>
      </c>
      <c r="B8" s="2582" t="s">
        <v>3126</v>
      </c>
      <c r="C8" s="2583"/>
      <c r="D8" s="3309" t="s">
        <v>2860</v>
      </c>
      <c r="E8" s="2584" t="s">
        <v>3125</v>
      </c>
      <c r="F8" s="2585"/>
      <c r="G8" s="2859"/>
      <c r="H8" s="2859"/>
      <c r="I8" s="2859"/>
      <c r="J8" s="2634"/>
      <c r="K8" s="2809"/>
      <c r="L8" s="2808"/>
      <c r="M8" s="2808"/>
      <c r="N8" s="2634"/>
      <c r="O8" s="2645"/>
      <c r="P8" s="2634"/>
      <c r="Q8" s="2634"/>
      <c r="R8" s="2634"/>
    </row>
    <row r="9" spans="1:28" ht="13.5" thickBot="1">
      <c r="A9" s="2586" t="s">
        <v>2861</v>
      </c>
      <c r="B9" s="2587" t="s">
        <v>3125</v>
      </c>
      <c r="C9" s="2588"/>
      <c r="D9" s="3310"/>
      <c r="E9" s="2587"/>
      <c r="F9" s="2589"/>
      <c r="G9" s="2861"/>
      <c r="H9" s="2861"/>
      <c r="I9" s="2861"/>
      <c r="J9" s="2634"/>
      <c r="K9" s="2811"/>
      <c r="L9" s="2808"/>
      <c r="M9" s="2808"/>
      <c r="N9" s="2634"/>
      <c r="O9" s="2645"/>
      <c r="P9" s="2634"/>
      <c r="Q9" s="2634"/>
      <c r="R9" s="2634"/>
    </row>
    <row r="10" spans="1:28" ht="13.5" thickTop="1">
      <c r="A10" s="2590" t="s">
        <v>2862</v>
      </c>
      <c r="B10" s="2591" t="s">
        <v>3127</v>
      </c>
      <c r="C10" s="2592"/>
      <c r="D10" s="2575"/>
      <c r="E10" s="2593" t="s">
        <v>2863</v>
      </c>
      <c r="F10" s="2862"/>
      <c r="G10" s="2863"/>
      <c r="H10" s="2864"/>
      <c r="I10" s="2865"/>
      <c r="J10" s="2634"/>
      <c r="K10" s="2811"/>
      <c r="L10" s="2808"/>
      <c r="M10" s="2808"/>
      <c r="N10" s="2634"/>
      <c r="O10" s="2645"/>
      <c r="P10" s="2634"/>
      <c r="Q10" s="2634"/>
      <c r="R10" s="2634"/>
    </row>
    <row r="11" spans="1:28">
      <c r="A11" s="2594" t="s">
        <v>2864</v>
      </c>
      <c r="B11" s="2595" t="s">
        <v>3128</v>
      </c>
      <c r="C11" s="2596"/>
      <c r="D11" s="2597"/>
      <c r="E11" s="2563"/>
      <c r="F11" s="2563"/>
      <c r="G11" s="2563"/>
      <c r="H11" s="2563"/>
      <c r="I11" s="2563"/>
      <c r="J11" s="2634"/>
      <c r="K11" s="2811"/>
      <c r="L11" s="2808"/>
      <c r="M11" s="2808"/>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1"/>
      <c r="L12" s="2808"/>
      <c r="M12" s="2808"/>
      <c r="N12" s="2634"/>
      <c r="O12" s="2645"/>
      <c r="P12" s="2634"/>
      <c r="Q12" s="2634"/>
      <c r="R12" s="2634"/>
    </row>
    <row r="13" spans="1:28">
      <c r="A13" s="1213"/>
      <c r="B13" s="2600"/>
      <c r="C13" s="2601" t="s">
        <v>2873</v>
      </c>
      <c r="D13" s="965"/>
      <c r="E13" s="965"/>
      <c r="F13" s="965"/>
      <c r="G13" s="965">
        <v>56354</v>
      </c>
      <c r="H13" s="965"/>
      <c r="I13" s="965"/>
      <c r="J13" s="2634"/>
      <c r="K13" s="2811"/>
      <c r="L13" s="2808"/>
      <c r="M13" s="2808"/>
      <c r="N13" s="2634"/>
      <c r="O13" s="2645"/>
      <c r="P13" s="2634"/>
      <c r="Q13" s="2634"/>
      <c r="R13" s="2634"/>
    </row>
    <row r="14" spans="1:28">
      <c r="A14" s="1213"/>
      <c r="B14" s="2600"/>
      <c r="C14" s="2601" t="s">
        <v>2874</v>
      </c>
      <c r="D14" s="2602"/>
      <c r="E14" s="2602"/>
      <c r="F14" s="2602"/>
      <c r="G14" s="2602">
        <v>50</v>
      </c>
      <c r="H14" s="2602"/>
      <c r="I14" s="2602"/>
      <c r="J14" s="2634"/>
      <c r="K14" s="2812"/>
      <c r="L14" s="2808"/>
      <c r="M14" s="2808"/>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f>IF(B12="出让",IF(G13="","",ROUNDDOWN(MIN((G13-$D$3)/365,G14),2)),G14)</f>
        <v>32.270000000000003</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2876</v>
      </c>
      <c r="B16" s="3316"/>
      <c r="C16" s="3317"/>
      <c r="D16" s="3318"/>
      <c r="E16" s="2608" t="s">
        <v>2877</v>
      </c>
      <c r="F16" s="3319"/>
      <c r="G16" s="3320"/>
      <c r="H16" s="3320"/>
      <c r="I16" s="3321"/>
      <c r="J16" s="2634"/>
      <c r="K16" s="2813"/>
      <c r="L16" s="2646"/>
      <c r="M16" s="2646"/>
      <c r="N16" s="2704"/>
      <c r="O16" s="2646"/>
      <c r="P16" s="2704"/>
      <c r="Q16" s="2634"/>
      <c r="R16" s="2634"/>
    </row>
    <row r="17" spans="1:28">
      <c r="A17" s="319" t="s">
        <v>2878</v>
      </c>
      <c r="B17" s="308" t="s">
        <v>2879</v>
      </c>
      <c r="C17" s="11">
        <f>'数据-汇总表'!E3</f>
        <v>32206.89000000029</v>
      </c>
      <c r="D17" s="2514" t="s">
        <v>2880</v>
      </c>
      <c r="E17" s="3322" t="s">
        <v>2881</v>
      </c>
      <c r="F17" s="3323"/>
      <c r="G17" s="3323"/>
      <c r="H17" s="3323"/>
      <c r="I17" s="3324"/>
      <c r="J17" s="2634"/>
      <c r="K17" s="2814"/>
      <c r="L17" s="2646"/>
      <c r="M17" s="2646"/>
      <c r="N17" s="2704"/>
      <c r="O17" s="2646"/>
      <c r="P17" s="2704"/>
      <c r="Q17" s="2634"/>
      <c r="R17" s="2634"/>
      <c r="S17" s="2634"/>
      <c r="T17" s="2634"/>
      <c r="U17" s="2634"/>
      <c r="V17" s="2634"/>
    </row>
    <row r="18" spans="1:28" ht="24.75" thickBot="1">
      <c r="A18" s="2609" t="s">
        <v>2882</v>
      </c>
      <c r="B18" s="1222" t="s">
        <v>2883</v>
      </c>
      <c r="C18" s="2610">
        <f>'数据-汇总表'!D3</f>
        <v>6976.24</v>
      </c>
      <c r="D18" s="1224" t="s">
        <v>2884</v>
      </c>
      <c r="E18" s="3325" t="s">
        <v>2885</v>
      </c>
      <c r="F18" s="3326"/>
      <c r="G18" s="3326"/>
      <c r="H18" s="3326"/>
      <c r="I18" s="3327"/>
      <c r="J18" s="2634"/>
      <c r="K18" s="2814"/>
      <c r="L18" s="2646"/>
      <c r="M18" s="2646"/>
      <c r="N18" s="2704"/>
      <c r="O18" s="2646"/>
      <c r="P18" s="2704"/>
      <c r="Q18" s="2634"/>
      <c r="R18" s="2634"/>
      <c r="S18" s="2634"/>
      <c r="T18" s="2634"/>
      <c r="U18" s="2634"/>
      <c r="V18" s="2634"/>
    </row>
    <row r="19" spans="1:28" ht="37.5" thickTop="1" thickBot="1">
      <c r="A19" s="333" t="s">
        <v>1681</v>
      </c>
      <c r="B19" s="313" t="s">
        <v>2886</v>
      </c>
      <c r="C19" s="1718"/>
      <c r="D19" s="1719" t="s">
        <v>2887</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2888</v>
      </c>
      <c r="B20" s="3312" t="s">
        <v>2889</v>
      </c>
      <c r="C20" s="3313"/>
      <c r="D20" s="3314" t="s">
        <v>2890</v>
      </c>
      <c r="E20" s="3315"/>
      <c r="F20" s="2843" t="s">
        <v>1682</v>
      </c>
      <c r="G20" s="2860"/>
      <c r="H20" s="2860"/>
      <c r="I20" s="2860"/>
      <c r="J20" s="2634"/>
      <c r="K20" s="3311"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2892</v>
      </c>
      <c r="C21" s="2830" t="s">
        <v>1683</v>
      </c>
      <c r="D21" s="1723" t="s">
        <v>2893</v>
      </c>
      <c r="E21" s="2831" t="s">
        <v>1683</v>
      </c>
      <c r="F21" s="2844"/>
      <c r="G21" s="2860"/>
      <c r="H21" s="2860"/>
      <c r="I21" s="2860"/>
      <c r="J21" s="2634"/>
      <c r="K21" s="33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2894</v>
      </c>
      <c r="C22" s="2830" t="s">
        <v>1684</v>
      </c>
      <c r="D22" s="2859"/>
      <c r="E22" s="2859"/>
      <c r="F22" s="2859"/>
      <c r="G22" s="2860"/>
      <c r="H22" s="2860"/>
      <c r="I22" s="2860"/>
      <c r="J22" s="2634"/>
      <c r="K22" s="33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2895</v>
      </c>
      <c r="B23" s="2697" t="s">
        <v>2896</v>
      </c>
      <c r="C23" s="2834"/>
      <c r="D23" s="2835" t="s">
        <v>2896</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9" t="s">
        <v>2897</v>
      </c>
      <c r="B27" s="326" t="s">
        <v>2898</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9"/>
      <c r="B28" s="308" t="s">
        <v>2899</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9"/>
      <c r="B29" s="308" t="s">
        <v>2900</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30"/>
      <c r="B30" s="308" t="s">
        <v>2901</v>
      </c>
      <c r="C30" s="3331"/>
      <c r="D30" s="3332"/>
      <c r="E30" s="2860"/>
      <c r="F30" s="2860"/>
      <c r="G30" s="2860"/>
      <c r="H30" s="2860"/>
      <c r="I30" s="2860"/>
      <c r="J30" s="2634"/>
      <c r="K30" s="2811"/>
      <c r="L30" s="2808"/>
      <c r="M30" s="2808"/>
      <c r="N30" s="2634"/>
      <c r="O30" s="2645"/>
      <c r="P30" s="2634"/>
      <c r="Q30" s="2634"/>
      <c r="R30" s="2634"/>
      <c r="S30" s="2634"/>
      <c r="T30" s="2634"/>
      <c r="U30" s="2634"/>
      <c r="V30" s="2634"/>
    </row>
    <row r="31" spans="1:28">
      <c r="A31" s="3333" t="s">
        <v>2902</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334"/>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334"/>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2903</v>
      </c>
      <c r="B34" s="2183"/>
      <c r="C34" s="2183"/>
      <c r="D34" s="2183"/>
      <c r="E34" s="2183"/>
      <c r="F34" s="2183"/>
      <c r="G34" s="2183"/>
      <c r="H34" s="2183"/>
      <c r="I34" s="2860"/>
      <c r="J34" s="2634"/>
      <c r="K34" s="2622">
        <f>COUNTIF(B34:H34,"——")</f>
        <v>0</v>
      </c>
      <c r="L34" s="329" t="s">
        <v>2904</v>
      </c>
      <c r="M34" s="329" t="s">
        <v>2905</v>
      </c>
      <c r="N34" s="329" t="s">
        <v>2906</v>
      </c>
      <c r="O34" s="329" t="s">
        <v>2907</v>
      </c>
      <c r="P34" s="329" t="s">
        <v>2908</v>
      </c>
      <c r="Q34" s="329" t="s">
        <v>2909</v>
      </c>
      <c r="R34" s="329" t="s">
        <v>2910</v>
      </c>
      <c r="S34" s="3328" t="s">
        <v>2911</v>
      </c>
      <c r="T34" s="2623" t="str">
        <f>NUMBERSTRING(7-K34,1)&amp;"通"</f>
        <v>七通</v>
      </c>
      <c r="U34" s="2634"/>
      <c r="V34" s="2634"/>
    </row>
    <row r="35" spans="1:30">
      <c r="A35" s="2624"/>
      <c r="B35" s="3335" t="s">
        <v>2912</v>
      </c>
      <c r="C35" s="3335"/>
      <c r="D35" s="3335"/>
      <c r="E35" s="3335"/>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8"/>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6"/>
      <c r="G36" s="2860"/>
      <c r="H36" s="2860"/>
      <c r="I36" s="2860"/>
      <c r="J36" s="2634"/>
      <c r="K36" s="2811"/>
      <c r="L36" s="2808"/>
      <c r="M36" s="2808"/>
      <c r="N36" s="2634"/>
      <c r="O36" s="2645"/>
      <c r="P36" s="2634"/>
      <c r="Q36" s="2634"/>
      <c r="R36" s="2634"/>
      <c r="S36" s="2634"/>
      <c r="T36" s="2634"/>
      <c r="U36" s="2634"/>
      <c r="V36" s="2634"/>
    </row>
    <row r="37" spans="1:30">
      <c r="A37" s="2826" t="s">
        <v>2913</v>
      </c>
      <c r="B37" s="2626"/>
      <c r="C37" s="2626"/>
      <c r="D37" s="2626" t="s">
        <v>137</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2914</v>
      </c>
      <c r="B38" s="2627"/>
      <c r="C38" s="2627"/>
      <c r="D38" s="2627" t="s">
        <v>355</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2916</v>
      </c>
      <c r="B41" s="1912"/>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2" t="s">
        <v>2926</v>
      </c>
      <c r="K42" s="2823" t="s">
        <v>2927</v>
      </c>
      <c r="L42" s="2823" t="s">
        <v>2928</v>
      </c>
      <c r="M42" s="2823" t="s">
        <v>2929</v>
      </c>
      <c r="N42" s="2816" t="s">
        <v>2930</v>
      </c>
      <c r="O42" s="2816" t="s">
        <v>2931</v>
      </c>
      <c r="P42" s="2816" t="s">
        <v>2932</v>
      </c>
      <c r="Q42" s="2817" t="s">
        <v>2933</v>
      </c>
      <c r="R42" s="2817" t="s">
        <v>2934</v>
      </c>
      <c r="S42" s="2634"/>
      <c r="T42" s="2634"/>
      <c r="U42" s="2634"/>
      <c r="V42" s="2634"/>
    </row>
    <row r="43" spans="1:30" s="1898"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5"/>
      <c r="B51" s="1725"/>
      <c r="C51" s="1182"/>
      <c r="D51" s="1182"/>
      <c r="E51" s="1182"/>
      <c r="F51" s="1182"/>
      <c r="G51" s="1182"/>
      <c r="H51" s="1182"/>
      <c r="I51" s="1182"/>
      <c r="J51" s="2632"/>
      <c r="K51" s="2633"/>
      <c r="L51" s="2633"/>
      <c r="M51" s="1182"/>
      <c r="N51" s="1182"/>
      <c r="O51" s="1182"/>
      <c r="P51" s="1182"/>
      <c r="Q51" s="1182"/>
      <c r="R51" s="1182"/>
    </row>
    <row r="52" spans="1:22" s="1898" customFormat="1">
      <c r="A52" s="1725"/>
      <c r="B52" s="1725"/>
      <c r="C52" s="1725"/>
      <c r="D52" s="1725"/>
      <c r="E52" s="1725"/>
      <c r="F52" s="1182"/>
      <c r="G52" s="1725"/>
      <c r="H52" s="1725"/>
      <c r="I52" s="1725"/>
      <c r="J52" s="2635"/>
      <c r="K52" s="2633"/>
      <c r="L52" s="2633"/>
      <c r="M52" s="2633"/>
      <c r="N52" s="1725"/>
      <c r="O52" s="1725"/>
      <c r="P52" s="1725"/>
      <c r="Q52" s="1725"/>
      <c r="R52" s="1725"/>
    </row>
    <row r="53" spans="1:22" s="1898" customFormat="1">
      <c r="A53" s="1725"/>
      <c r="B53" s="1725"/>
      <c r="C53" s="1725"/>
      <c r="D53" s="1725"/>
      <c r="E53" s="1725"/>
      <c r="F53" s="1182"/>
      <c r="G53" s="1725"/>
      <c r="H53" s="1725"/>
      <c r="I53" s="1725"/>
      <c r="J53" s="2635"/>
      <c r="K53" s="2633"/>
      <c r="L53" s="2633"/>
      <c r="M53" s="2633"/>
      <c r="N53" s="1725"/>
      <c r="O53" s="1725"/>
      <c r="P53" s="1725"/>
      <c r="Q53" s="1725"/>
      <c r="R53" s="1725"/>
    </row>
    <row r="54" spans="1:22" s="1898" customFormat="1">
      <c r="A54" s="1725"/>
      <c r="B54" s="1725"/>
      <c r="C54" s="1725"/>
      <c r="D54" s="1725"/>
      <c r="E54" s="1725"/>
      <c r="F54" s="1182"/>
      <c r="G54" s="1725"/>
      <c r="H54" s="1725"/>
      <c r="I54" s="1725"/>
      <c r="J54" s="2635"/>
      <c r="K54" s="2633"/>
      <c r="L54" s="2633"/>
      <c r="M54" s="2633"/>
      <c r="N54" s="1725"/>
      <c r="O54" s="1725"/>
      <c r="P54" s="1725"/>
      <c r="Q54" s="1725"/>
      <c r="R54" s="1725"/>
    </row>
    <row r="55" spans="1:22" s="1898" customFormat="1">
      <c r="A55" s="1725"/>
      <c r="B55" s="1725"/>
      <c r="C55" s="1725"/>
      <c r="D55" s="1725"/>
      <c r="E55" s="1725"/>
      <c r="F55" s="1182"/>
      <c r="G55" s="1725"/>
      <c r="H55" s="1725"/>
      <c r="I55" s="1725"/>
      <c r="J55" s="2635"/>
      <c r="K55" s="2633"/>
      <c r="L55" s="2633"/>
      <c r="M55" s="2633"/>
      <c r="N55" s="1725"/>
      <c r="O55" s="1725"/>
      <c r="P55" s="1725"/>
      <c r="Q55" s="1725"/>
      <c r="R55" s="1725"/>
    </row>
    <row r="56" spans="1:22" s="1898"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Sheet2!D909+Sheet2!D910</f>
        <v>6976.2395597503546</v>
      </c>
      <c r="B3" s="14">
        <f>IF(C3="否",G5-AT5,G5)</f>
        <v>32206.89000000029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32206.89000000029</v>
      </c>
      <c r="H5" s="16">
        <f t="shared" ref="H5:AT5" si="0">SUM(H13:H656)</f>
        <v>32206.89000000029</v>
      </c>
      <c r="I5" s="16">
        <f t="shared" si="0"/>
        <v>32206.89000000029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32206.89000000029</v>
      </c>
      <c r="BA5" s="18">
        <f t="shared" si="1"/>
        <v>32206.89000000029</v>
      </c>
      <c r="BB5" s="18">
        <f t="shared" si="1"/>
        <v>32206.89000000029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6976.24</v>
      </c>
      <c r="F6" s="16" t="s">
        <v>1</v>
      </c>
      <c r="G6" s="16" t="s">
        <v>2</v>
      </c>
      <c r="H6" s="20">
        <f>SUMIF(I$12:AB$12,"总值",I6:AB6)</f>
        <v>6976.24</v>
      </c>
      <c r="I6" s="16">
        <f t="shared" ref="I6:AB6" si="2">ROUND($A$3*I5/$B$3,2)</f>
        <v>6976.24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6976.24</v>
      </c>
      <c r="AZ6" s="16" t="s">
        <v>3</v>
      </c>
      <c r="BA6" s="16">
        <f>ROUND($AY$6*BA5/$AZ$5,2)</f>
        <v>6976.24</v>
      </c>
      <c r="BB6" s="16">
        <f>ROUND($AY$6*BB5/$AZ$5,2)</f>
        <v>6976.24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3233" t="s">
        <v>3162</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3233" t="s">
        <v>3164</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车库</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3232" t="s">
        <v>3160</v>
      </c>
      <c r="E13" s="16">
        <f>IF($C$3="是",ROUND($A$3*G13/$B$3,2),ROUND($A$3*(G13-AT13)/$B$3,2))</f>
        <v>7.35</v>
      </c>
      <c r="F13" s="32"/>
      <c r="G13" s="33">
        <f>H13+AC13+AT13</f>
        <v>33.93</v>
      </c>
      <c r="H13" s="20">
        <f>SUMIF(I$12:AB$12,"总值",I13:AB13)</f>
        <v>33.93</v>
      </c>
      <c r="I13" s="1781">
        <f>Sheet2!F4</f>
        <v>33.93</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7.35</v>
      </c>
      <c r="AZ13" s="16">
        <f>BA13+BL13</f>
        <v>33.93</v>
      </c>
      <c r="BA13" s="16">
        <f>SUM(BB13:BK13)</f>
        <v>33.93</v>
      </c>
      <c r="BB13" s="16">
        <f>IF($D13="是",I13-J13,0)</f>
        <v>33.93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3232" t="s">
        <v>3161</v>
      </c>
      <c r="E14" s="16">
        <f>IF($C$3="是",ROUND($A$3*G14/$B$3,2),ROUND($A$3*(G14-AT14)/$B$3,2))</f>
        <v>6968.89</v>
      </c>
      <c r="F14" s="32"/>
      <c r="G14" s="33">
        <f>H14+AC14+AT14</f>
        <v>32172.96000000029</v>
      </c>
      <c r="H14" s="20">
        <f>SUMIF(I$12:AB$12,"总值",I14:AB14)</f>
        <v>32172.96000000029</v>
      </c>
      <c r="I14" s="1781">
        <f>Sheet2!F904-'数据-基础表'!I13</f>
        <v>32172.96000000029</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6968.89</v>
      </c>
      <c r="AZ14" s="16">
        <f>BA14+BL14</f>
        <v>32172.96000000029</v>
      </c>
      <c r="BA14" s="16">
        <f>SUM(BB14:BK14)</f>
        <v>32172.96000000029</v>
      </c>
      <c r="BB14" s="16">
        <f>IF($D14="是",I14-J14,0)</f>
        <v>32172.96000000029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28.5">
      <c r="A3" s="3336"/>
      <c r="B3" s="3336"/>
      <c r="C3" s="3336"/>
      <c r="D3" s="3337"/>
      <c r="E3" s="33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40" sqref="H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47" t="s">
        <v>1757</v>
      </c>
      <c r="B2" s="3347"/>
      <c r="C2" s="3347"/>
      <c r="D2" s="904" t="s">
        <v>1733</v>
      </c>
      <c r="E2" s="1794" t="s">
        <v>1734</v>
      </c>
      <c r="F2" s="2855"/>
      <c r="G2" s="2846"/>
      <c r="H2" s="2847"/>
      <c r="I2" s="2517" t="s">
        <v>1758</v>
      </c>
      <c r="J2" s="2855"/>
      <c r="K2" s="2855"/>
      <c r="L2" s="2855"/>
      <c r="M2" s="2855"/>
      <c r="N2" s="2857"/>
      <c r="O2" s="2855"/>
      <c r="P2" s="2855"/>
    </row>
    <row r="3" spans="1:16" ht="15.75" thickBot="1">
      <c r="A3" s="3348" t="s">
        <v>1731</v>
      </c>
      <c r="B3" s="3348"/>
      <c r="C3" s="3348"/>
      <c r="D3" s="46">
        <f>'数据-基础表'!AY6</f>
        <v>6976.24</v>
      </c>
      <c r="E3" s="46">
        <f>'数据-基础表'!AZ5</f>
        <v>32206.89000000029</v>
      </c>
      <c r="F3" s="2855"/>
      <c r="G3" s="1279"/>
      <c r="H3" s="1157" t="s">
        <v>1732</v>
      </c>
      <c r="I3" s="964">
        <f>ROUND('数据-基础表'!B3/'数据-基础表'!A3,2)</f>
        <v>4.62</v>
      </c>
      <c r="J3" s="2855"/>
      <c r="K3" s="2855"/>
      <c r="L3" s="2855"/>
      <c r="M3" s="2855"/>
      <c r="N3" s="2857"/>
      <c r="O3" s="2855"/>
      <c r="P3" s="2855"/>
    </row>
    <row r="4" spans="1:16" ht="15">
      <c r="A4" s="3349"/>
      <c r="B4" s="3350"/>
      <c r="C4" s="3351"/>
      <c r="D4" s="1796" t="s">
        <v>1733</v>
      </c>
      <c r="E4" s="1797" t="s">
        <v>1734</v>
      </c>
      <c r="F4" s="2855"/>
      <c r="G4" s="2848" t="s">
        <v>1759</v>
      </c>
      <c r="H4" s="1157" t="s">
        <v>1739</v>
      </c>
      <c r="I4" s="964">
        <f>ROUND(SUMIF('数据-基础表'!I9:AS9,"地上",'数据-基础表'!I5:AS5)/'数据-基础表'!A3,2)</f>
        <v>0</v>
      </c>
      <c r="J4" s="2855"/>
      <c r="K4" s="2855"/>
      <c r="L4" s="2855"/>
      <c r="M4" s="2855"/>
      <c r="N4" s="2857"/>
      <c r="O4" s="2855"/>
      <c r="P4" s="2855"/>
    </row>
    <row r="5" spans="1:16">
      <c r="A5" s="47" t="s">
        <v>1735</v>
      </c>
      <c r="B5" s="3352" t="s">
        <v>1736</v>
      </c>
      <c r="C5" s="3352"/>
      <c r="D5" s="48">
        <f>ROUND($D$3*E5/$E$3,2)</f>
        <v>0</v>
      </c>
      <c r="E5" s="49">
        <f>SUMIF('数据-基础表'!$11:$11,"住宅",'数据-基础表'!$5:$5)</f>
        <v>0</v>
      </c>
      <c r="F5" s="2855"/>
      <c r="G5" s="1279"/>
      <c r="H5" s="1157" t="s">
        <v>1732</v>
      </c>
      <c r="I5" s="964">
        <f>ROUND(E31/D31,2)</f>
        <v>4.62</v>
      </c>
      <c r="J5" s="2855"/>
      <c r="K5" s="2855"/>
      <c r="L5" s="2855"/>
      <c r="M5" s="2855"/>
      <c r="N5" s="2855"/>
      <c r="O5" s="2855"/>
      <c r="P5" s="2855"/>
    </row>
    <row r="6" spans="1:16" ht="15" thickBot="1">
      <c r="A6" s="1799"/>
      <c r="B6" s="3352" t="s">
        <v>1737</v>
      </c>
      <c r="C6" s="3352"/>
      <c r="D6" s="48">
        <f>ROUND($D$3*E6/$E$3,2)</f>
        <v>6976.24</v>
      </c>
      <c r="E6" s="49">
        <f>E3-E5</f>
        <v>32206.89000000029</v>
      </c>
      <c r="F6" s="2855"/>
      <c r="G6" s="2849" t="s">
        <v>1738</v>
      </c>
      <c r="H6" s="1280" t="s">
        <v>1739</v>
      </c>
      <c r="I6" s="2850">
        <f>ROUND(F31/D31,2)</f>
        <v>0</v>
      </c>
      <c r="J6" s="2855"/>
      <c r="K6" s="2855"/>
      <c r="L6" s="2855"/>
      <c r="M6" s="2855"/>
      <c r="N6" s="2855"/>
      <c r="O6" s="2855"/>
      <c r="P6" s="2855"/>
    </row>
    <row r="7" spans="1:16" ht="15.75" thickBot="1">
      <c r="A7" s="3344"/>
      <c r="B7" s="3345"/>
      <c r="C7" s="3346"/>
      <c r="D7" s="1796" t="s">
        <v>1733</v>
      </c>
      <c r="E7" s="1800" t="s">
        <v>1740</v>
      </c>
      <c r="F7" s="2855"/>
      <c r="G7" s="2851" t="s">
        <v>1741</v>
      </c>
      <c r="H7" s="2852"/>
      <c r="I7" s="2853">
        <v>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6976.24</v>
      </c>
      <c r="E13" s="51">
        <f>SUMPRODUCT(('数据-基础表'!BB10:BK10="地下")*('数据-基础表'!BB11:BK11="车库")*('数据-基础表'!BB5:BK5))</f>
        <v>32206.89000000029</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6976.24</v>
      </c>
      <c r="E16" s="53">
        <f>SUM(E8:E15)</f>
        <v>32206.89000000029</v>
      </c>
      <c r="F16" s="2855"/>
      <c r="G16" s="2856"/>
      <c r="H16" s="1803" t="s">
        <v>1761</v>
      </c>
      <c r="I16" s="1804"/>
      <c r="J16" s="1273"/>
      <c r="K16" s="3341" t="s">
        <v>1761</v>
      </c>
      <c r="L16" s="3342"/>
      <c r="M16" s="3342"/>
      <c r="N16" s="3342"/>
      <c r="O16" s="3342"/>
      <c r="P16" s="3343"/>
    </row>
    <row r="17" spans="1:19" ht="15">
      <c r="A17" s="1805" t="s">
        <v>1762</v>
      </c>
      <c r="B17" s="1806" t="s">
        <v>1763</v>
      </c>
      <c r="C17" s="1807" t="s">
        <v>1764</v>
      </c>
      <c r="D17" s="1808" t="s">
        <v>1752</v>
      </c>
      <c r="E17" s="1809" t="s">
        <v>1753</v>
      </c>
      <c r="F17" s="1810"/>
      <c r="G17" s="1811"/>
      <c r="H17" s="1812" t="s">
        <v>1765</v>
      </c>
      <c r="I17" s="1813" t="s">
        <v>1750</v>
      </c>
      <c r="J17" s="1273"/>
      <c r="K17" s="3338" t="s">
        <v>1766</v>
      </c>
      <c r="L17" s="3339"/>
      <c r="M17" s="3340"/>
      <c r="N17" s="3338" t="s">
        <v>1767</v>
      </c>
      <c r="O17" s="3339"/>
      <c r="P17" s="334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34" t="s">
        <v>3166</v>
      </c>
      <c r="D19" s="3261">
        <f>Sheet2!G4</f>
        <v>8.27</v>
      </c>
      <c r="E19" s="56">
        <f t="shared" ref="E19:E26" si="1">SUM(F19:G19)</f>
        <v>33.93</v>
      </c>
      <c r="F19" s="2995"/>
      <c r="G19" s="2996">
        <f>'数据-基础表'!I13</f>
        <v>33.93</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8.27</v>
      </c>
      <c r="S19" s="1158">
        <f t="shared" si="5"/>
        <v>33.93</v>
      </c>
    </row>
    <row r="20" spans="1:19">
      <c r="A20" s="1826"/>
      <c r="B20" s="50" t="s">
        <v>1779</v>
      </c>
      <c r="C20" s="3234" t="s">
        <v>3167</v>
      </c>
      <c r="D20" s="3262">
        <f>D3-D19</f>
        <v>6967.9699999999993</v>
      </c>
      <c r="E20" s="56">
        <f t="shared" si="1"/>
        <v>32172.96000000029</v>
      </c>
      <c r="F20" s="2995"/>
      <c r="G20" s="2996">
        <f>'数据-基础表'!I14</f>
        <v>32172.96000000029</v>
      </c>
      <c r="H20" s="679">
        <f t="shared" ref="H20:H26" si="6">ROUND($D$3*I20/$E$3,2)</f>
        <v>0</v>
      </c>
      <c r="I20" s="51">
        <f t="shared" si="2"/>
        <v>0</v>
      </c>
      <c r="J20" s="1273"/>
      <c r="K20" s="1272">
        <f t="shared" si="3"/>
        <v>0</v>
      </c>
      <c r="L20" s="1157">
        <f t="shared" si="4"/>
        <v>0</v>
      </c>
      <c r="M20" s="1284">
        <f t="shared" ref="M20:M26" si="7">K20+L20</f>
        <v>0</v>
      </c>
      <c r="N20" s="1824"/>
      <c r="O20" s="1825"/>
      <c r="P20" s="1284">
        <f t="shared" ref="P20:P26" si="8">N20+O20</f>
        <v>0</v>
      </c>
      <c r="R20" s="1157">
        <f t="shared" si="5"/>
        <v>6967.9699999999993</v>
      </c>
      <c r="S20" s="1158">
        <f t="shared" si="5"/>
        <v>32172.96000000029</v>
      </c>
    </row>
    <row r="21" spans="1:19">
      <c r="A21" s="1826"/>
      <c r="B21" s="50" t="s">
        <v>1779</v>
      </c>
      <c r="C21" s="1823"/>
      <c r="D21" s="48">
        <f t="shared" ref="D21:D26" si="9">ROUND($D$3*E21/$E$3,2)</f>
        <v>0</v>
      </c>
      <c r="E21" s="56">
        <f t="shared" si="1"/>
        <v>0</v>
      </c>
      <c r="F21" s="2995"/>
      <c r="G21" s="2996"/>
      <c r="H21" s="679">
        <f t="shared" si="6"/>
        <v>0</v>
      </c>
      <c r="I21" s="51">
        <f t="shared" si="2"/>
        <v>0</v>
      </c>
      <c r="J21" s="1273"/>
      <c r="K21" s="1272">
        <f t="shared" si="3"/>
        <v>0</v>
      </c>
      <c r="L21" s="1157">
        <f t="shared" si="4"/>
        <v>0</v>
      </c>
      <c r="M21" s="1284">
        <f t="shared" si="7"/>
        <v>0</v>
      </c>
      <c r="N21" s="1824"/>
      <c r="O21" s="1825"/>
      <c r="P21" s="1284">
        <f t="shared" si="8"/>
        <v>0</v>
      </c>
      <c r="R21" s="1157">
        <f t="shared" si="5"/>
        <v>0</v>
      </c>
      <c r="S21" s="1158">
        <f t="shared" si="5"/>
        <v>0</v>
      </c>
    </row>
    <row r="22" spans="1:19">
      <c r="A22" s="1826"/>
      <c r="B22" s="50" t="s">
        <v>1779</v>
      </c>
      <c r="C22" s="58"/>
      <c r="D22" s="48">
        <f t="shared" si="9"/>
        <v>0</v>
      </c>
      <c r="E22" s="56">
        <f t="shared" si="1"/>
        <v>0</v>
      </c>
      <c r="F22" s="2997"/>
      <c r="G22" s="2998"/>
      <c r="H22" s="679">
        <f t="shared" si="6"/>
        <v>0</v>
      </c>
      <c r="I22" s="51">
        <f t="shared" si="2"/>
        <v>0</v>
      </c>
      <c r="J22" s="1273"/>
      <c r="K22" s="1272">
        <f t="shared" si="3"/>
        <v>0</v>
      </c>
      <c r="L22" s="1157">
        <f t="shared" si="4"/>
        <v>0</v>
      </c>
      <c r="M22" s="1284">
        <f t="shared" si="7"/>
        <v>0</v>
      </c>
      <c r="N22" s="1824"/>
      <c r="O22" s="1825"/>
      <c r="P22" s="1284">
        <f t="shared" si="8"/>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7"/>
        <v>0</v>
      </c>
      <c r="N23" s="1824"/>
      <c r="O23" s="1825"/>
      <c r="P23" s="1284">
        <f t="shared" si="8"/>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7"/>
        <v>0</v>
      </c>
      <c r="N24" s="1824"/>
      <c r="O24" s="1825"/>
      <c r="P24" s="1284">
        <f t="shared" si="8"/>
        <v>0</v>
      </c>
      <c r="R24" s="1157">
        <f t="shared" si="5"/>
        <v>0</v>
      </c>
      <c r="S24" s="1158">
        <f t="shared" si="5"/>
        <v>0</v>
      </c>
    </row>
    <row r="25" spans="1:19">
      <c r="A25" s="1826"/>
      <c r="B25" s="50" t="s">
        <v>1779</v>
      </c>
      <c r="C25" s="58"/>
      <c r="D25" s="48">
        <f t="shared" si="9"/>
        <v>0</v>
      </c>
      <c r="E25" s="56">
        <f t="shared" si="1"/>
        <v>0</v>
      </c>
      <c r="F25" s="2997"/>
      <c r="G25" s="2998"/>
      <c r="H25" s="47">
        <f t="shared" si="6"/>
        <v>0</v>
      </c>
      <c r="I25" s="51">
        <f t="shared" si="2"/>
        <v>0</v>
      </c>
      <c r="J25" s="1273"/>
      <c r="K25" s="1272">
        <f t="shared" si="3"/>
        <v>0</v>
      </c>
      <c r="L25" s="1157">
        <f t="shared" si="4"/>
        <v>0</v>
      </c>
      <c r="M25" s="1284">
        <f t="shared" si="7"/>
        <v>0</v>
      </c>
      <c r="N25" s="1824"/>
      <c r="O25" s="1825"/>
      <c r="P25" s="1284">
        <f t="shared" si="8"/>
        <v>0</v>
      </c>
      <c r="R25" s="1157">
        <f t="shared" si="5"/>
        <v>0</v>
      </c>
      <c r="S25" s="1158">
        <f t="shared" si="5"/>
        <v>0</v>
      </c>
    </row>
    <row r="26" spans="1:19">
      <c r="A26" s="1826"/>
      <c r="B26" s="50" t="s">
        <v>1779</v>
      </c>
      <c r="C26" s="59"/>
      <c r="D26" s="48">
        <f t="shared" si="9"/>
        <v>0</v>
      </c>
      <c r="E26" s="56">
        <f t="shared" si="1"/>
        <v>0</v>
      </c>
      <c r="F26" s="2997"/>
      <c r="G26" s="2998"/>
      <c r="H26" s="47">
        <f t="shared" si="6"/>
        <v>0</v>
      </c>
      <c r="I26" s="51">
        <f t="shared" si="2"/>
        <v>0</v>
      </c>
      <c r="J26" s="1273"/>
      <c r="K26" s="1279">
        <f t="shared" si="3"/>
        <v>0</v>
      </c>
      <c r="L26" s="1280">
        <f t="shared" si="4"/>
        <v>0</v>
      </c>
      <c r="M26" s="63">
        <f t="shared" si="7"/>
        <v>0</v>
      </c>
      <c r="N26" s="1827"/>
      <c r="O26" s="1828"/>
      <c r="P26" s="63">
        <f t="shared" si="8"/>
        <v>0</v>
      </c>
      <c r="R26" s="1157">
        <f t="shared" si="5"/>
        <v>0</v>
      </c>
      <c r="S26" s="1158">
        <f t="shared" si="5"/>
        <v>0</v>
      </c>
    </row>
    <row r="27" spans="1:19" ht="15.75" thickBot="1">
      <c r="A27" s="1826"/>
      <c r="B27" s="48"/>
      <c r="C27" s="1829" t="s">
        <v>1780</v>
      </c>
      <c r="D27" s="1274">
        <f>SUM(D19:D26)</f>
        <v>6976.24</v>
      </c>
      <c r="E27" s="1275">
        <f>IF(SUM(E19:E26)='数据-基础表'!BA5,SUM(E19:E26),IF(F27="地上面积有误","面积有误","地下面积有误"))</f>
        <v>32206.89000000029</v>
      </c>
      <c r="F27" s="1274">
        <f>IF(SUM(F19:F26)=E8,SUM(F19:F26),"地上面积有误")</f>
        <v>0</v>
      </c>
      <c r="G27" s="1276">
        <f>SUM(G19:G26)</f>
        <v>32206.89000000029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6976.24</v>
      </c>
      <c r="S27" s="1157">
        <f>IF(SUM(S19:S26)=$E$3,SUM(S19:S26),SUM(S19:S26)&amp;"误差"&amp;ROUND(SUM(S19:S26)-E3,2))</f>
        <v>32206.89000000029</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6976.24</v>
      </c>
      <c r="E31" s="685">
        <f>E27+E30</f>
        <v>32206.89000000029</v>
      </c>
      <c r="F31" s="686">
        <f>F27+F30</f>
        <v>0</v>
      </c>
      <c r="G31" s="687">
        <f>G27+G30</f>
        <v>32206.89000000029</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O8" sqref="O8"/>
    </sheetView>
  </sheetViews>
  <sheetFormatPr defaultColWidth="13.75" defaultRowHeight="12.75"/>
  <cols>
    <col min="1" max="1" width="20.875" style="1900" customWidth="1"/>
    <col min="2" max="2" width="12" style="1838" customWidth="1"/>
    <col min="3" max="3" width="12.75" style="1838" customWidth="1"/>
    <col min="4" max="4" width="9.125" style="1901"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44573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3169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基准车库</v>
      </c>
      <c r="B6" s="1869" t="str">
        <f>IF(A6=0,"","经营性")</f>
        <v>经营性</v>
      </c>
      <c r="C6" s="1870" t="s">
        <v>3163</v>
      </c>
      <c r="D6" s="967">
        <f>SUMIF(项目基本情况!D$12:I$12,C6,项目基本情况!D$14:I$14)</f>
        <v>50</v>
      </c>
      <c r="E6" s="966">
        <f>IF(B6="","",SUMIF(项目基本情况!D$12:I$12,C6,项目基本情况!D$13:I$13))</f>
        <v>56354</v>
      </c>
      <c r="F6" s="68">
        <f>SUMIF(项目基本情况!D$12:I$12,C6,项目基本情况!D$15:I$15)</f>
        <v>32.270000000000003</v>
      </c>
      <c r="G6" s="69">
        <f>IF(ISERROR(ROUND(POWER(1+H6,D6-F6)*(POWER(1+H6,F6)-1)/(POWER(1+H6,D6)-1),3)),0,ROUND(POWER(1+H6,D6-F6)*(POWER(1+H6,F6)-1)/(POWER(1+H6,D6)-1),3))</f>
        <v>0.85299999999999998</v>
      </c>
      <c r="H6" s="741">
        <v>4.4999999999999998E-2</v>
      </c>
      <c r="I6" s="741">
        <v>0.05</v>
      </c>
      <c r="J6" s="70">
        <v>6.5000000000000002E-2</v>
      </c>
      <c r="K6" s="1161">
        <f>SUMIF('数据-汇总表'!C$19:C$33,A6,'数据-汇总表'!E$19:E$33)</f>
        <v>33.93</v>
      </c>
      <c r="L6" s="742">
        <v>3500</v>
      </c>
      <c r="M6" s="71">
        <f t="shared" ref="M6:M14" si="0">ROUND(K6*L6/10000,0)</f>
        <v>12</v>
      </c>
      <c r="N6" s="740">
        <f>N22</f>
        <v>0.73</v>
      </c>
      <c r="O6" s="71" t="str">
        <f>IF($N$5="成新度","——",ROUND(M6*N6,0))</f>
        <v>——</v>
      </c>
      <c r="P6" s="72" t="str">
        <f>IF($N$5="成新度","——",M6-O6)</f>
        <v>——</v>
      </c>
      <c r="Q6" s="743">
        <v>0.05</v>
      </c>
      <c r="R6" s="73">
        <f ca="1">SUMIF('数据-汇总表'!C$19:C$33,A6,'数据-汇总表'!R$19:R$27)</f>
        <v>8.27</v>
      </c>
      <c r="S6" s="54">
        <f>IF('数据-汇总表'!$I$17="按面积比例",SUMIF('数据-汇总表'!C$19:C$33,A6,'数据-汇总表'!K$19:K$33),SUMIF('数据-汇总表'!C$19:C$33,A6,'数据-汇总表'!N$19:N$33))</f>
        <v>0</v>
      </c>
      <c r="T6" s="1306">
        <f>ROUND($L$14*S6/10000,0)</f>
        <v>0</v>
      </c>
      <c r="U6" s="74">
        <v>212</v>
      </c>
      <c r="V6" s="75">
        <v>0</v>
      </c>
      <c r="W6" s="75">
        <v>0</v>
      </c>
      <c r="X6" s="1171"/>
      <c r="Y6" s="76">
        <f>N6</f>
        <v>0.73</v>
      </c>
      <c r="Z6" s="77">
        <v>600</v>
      </c>
      <c r="AA6" s="70">
        <v>0.02</v>
      </c>
      <c r="AB6" s="70">
        <v>0.2</v>
      </c>
      <c r="AC6" s="1171"/>
      <c r="AD6" s="3252">
        <f>ROUND(1-(2025-2006)/60,2)</f>
        <v>0.68</v>
      </c>
      <c r="AE6" s="1172">
        <f ca="1">IF(AN6="",0,SUMIF(INDIRECT("'"&amp;AN6&amp;"'"&amp;"!E:E"),$AE$5,INDIRECT("'"&amp;AN6&amp;"'"&amp;"!F:F")))</f>
        <v>32.270000000000003</v>
      </c>
      <c r="AF6" s="1502">
        <v>3</v>
      </c>
      <c r="AG6" s="143">
        <f ca="1">IF(AF6="",0,AE6-AF6)</f>
        <v>29.270000000000003</v>
      </c>
      <c r="AH6" s="79">
        <v>1</v>
      </c>
      <c r="AI6" s="81">
        <v>12</v>
      </c>
      <c r="AJ6" s="82"/>
      <c r="AK6" s="83">
        <v>5.0000000000000001E-3</v>
      </c>
      <c r="AL6" s="84">
        <v>1E-3</v>
      </c>
      <c r="AM6" s="85">
        <v>0.01</v>
      </c>
      <c r="AN6" s="1871" t="s">
        <v>3206</v>
      </c>
      <c r="AO6" s="55">
        <f ca="1">SUMIF(INDIRECT("'"&amp;AN6&amp;"'"&amp;"!A:A"),"总价",INDIRECT("'"&amp;AN6&amp;"'"&amp;"!B:B"))</f>
        <v>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其他车库</v>
      </c>
      <c r="B7" s="1869" t="str">
        <f t="shared" ref="B7:B13" si="1">IF(A7=0,"","经营性")</f>
        <v>经营性</v>
      </c>
      <c r="C7" s="1870" t="s">
        <v>3163</v>
      </c>
      <c r="D7" s="967">
        <f>SUMIF(项目基本情况!D$12:I$12,C7,项目基本情况!D$14:I$14)</f>
        <v>50</v>
      </c>
      <c r="E7" s="966">
        <f>IF(B7="","",SUMIF(项目基本情况!D$12:I$12,C7,项目基本情况!D$13:I$13))</f>
        <v>56354</v>
      </c>
      <c r="F7" s="68">
        <f>SUMIF(项目基本情况!D$12:I$12,C7,项目基本情况!D$15:I$15)</f>
        <v>32.270000000000003</v>
      </c>
      <c r="G7" s="69">
        <f t="shared" ref="G7:G11" si="2">IF(ISERROR(ROUND(POWER(1+H7,D7-F7)*(POWER(1+H7,F7)-1)/(POWER(1+H7,D7)-1),3)),0,ROUND(POWER(1+H7,D7-F7)*(POWER(1+H7,F7)-1)/(POWER(1+H7,D7)-1),3))</f>
        <v>0.85299999999999998</v>
      </c>
      <c r="H7" s="741">
        <v>4.4999999999999998E-2</v>
      </c>
      <c r="I7" s="741">
        <v>0.05</v>
      </c>
      <c r="J7" s="70">
        <v>6.5000000000000002E-2</v>
      </c>
      <c r="K7" s="1161">
        <f>SUMIF('数据-汇总表'!C$19:C$33,A7,'数据-汇总表'!E$19:E$33)</f>
        <v>32172.96000000029</v>
      </c>
      <c r="L7" s="742">
        <f>L6</f>
        <v>3500</v>
      </c>
      <c r="M7" s="71">
        <f t="shared" si="0"/>
        <v>11261</v>
      </c>
      <c r="N7" s="740">
        <f>N6</f>
        <v>0.73</v>
      </c>
      <c r="O7" s="71" t="str">
        <f t="shared" ref="O7:O14" si="3">IF($N$5="成新度","——",ROUND(M7*N7,0))</f>
        <v>——</v>
      </c>
      <c r="P7" s="72" t="str">
        <f t="shared" ref="P7:P14" si="4">IF($N$5="成新度","——",M7-O7)</f>
        <v>——</v>
      </c>
      <c r="Q7" s="743">
        <v>0.05</v>
      </c>
      <c r="R7" s="73">
        <f ca="1">SUMIF('数据-汇总表'!C$19:C$33,A7,'数据-汇总表'!R$19:R$27)</f>
        <v>6967.9699999999993</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v>899</v>
      </c>
      <c r="AI7" s="81">
        <v>12</v>
      </c>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0.85299999999999998</v>
      </c>
      <c r="H16" s="95">
        <f>ROUND(SUMPRODUCT(H6:H13,K6:K13)/SUMPRODUCT((H6:H13&gt;0)*(K6:K13)),3)</f>
        <v>4.4999999999999998E-2</v>
      </c>
      <c r="I16" s="96"/>
      <c r="J16" s="96"/>
      <c r="K16" s="97">
        <f>SUM(K6:K15)</f>
        <v>32206.89000000029</v>
      </c>
      <c r="L16" s="98">
        <f>ROUND(M16*10000/SUM(K6:K14),0)</f>
        <v>3500</v>
      </c>
      <c r="M16" s="98">
        <f>SUM(M6:M14)</f>
        <v>11273</v>
      </c>
      <c r="N16" s="99">
        <f>ROUND(SUMPRODUCT(M6:M14,N6:N14)/M16,3)</f>
        <v>0.73</v>
      </c>
      <c r="O16" s="98">
        <f>SUM(O6:O14)</f>
        <v>0</v>
      </c>
      <c r="P16" s="98">
        <f>SUM(P6:P14)</f>
        <v>0</v>
      </c>
      <c r="Q16" s="100">
        <f>ROUND(SUMPRODUCT(Q6:Q13,K6:K13)/SUMPRODUCT((Q6:Q13&gt;0)*(K6:K13)),2)</f>
        <v>0.05</v>
      </c>
      <c r="R16" s="1165">
        <f ca="1">SUM(R6:R13)</f>
        <v>6976.24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2988</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2986</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f>ROUND(1-(2022-2006)/60,2)</f>
        <v>0.73</v>
      </c>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v>0.85</v>
      </c>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f>ROUND((N22+N23)/2,2)</f>
        <v>0.79</v>
      </c>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2990</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 (元)'!C10</f>
        <v>6786</v>
      </c>
      <c r="C29" s="3002" t="s">
        <v>2977</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2978</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2979</v>
      </c>
      <c r="D34" s="2882" t="s">
        <v>2987</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2980</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2981</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2982</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2982</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3168</v>
      </c>
      <c r="B40" s="1210">
        <f ca="1">IF(A40="利息：取LPR",存贷款利率!G1,存贷款利率!G1+C40)</f>
        <v>4.2999999999999997E-2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5.6000000000000001E-2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6.000000000000001E-3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7.0000000000000007E-2</v>
      </c>
      <c r="C44" s="3003" t="s">
        <v>2991</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2983</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2984</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2992</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2983</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2985</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3253" t="s">
        <v>523</v>
      </c>
      <c r="C53" s="2857" t="s">
        <v>1872</v>
      </c>
      <c r="D53" s="3004" t="s">
        <v>2989</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7" customFormat="1">
      <c r="A134" s="1898"/>
      <c r="D134" s="1899"/>
      <c r="K134" s="27"/>
      <c r="L134" s="27"/>
    </row>
    <row r="135" spans="1:12" s="1837" customFormat="1">
      <c r="A135" s="1898"/>
      <c r="D135" s="1899"/>
      <c r="K135" s="27"/>
      <c r="L135" s="27"/>
    </row>
    <row r="136" spans="1:12" s="1837" customFormat="1">
      <c r="A136" s="1898"/>
      <c r="D136" s="1899"/>
      <c r="K136" s="27"/>
      <c r="L136" s="27"/>
    </row>
    <row r="137" spans="1:12" s="1837" customFormat="1">
      <c r="A137" s="1898"/>
      <c r="D137" s="1899"/>
      <c r="K137" s="27"/>
      <c r="L137" s="27"/>
    </row>
    <row r="138" spans="1:12" s="1837" customFormat="1">
      <c r="A138" s="1898"/>
      <c r="D138" s="1899"/>
      <c r="K138" s="27"/>
      <c r="L138" s="27"/>
    </row>
    <row r="139" spans="1:12" s="1837" customFormat="1">
      <c r="A139" s="1898"/>
      <c r="D139" s="1899"/>
      <c r="K139" s="27"/>
      <c r="L139" s="27"/>
    </row>
    <row r="140" spans="1:12" s="1837" customFormat="1">
      <c r="A140" s="1898"/>
      <c r="D140" s="1899"/>
      <c r="K140" s="27"/>
      <c r="L140" s="27"/>
    </row>
    <row r="141" spans="1:12" s="1837" customFormat="1">
      <c r="A141" s="1898"/>
      <c r="D141" s="1899"/>
      <c r="K141" s="27"/>
      <c r="L141" s="27"/>
    </row>
    <row r="142" spans="1:12" s="1837" customFormat="1">
      <c r="A142" s="1898"/>
      <c r="D142" s="1899"/>
      <c r="K142" s="27"/>
      <c r="L142" s="27"/>
    </row>
    <row r="143" spans="1:12" s="1837" customFormat="1">
      <c r="A143" s="1898"/>
      <c r="D143" s="1899"/>
      <c r="K143" s="27"/>
      <c r="L143" s="27"/>
    </row>
    <row r="144" spans="1:12" s="1837" customFormat="1">
      <c r="A144" s="1898"/>
      <c r="D144" s="1899"/>
      <c r="K144" s="27"/>
      <c r="L144" s="27"/>
    </row>
    <row r="145" spans="1:12" s="1837" customFormat="1">
      <c r="A145" s="1898"/>
      <c r="D145" s="1899"/>
      <c r="K145" s="27"/>
      <c r="L145" s="27"/>
    </row>
    <row r="146" spans="1:12" s="1837" customFormat="1">
      <c r="A146" s="1898"/>
      <c r="D146" s="1899"/>
      <c r="K146" s="27"/>
      <c r="L146" s="27"/>
    </row>
    <row r="147" spans="1:12" s="1837" customFormat="1">
      <c r="A147" s="1898"/>
      <c r="D147" s="1899"/>
      <c r="K147" s="27"/>
      <c r="L147" s="27"/>
    </row>
    <row r="148" spans="1:12" s="1837" customFormat="1">
      <c r="A148" s="1898"/>
      <c r="D148" s="1899"/>
      <c r="K148" s="27"/>
      <c r="L148" s="27"/>
    </row>
    <row r="149" spans="1:12" s="1837" customFormat="1">
      <c r="A149" s="1898"/>
      <c r="D149" s="1899"/>
      <c r="K149" s="27"/>
      <c r="L149" s="27"/>
    </row>
    <row r="150" spans="1:12" s="1837" customFormat="1">
      <c r="A150" s="1898"/>
      <c r="D150" s="1899"/>
      <c r="K150" s="27"/>
      <c r="L150" s="27"/>
    </row>
    <row r="151" spans="1:12" s="1837" customFormat="1">
      <c r="A151" s="1898"/>
      <c r="D151" s="1899"/>
      <c r="K151" s="27"/>
      <c r="L151" s="27"/>
    </row>
    <row r="152" spans="1:12" s="1837" customFormat="1">
      <c r="A152" s="1898"/>
      <c r="D152" s="1899"/>
      <c r="K152" s="27"/>
      <c r="L152" s="27"/>
    </row>
    <row r="153" spans="1:12" s="1837" customFormat="1">
      <c r="A153" s="1898"/>
      <c r="D153" s="1899"/>
      <c r="K153" s="27"/>
      <c r="L153" s="27"/>
    </row>
    <row r="154" spans="1:12" s="1837" customFormat="1">
      <c r="A154" s="1898"/>
      <c r="D154" s="1899"/>
      <c r="K154" s="27"/>
      <c r="L154" s="27"/>
    </row>
    <row r="155" spans="1:12" s="1837" customFormat="1">
      <c r="A155" s="1898"/>
      <c r="D155" s="1899"/>
      <c r="K155" s="27"/>
      <c r="L155" s="27"/>
    </row>
    <row r="156" spans="1:12" s="1837" customFormat="1">
      <c r="A156" s="1898"/>
      <c r="D156" s="1899"/>
      <c r="K156" s="27"/>
      <c r="L156" s="27"/>
    </row>
    <row r="157" spans="1:12" s="1837" customFormat="1">
      <c r="A157" s="1898"/>
      <c r="D157" s="1899"/>
      <c r="K157" s="27"/>
      <c r="L157" s="27"/>
    </row>
    <row r="158" spans="1:12" s="1837" customFormat="1">
      <c r="A158" s="1898"/>
      <c r="D158" s="1899"/>
      <c r="K158" s="27"/>
      <c r="L158" s="27"/>
    </row>
    <row r="159" spans="1:12" s="1837" customFormat="1">
      <c r="A159" s="1898"/>
      <c r="D159" s="1899"/>
      <c r="K159" s="27"/>
      <c r="L159" s="27"/>
    </row>
    <row r="160" spans="1:12" s="1837" customFormat="1">
      <c r="A160" s="1898"/>
      <c r="D160" s="1899"/>
      <c r="K160" s="27"/>
      <c r="L160" s="27"/>
    </row>
    <row r="161" spans="1:12" s="1837" customFormat="1">
      <c r="A161" s="1898"/>
      <c r="D161" s="1899"/>
      <c r="K161" s="27"/>
      <c r="L161" s="27"/>
    </row>
    <row r="162" spans="1:12" s="1837" customFormat="1">
      <c r="A162" s="1898"/>
      <c r="D162" s="1899"/>
      <c r="K162" s="27"/>
      <c r="L162" s="27"/>
    </row>
    <row r="163" spans="1:12" s="1837" customFormat="1">
      <c r="A163" s="1898"/>
      <c r="D163" s="1899"/>
      <c r="K163" s="27"/>
      <c r="L163" s="27"/>
    </row>
    <row r="164" spans="1:12" s="1837" customFormat="1">
      <c r="A164" s="1898"/>
      <c r="D164" s="1899"/>
      <c r="K164" s="27"/>
      <c r="L164" s="27"/>
    </row>
    <row r="165" spans="1:12" s="1837" customFormat="1">
      <c r="A165" s="1898"/>
      <c r="D165" s="1899"/>
      <c r="K165" s="27"/>
      <c r="L165" s="27"/>
    </row>
    <row r="166" spans="1:12" s="1837" customFormat="1">
      <c r="A166" s="1898"/>
      <c r="D166" s="1899"/>
      <c r="K166" s="27"/>
      <c r="L166" s="27"/>
    </row>
    <row r="167" spans="1:12" s="1837" customFormat="1">
      <c r="A167" s="1898"/>
      <c r="D167" s="1899"/>
      <c r="K167" s="27"/>
      <c r="L167" s="27"/>
    </row>
    <row r="168" spans="1:12" s="1837" customFormat="1">
      <c r="A168" s="1898"/>
      <c r="D168" s="1899"/>
      <c r="K168" s="27"/>
      <c r="L168" s="27"/>
    </row>
    <row r="169" spans="1:12" s="1837" customFormat="1">
      <c r="A169" s="1898"/>
      <c r="D169" s="1899"/>
      <c r="K169" s="27"/>
      <c r="L169" s="27"/>
    </row>
    <row r="170" spans="1:12" s="1837" customFormat="1">
      <c r="A170" s="1898"/>
      <c r="D170" s="1899"/>
      <c r="K170" s="27"/>
      <c r="L170" s="27"/>
    </row>
    <row r="171" spans="1:12" s="1837" customFormat="1">
      <c r="A171" s="1898"/>
      <c r="D171" s="1899"/>
      <c r="K171" s="27"/>
      <c r="L171" s="27"/>
    </row>
    <row r="172" spans="1:12" s="1837" customFormat="1">
      <c r="A172" s="1898"/>
      <c r="D172" s="1899"/>
      <c r="K172" s="27"/>
      <c r="L172" s="27"/>
    </row>
    <row r="173" spans="1:12" s="1837" customFormat="1">
      <c r="A173" s="1898"/>
      <c r="D173" s="1899"/>
      <c r="K173" s="27"/>
      <c r="L173" s="27"/>
    </row>
    <row r="174" spans="1:12" s="1837" customFormat="1">
      <c r="A174" s="1898"/>
      <c r="D174" s="1899"/>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53" t="s">
        <v>2969</v>
      </c>
      <c r="B1" s="3354"/>
      <c r="C1" s="3354"/>
      <c r="D1" s="3354"/>
      <c r="E1" s="3354"/>
      <c r="F1" s="3354"/>
      <c r="G1" s="335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7"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2702"/>
      <c r="H23" s="2686"/>
      <c r="I23" s="2687"/>
      <c r="J23" s="2686"/>
      <c r="K23" s="2686"/>
      <c r="L23" s="2687"/>
      <c r="M23" s="2686"/>
      <c r="N23" s="2686"/>
      <c r="O23" s="2687"/>
      <c r="P23" s="2686"/>
      <c r="Q23" s="2686"/>
      <c r="R23" s="2688"/>
    </row>
    <row r="24" spans="1:18" s="907" customFormat="1" ht="15" thickBot="1">
      <c r="A24" s="2644"/>
      <c r="B24" s="2701" t="s">
        <v>2963</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32206.89000000029</v>
      </c>
      <c r="C1" s="2884"/>
      <c r="D1" s="2884"/>
      <c r="E1" s="2884"/>
      <c r="F1" s="2884"/>
      <c r="G1" s="2885"/>
      <c r="H1" s="2886"/>
      <c r="I1" s="2886"/>
      <c r="J1" s="2886"/>
      <c r="K1" s="2886"/>
    </row>
    <row r="2" spans="1:11" ht="16.5">
      <c r="A2" s="2707" t="s">
        <v>1259</v>
      </c>
      <c r="B2" s="2707">
        <f>SUM(C14:C23)</f>
        <v>6976.24</v>
      </c>
      <c r="C2" s="2884"/>
      <c r="D2" s="2884"/>
      <c r="E2" s="2884"/>
      <c r="F2" s="2884"/>
      <c r="G2" s="2885"/>
      <c r="H2" s="2886"/>
      <c r="I2" s="2886"/>
      <c r="J2" s="2886"/>
      <c r="K2" s="2886"/>
    </row>
    <row r="3" spans="1:11" ht="16.5">
      <c r="A3" s="2707" t="s">
        <v>1268</v>
      </c>
      <c r="B3" s="2709">
        <f>项目基本情况!D3</f>
        <v>44573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18313</v>
      </c>
      <c r="C5" s="2707">
        <f ca="1">ROUND(B5*10000/$B$1,0)</f>
        <v>5686</v>
      </c>
      <c r="D5" s="2707">
        <f ca="1">ROUND(B5*10000/$B$2,0)</f>
        <v>26251</v>
      </c>
      <c r="E5" s="2884"/>
      <c r="F5" s="2885"/>
      <c r="G5" s="2885"/>
      <c r="H5" s="2886"/>
      <c r="I5" s="2886"/>
      <c r="J5" s="2886"/>
      <c r="K5" s="2886"/>
    </row>
    <row r="6" spans="1:11" ht="16.5">
      <c r="A6" s="2707" t="s">
        <v>1262</v>
      </c>
      <c r="B6" s="2707">
        <f ca="1">SUM(G14:G23)</f>
        <v>18313</v>
      </c>
      <c r="C6" s="2707">
        <f ca="1">ROUND(B6*10000/$B$1,0)</f>
        <v>5686</v>
      </c>
      <c r="D6" s="2707">
        <f ca="1">ROUND(B6*10000/$B$2,0)</f>
        <v>26251</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32206.89000000029</v>
      </c>
      <c r="C14" s="2713">
        <f>结果表!C118</f>
        <v>6976.24</v>
      </c>
      <c r="D14" s="2713">
        <f ca="1">典型户型修正!S22</f>
        <v>18313</v>
      </c>
      <c r="E14" s="2713">
        <f ca="1">ROUND(D14*10000/B14,0)</f>
        <v>5686</v>
      </c>
      <c r="F14" s="2713">
        <f ca="1">ROUND(D14*10000/C14,0)</f>
        <v>26251</v>
      </c>
      <c r="G14" s="2713">
        <f ca="1">D14</f>
        <v>18313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70" zoomScaleNormal="100" zoomScaleSheetLayoutView="70" zoomScalePageLayoutView="80" workbookViewId="0">
      <selection activeCell="M38" sqref="M38"/>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c r="D1" s="1902"/>
      <c r="E1" s="1902"/>
      <c r="F1" s="1904" t="s">
        <v>1889</v>
      </c>
      <c r="G1" s="1716"/>
      <c r="H1" s="1905" t="str">
        <f>IF(G1="现房","——","估价对象范围")</f>
        <v>估价对象范围</v>
      </c>
      <c r="I1" s="1906"/>
    </row>
    <row r="2" spans="1:12" ht="21.75" customHeight="1" thickBot="1">
      <c r="A2" s="3425" t="str">
        <f>项目基本情况!S2</f>
        <v>北京市房地产</v>
      </c>
      <c r="B2" s="3426"/>
      <c r="C2" s="3426"/>
      <c r="D2" s="3426"/>
      <c r="E2" s="3426"/>
      <c r="F2" s="3426"/>
      <c r="G2" s="3426"/>
      <c r="H2" s="3426"/>
      <c r="I2" s="3427"/>
    </row>
    <row r="3" spans="1:12" ht="12.75">
      <c r="A3" s="3429" t="s">
        <v>1890</v>
      </c>
      <c r="B3" s="3430"/>
      <c r="C3" s="3430"/>
      <c r="D3" s="3430"/>
      <c r="E3" s="3430"/>
      <c r="F3" s="3430"/>
      <c r="G3" s="3430"/>
      <c r="H3" s="3430"/>
      <c r="I3" s="3430"/>
    </row>
    <row r="4" spans="1:12" ht="14.25">
      <c r="A4" s="1909" t="s">
        <v>1891</v>
      </c>
      <c r="B4" s="1910" t="s">
        <v>1892</v>
      </c>
      <c r="C4" s="1911" t="s">
        <v>4145</v>
      </c>
      <c r="D4" s="1911" t="s">
        <v>4145</v>
      </c>
      <c r="E4" s="3434" t="s">
        <v>1893</v>
      </c>
      <c r="F4" s="3435"/>
      <c r="G4" s="3435"/>
      <c r="H4" s="3435"/>
      <c r="I4" s="3436"/>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0" t="s">
        <v>1894</v>
      </c>
      <c r="B5" s="3428">
        <v>25</v>
      </c>
      <c r="C5" s="3431"/>
      <c r="D5" s="3419"/>
      <c r="E5" s="136" t="s">
        <v>1895</v>
      </c>
      <c r="F5" s="1912"/>
      <c r="G5" s="1912"/>
      <c r="H5" s="1912"/>
      <c r="I5" s="1527"/>
    </row>
    <row r="6" spans="1:12" ht="12.75">
      <c r="A6" s="3370"/>
      <c r="B6" s="3428"/>
      <c r="C6" s="3433"/>
      <c r="D6" s="3419"/>
      <c r="E6" s="136" t="s">
        <v>1896</v>
      </c>
      <c r="F6" s="1912"/>
      <c r="G6" s="1912"/>
      <c r="H6" s="1912"/>
      <c r="I6" s="1527"/>
    </row>
    <row r="7" spans="1:12" ht="12.75">
      <c r="A7" s="3370"/>
      <c r="B7" s="3428"/>
      <c r="C7" s="3432"/>
      <c r="D7" s="3419"/>
      <c r="E7" s="136" t="s">
        <v>1897</v>
      </c>
      <c r="F7" s="1912"/>
      <c r="G7" s="1912"/>
      <c r="H7" s="1912"/>
      <c r="I7" s="1527"/>
    </row>
    <row r="8" spans="1:12" ht="12.75">
      <c r="A8" s="3370" t="s">
        <v>1898</v>
      </c>
      <c r="B8" s="3428">
        <v>15</v>
      </c>
      <c r="C8" s="3431"/>
      <c r="D8" s="3419"/>
      <c r="E8" s="136" t="s">
        <v>1899</v>
      </c>
      <c r="F8" s="1912"/>
      <c r="G8" s="1912"/>
      <c r="H8" s="1912"/>
      <c r="I8" s="1527"/>
    </row>
    <row r="9" spans="1:12" ht="12.75">
      <c r="A9" s="3370"/>
      <c r="B9" s="3428"/>
      <c r="C9" s="3432"/>
      <c r="D9" s="3419"/>
      <c r="E9" s="136" t="s">
        <v>1900</v>
      </c>
      <c r="F9" s="1912"/>
      <c r="G9" s="1912"/>
      <c r="H9" s="1912"/>
      <c r="I9" s="1527"/>
    </row>
    <row r="10" spans="1:12" ht="12.75">
      <c r="A10" s="3370" t="s">
        <v>1901</v>
      </c>
      <c r="B10" s="3428">
        <v>15</v>
      </c>
      <c r="C10" s="3431"/>
      <c r="D10" s="3419"/>
      <c r="E10" s="136" t="s">
        <v>1902</v>
      </c>
      <c r="F10" s="1912"/>
      <c r="G10" s="1912"/>
      <c r="H10" s="1912"/>
      <c r="I10" s="1527"/>
    </row>
    <row r="11" spans="1:12" ht="12.75">
      <c r="A11" s="3370"/>
      <c r="B11" s="3428"/>
      <c r="C11" s="3432"/>
      <c r="D11" s="3419"/>
      <c r="E11" s="136" t="s">
        <v>1903</v>
      </c>
      <c r="F11" s="1912"/>
      <c r="G11" s="1912"/>
      <c r="H11" s="1912"/>
      <c r="I11" s="1527"/>
    </row>
    <row r="12" spans="1:12" ht="12.75">
      <c r="A12" s="3370" t="s">
        <v>1904</v>
      </c>
      <c r="B12" s="3428">
        <v>15</v>
      </c>
      <c r="C12" s="3431"/>
      <c r="D12" s="3419"/>
      <c r="E12" s="136" t="s">
        <v>1905</v>
      </c>
      <c r="F12" s="1912"/>
      <c r="G12" s="1912"/>
      <c r="H12" s="1912"/>
      <c r="I12" s="1527"/>
    </row>
    <row r="13" spans="1:12" ht="12.75">
      <c r="A13" s="3370"/>
      <c r="B13" s="3428"/>
      <c r="C13" s="3432"/>
      <c r="D13" s="3419"/>
      <c r="E13" s="136" t="s">
        <v>1906</v>
      </c>
      <c r="F13" s="1912"/>
      <c r="G13" s="1912"/>
      <c r="H13" s="1912"/>
      <c r="I13" s="1527"/>
    </row>
    <row r="14" spans="1:12" ht="12.75">
      <c r="A14" s="3370" t="s">
        <v>1907</v>
      </c>
      <c r="B14" s="3428">
        <v>30</v>
      </c>
      <c r="C14" s="3431">
        <v>1</v>
      </c>
      <c r="D14" s="3419">
        <v>1</v>
      </c>
      <c r="E14" s="136" t="s">
        <v>1908</v>
      </c>
      <c r="F14" s="1912"/>
      <c r="G14" s="1912"/>
      <c r="H14" s="1912"/>
      <c r="I14" s="1527"/>
    </row>
    <row r="15" spans="1:12" ht="12.75">
      <c r="A15" s="3370"/>
      <c r="B15" s="3428"/>
      <c r="C15" s="3433"/>
      <c r="D15" s="3419"/>
      <c r="E15" s="136" t="s">
        <v>1909</v>
      </c>
      <c r="F15" s="1912"/>
      <c r="G15" s="1912"/>
      <c r="H15" s="1912"/>
      <c r="I15" s="1527"/>
    </row>
    <row r="16" spans="1:12" ht="12.75">
      <c r="A16" s="3370"/>
      <c r="B16" s="3428"/>
      <c r="C16" s="3432"/>
      <c r="D16" s="3419"/>
      <c r="E16" s="136" t="s">
        <v>1910</v>
      </c>
      <c r="F16" s="1912"/>
      <c r="G16" s="1912"/>
      <c r="H16" s="1912"/>
      <c r="I16" s="1527"/>
    </row>
    <row r="17" spans="1:36" ht="15">
      <c r="A17" s="1913" t="s">
        <v>1911</v>
      </c>
      <c r="B17" s="60"/>
      <c r="C17" s="137">
        <f>SUM(C5:C16)</f>
        <v>1</v>
      </c>
      <c r="D17" s="137">
        <f>SUM(D5:D16)</f>
        <v>1</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50" t="s">
        <v>2810</v>
      </c>
      <c r="F18" s="3451"/>
      <c r="G18" s="3451"/>
      <c r="H18" s="3451"/>
      <c r="I18" s="3451"/>
      <c r="K18" s="308" t="s">
        <v>1915</v>
      </c>
      <c r="L18" s="308">
        <f>IF(C1="",'数据-汇总表'!E3,SUMIF(项目类型,C1,'数据-汇总表'!E17:E26)+SUMIF(项目类型,C1,'数据-汇总表'!I17:I26))</f>
        <v>32206.89000000029</v>
      </c>
      <c r="M18" s="308">
        <f>IF(C1="",'数据-汇总表'!E3,SUMIF(项目类型,C1,'数据-汇总表'!E17:E26))</f>
        <v>32206.89000000029</v>
      </c>
    </row>
    <row r="19" spans="1:36" ht="15">
      <c r="A19" s="1916" t="s">
        <v>1916</v>
      </c>
      <c r="B19" s="1917" t="s">
        <v>1917</v>
      </c>
      <c r="C19" s="139">
        <f ca="1">SUMIF(INDIRECT("'"&amp;C4&amp;"'"&amp;"!A:A"),结果表!B19,INDIRECT("'"&amp;C4&amp;"'"&amp;"!B:B"))</f>
        <v>18313</v>
      </c>
      <c r="D19" s="140">
        <f ca="1">SUMIF(INDIRECT("'"&amp;D4&amp;"'"&amp;"!A:A"),结果表!B19,INDIRECT("'"&amp;D4&amp;"'"&amp;"!B:B"))</f>
        <v>18313</v>
      </c>
      <c r="E19" s="1916" t="s">
        <v>1918</v>
      </c>
      <c r="F19" s="1917" t="s">
        <v>1917</v>
      </c>
      <c r="G19" s="141">
        <f ca="1">ROUND(C19*$C$18+D19*$D$18,0)</f>
        <v>18313</v>
      </c>
      <c r="H19" s="1918" t="s">
        <v>1919</v>
      </c>
      <c r="I19" s="134"/>
      <c r="K19" s="308" t="s">
        <v>1920</v>
      </c>
      <c r="L19" s="308">
        <f>IF(C1="",'数据-汇总表'!D3,SUMIF(项目类型,C1,'数据-汇总表'!D17:D26)+SUMIF(项目类型,C1,'数据-汇总表'!H17:H27))</f>
        <v>6976.24</v>
      </c>
      <c r="M19" s="308">
        <f>IF(C1="",'数据-汇总表'!D3,SUMIF(项目类型,C1,'数据-汇总表'!D17:D26))</f>
        <v>6976.24</v>
      </c>
    </row>
    <row r="20" spans="1:36" ht="15">
      <c r="A20" s="1919"/>
      <c r="B20" s="1157" t="s">
        <v>1921</v>
      </c>
      <c r="C20" s="142">
        <f ca="1">SUMIF(INDIRECT("'"&amp;C4&amp;"'"&amp;"!A:A"),结果表!B20,INDIRECT("'"&amp;C4&amp;"'"&amp;"!B:B"))</f>
        <v>5686</v>
      </c>
      <c r="D20" s="143">
        <f ca="1">SUMIF(INDIRECT("'"&amp;D4&amp;"'"&amp;"!A:A"),结果表!B20,INDIRECT("'"&amp;D4&amp;"'"&amp;"!B:B"))</f>
        <v>5686</v>
      </c>
      <c r="E20" s="1919"/>
      <c r="F20" s="1157" t="s">
        <v>1921</v>
      </c>
      <c r="G20" s="144">
        <f ca="1">ROUND(C20*$C$18+D20*$D$18,0)</f>
        <v>5686</v>
      </c>
      <c r="H20" s="917" t="s">
        <v>1922</v>
      </c>
      <c r="I20" s="134"/>
    </row>
    <row r="21" spans="1:36" ht="15" customHeight="1" thickBot="1">
      <c r="A21" s="937"/>
      <c r="B21" s="1920" t="s">
        <v>1923</v>
      </c>
      <c r="C21" s="728">
        <f ca="1">ROUND(C19*10000/L19,0)</f>
        <v>26251</v>
      </c>
      <c r="D21" s="729">
        <f ca="1">ROUND(D19*10000/L19,0)</f>
        <v>26251</v>
      </c>
      <c r="E21" s="937"/>
      <c r="F21" s="1920" t="s">
        <v>1923</v>
      </c>
      <c r="G21" s="145">
        <f ca="1">ROUND(G19*10000/L19,0)</f>
        <v>26251</v>
      </c>
      <c r="H21" s="1921" t="s">
        <v>1922</v>
      </c>
      <c r="I21" s="134"/>
    </row>
    <row r="22" spans="1:36" ht="15" thickBot="1">
      <c r="A22" s="1844" t="s">
        <v>1924</v>
      </c>
      <c r="B22" s="1922"/>
      <c r="C22" s="1923"/>
      <c r="D22" s="730">
        <f ca="1">IF(C19&lt;D19,D19/C19-1,C19/D19-1)</f>
        <v>0</v>
      </c>
      <c r="E22" s="134"/>
      <c r="F22" s="134"/>
      <c r="G22" s="134"/>
      <c r="H22" s="134"/>
      <c r="I22" s="134"/>
    </row>
    <row r="23" spans="1:36" ht="13.5" thickBot="1">
      <c r="A23" s="1902"/>
      <c r="B23" s="1902"/>
      <c r="C23" s="1902"/>
      <c r="D23" s="1902"/>
      <c r="E23" s="134"/>
      <c r="F23" s="134"/>
      <c r="G23" s="134"/>
      <c r="H23" s="134"/>
      <c r="I23" s="134"/>
    </row>
    <row r="24" spans="1:36" ht="14.25">
      <c r="A24" s="3443" t="s">
        <v>1925</v>
      </c>
      <c r="B24" s="1917" t="s">
        <v>1917</v>
      </c>
      <c r="C24" s="141">
        <f>IF(B30=0,0,D30)</f>
        <v>0</v>
      </c>
      <c r="D24" s="1924"/>
      <c r="E24" s="134"/>
      <c r="F24" s="134"/>
      <c r="G24" s="134"/>
      <c r="H24" s="134"/>
      <c r="I24" s="134"/>
    </row>
    <row r="25" spans="1:36" ht="14.25">
      <c r="A25" s="3444"/>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18313</v>
      </c>
      <c r="D32" s="1930" t="s">
        <v>3214</v>
      </c>
      <c r="E32" s="134"/>
      <c r="F32" s="134"/>
      <c r="G32" s="134"/>
      <c r="H32" s="134"/>
      <c r="I32" s="134"/>
    </row>
    <row r="33" spans="1:15" ht="15">
      <c r="A33" s="894" t="s">
        <v>1932</v>
      </c>
      <c r="B33" s="1931"/>
      <c r="C33" s="1932"/>
      <c r="D33" s="1933"/>
      <c r="E33" s="1934" t="s">
        <v>1933</v>
      </c>
      <c r="F33" s="1935" t="str">
        <f>IF(D32="楼面单价","取值（单价）","取值（总价）")</f>
        <v>取值（总价）</v>
      </c>
      <c r="G33" s="134"/>
      <c r="H33" s="134"/>
      <c r="I33" s="134"/>
    </row>
    <row r="34" spans="1:15" ht="15">
      <c r="A34" s="1936"/>
      <c r="B34" s="1937"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8" t="s">
        <v>1935</v>
      </c>
      <c r="F34" s="1470"/>
      <c r="G34" s="134"/>
      <c r="H34" s="134"/>
      <c r="I34" s="134"/>
    </row>
    <row r="35" spans="1:15" ht="15.75" thickBot="1">
      <c r="A35" s="1939"/>
      <c r="B35" s="1940"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1" t="s">
        <v>1937</v>
      </c>
      <c r="F35" s="159"/>
      <c r="G35" s="134"/>
      <c r="H35" s="134"/>
      <c r="I35" s="134"/>
    </row>
    <row r="36" spans="1:15" ht="15.75" thickBot="1">
      <c r="A36" s="3420" t="s">
        <v>1938</v>
      </c>
      <c r="B36" s="1942" t="s">
        <v>1939</v>
      </c>
      <c r="C36" s="150"/>
      <c r="D36" s="1943"/>
      <c r="E36" s="1944"/>
      <c r="F36" s="1945"/>
      <c r="G36" s="134"/>
      <c r="H36" s="134"/>
      <c r="I36" s="134"/>
    </row>
    <row r="37" spans="1:15" ht="15.75" thickBot="1">
      <c r="A37" s="3421"/>
      <c r="B37" s="1830" t="s">
        <v>1940</v>
      </c>
      <c r="C37" s="152"/>
      <c r="D37" s="1273"/>
      <c r="E37" s="1273"/>
      <c r="F37" s="1945"/>
      <c r="G37" s="134"/>
      <c r="H37" s="134"/>
      <c r="I37" s="134"/>
    </row>
    <row r="38" spans="1:15" ht="15.75" thickBot="1">
      <c r="A38" s="342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40" t="s">
        <v>1952</v>
      </c>
      <c r="B45" s="3441"/>
      <c r="C45" s="3442"/>
      <c r="D45" s="160">
        <f ca="1">ROUND(H101*F45,0)</f>
        <v>18313</v>
      </c>
      <c r="E45" s="161" t="s">
        <v>1953</v>
      </c>
      <c r="F45" s="162">
        <v>1</v>
      </c>
      <c r="G45" s="163" t="s">
        <v>1954</v>
      </c>
      <c r="H45" s="134"/>
      <c r="I45" s="134"/>
      <c r="J45" s="3357" t="s">
        <v>1955</v>
      </c>
      <c r="K45" s="3357"/>
      <c r="L45" s="3357"/>
      <c r="M45" s="3357"/>
      <c r="N45" s="3357"/>
      <c r="O45" s="3357"/>
    </row>
    <row r="46" spans="1:15" ht="14.25" customHeight="1">
      <c r="A46" s="3437" t="s">
        <v>1956</v>
      </c>
      <c r="B46" s="3438"/>
      <c r="C46" s="3438"/>
      <c r="D46" s="3438"/>
      <c r="E46" s="3438"/>
      <c r="F46" s="3438"/>
      <c r="G46" s="3439"/>
      <c r="H46" s="1961"/>
      <c r="I46" s="164"/>
      <c r="J46" s="2718">
        <v>1</v>
      </c>
      <c r="K46" s="3358" t="s">
        <v>1957</v>
      </c>
      <c r="L46" s="3358"/>
      <c r="M46" s="3359"/>
      <c r="N46" s="3359"/>
      <c r="O46" s="3359"/>
    </row>
    <row r="47" spans="1:15" ht="12" customHeight="1">
      <c r="A47" s="165" t="s">
        <v>1958</v>
      </c>
      <c r="B47" s="166"/>
      <c r="C47" s="167"/>
      <c r="D47" s="1219" t="s">
        <v>1959</v>
      </c>
      <c r="E47" s="308" t="s">
        <v>1960</v>
      </c>
      <c r="F47" s="168" t="s">
        <v>1961</v>
      </c>
      <c r="G47" s="2741" t="s">
        <v>1962</v>
      </c>
      <c r="H47" s="2742"/>
      <c r="I47" s="164"/>
      <c r="J47" s="2718">
        <v>2</v>
      </c>
      <c r="K47" s="3358" t="s">
        <v>1963</v>
      </c>
      <c r="L47" s="3358"/>
      <c r="M47" s="3360">
        <f>'数据-取费表'!B2</f>
        <v>44573</v>
      </c>
      <c r="N47" s="3360"/>
      <c r="O47" s="3360"/>
    </row>
    <row r="48" spans="1:15" ht="25.5">
      <c r="A48" s="3423" t="s">
        <v>1964</v>
      </c>
      <c r="B48" s="3424"/>
      <c r="C48" s="3424"/>
      <c r="D48" s="2516" t="b">
        <f>IF(H48="情况1",0,IF(H48="情况2",D52,IF(H48="情况3",D53,IF(H48="情况4",D54))))</f>
        <v>0</v>
      </c>
      <c r="E48" s="2526" t="str">
        <f>IF(H48="情况4","(销售额-原购置价)×税（费）率","销售额×税（费）率")</f>
        <v>销售额×税（费）率</v>
      </c>
      <c r="F48" s="2743">
        <f>IF(H48="情况1","免征",'数据-取费表'!B41)</f>
        <v>5.6000000000000001E-2</v>
      </c>
      <c r="G48" s="2744" t="s">
        <v>1965</v>
      </c>
      <c r="H48" s="2745"/>
      <c r="I48" s="1961"/>
      <c r="J48" s="2718">
        <v>3</v>
      </c>
      <c r="K48" s="3358" t="s">
        <v>1966</v>
      </c>
      <c r="L48" s="3358"/>
      <c r="M48" s="3361">
        <f ca="1">H101</f>
        <v>18313</v>
      </c>
      <c r="N48" s="3361"/>
      <c r="O48" s="3361"/>
    </row>
    <row r="49" spans="1:35" ht="25.5" customHeight="1">
      <c r="A49" s="2525" t="s">
        <v>1967</v>
      </c>
      <c r="B49" s="3406" t="s">
        <v>1968</v>
      </c>
      <c r="C49" s="3406"/>
      <c r="D49" s="1745">
        <v>0</v>
      </c>
      <c r="E49" s="330" t="s">
        <v>1969</v>
      </c>
      <c r="F49" s="2619" t="s">
        <v>34</v>
      </c>
      <c r="G49" s="3389"/>
      <c r="H49" s="2497" t="s">
        <v>2813</v>
      </c>
      <c r="I49" s="2498"/>
      <c r="J49" s="2718">
        <v>4</v>
      </c>
      <c r="K49" s="3358" t="str">
        <f>IF(项目基本情况!E8="房地产抵押价值","房地产抵押价值","抵押担保权已注销时的房地产抵押价值")</f>
        <v>房地产抵押价值</v>
      </c>
      <c r="L49" s="3358"/>
      <c r="M49" s="3361">
        <f ca="1">IF(项目基本情况!E8="房地产抵押价值",H107,H109)</f>
        <v>18313</v>
      </c>
      <c r="N49" s="3361"/>
      <c r="O49" s="3361"/>
    </row>
    <row r="50" spans="1:35" ht="25.5" customHeight="1">
      <c r="A50" s="2746"/>
      <c r="B50" s="3406" t="s">
        <v>1970</v>
      </c>
      <c r="C50" s="3406"/>
      <c r="D50" s="2747"/>
      <c r="E50" s="338"/>
      <c r="F50" s="2619"/>
      <c r="G50" s="3390"/>
      <c r="H50" s="2499" t="s">
        <v>2814</v>
      </c>
      <c r="I50" s="2498"/>
      <c r="J50" s="3357" t="s">
        <v>1971</v>
      </c>
      <c r="K50" s="3357"/>
      <c r="L50" s="3357"/>
      <c r="M50" s="3357"/>
      <c r="N50" s="3357"/>
      <c r="O50" s="3357"/>
    </row>
    <row r="51" spans="1:35" ht="20.45" customHeight="1">
      <c r="A51" s="2748"/>
      <c r="B51" s="3406" t="s">
        <v>1972</v>
      </c>
      <c r="C51" s="3406"/>
      <c r="D51" s="1219"/>
      <c r="E51" s="333"/>
      <c r="F51" s="2619"/>
      <c r="G51" s="3391"/>
      <c r="H51" s="2499" t="s">
        <v>2815</v>
      </c>
      <c r="I51" s="2498"/>
      <c r="J51" s="2719" t="s">
        <v>1973</v>
      </c>
      <c r="K51" s="3358" t="s">
        <v>1974</v>
      </c>
      <c r="L51" s="3358"/>
      <c r="M51" s="2719" t="s">
        <v>1975</v>
      </c>
      <c r="N51" s="2719" t="s">
        <v>1976</v>
      </c>
      <c r="O51" s="2719" t="s">
        <v>1977</v>
      </c>
    </row>
    <row r="52" spans="1:35" ht="24" customHeight="1">
      <c r="A52" s="2527" t="s">
        <v>1978</v>
      </c>
      <c r="B52" s="3406" t="s">
        <v>1979</v>
      </c>
      <c r="C52" s="3406"/>
      <c r="D52" s="1219">
        <f ca="1">ROUND(D45*'数据-取费表'!B41/(1+'数据-取费表'!C42),0)</f>
        <v>977</v>
      </c>
      <c r="E52" s="2526" t="s">
        <v>1980</v>
      </c>
      <c r="F52" s="2749">
        <f>'数据-取费表'!B41</f>
        <v>5.6000000000000001E-2</v>
      </c>
      <c r="G52" s="2750"/>
      <c r="H52" s="2739"/>
      <c r="I52" s="1962"/>
      <c r="J52" s="2718">
        <v>1</v>
      </c>
      <c r="K52" s="3383" t="s">
        <v>1981</v>
      </c>
      <c r="L52" s="3383"/>
      <c r="M52" s="2720" t="b">
        <f>D48</f>
        <v>0</v>
      </c>
      <c r="N52" s="2718" t="str">
        <f>E48</f>
        <v>销售额×税（费）率</v>
      </c>
      <c r="O52" s="2721">
        <f>F48</f>
        <v>5.6000000000000001E-2</v>
      </c>
    </row>
    <row r="53" spans="1:35" ht="12" customHeight="1">
      <c r="A53" s="2527" t="s">
        <v>1982</v>
      </c>
      <c r="B53" s="3407" t="s">
        <v>2974</v>
      </c>
      <c r="C53" s="3408"/>
      <c r="D53" s="1219">
        <f ca="1">ROUND(D45*'数据-取费表'!B41/(1+'数据-取费表'!C42),0)</f>
        <v>977</v>
      </c>
      <c r="E53" s="2526" t="s">
        <v>1980</v>
      </c>
      <c r="F53" s="2749">
        <f>'数据-取费表'!B41</f>
        <v>5.6000000000000001E-2</v>
      </c>
      <c r="G53" s="2750"/>
      <c r="H53" s="2739"/>
      <c r="I53" s="1962"/>
      <c r="J53" s="2718">
        <v>2</v>
      </c>
      <c r="K53" s="3383" t="s">
        <v>1983</v>
      </c>
      <c r="L53" s="3383"/>
      <c r="M53" s="2720">
        <f t="shared" ref="M53:O54" ca="1" si="0">D55</f>
        <v>9</v>
      </c>
      <c r="N53" s="2718" t="str">
        <f t="shared" si="0"/>
        <v>销售额×税（费）率</v>
      </c>
      <c r="O53" s="2721" t="str">
        <f t="shared" si="0"/>
        <v>免征</v>
      </c>
    </row>
    <row r="54" spans="1:35" ht="12" customHeight="1">
      <c r="A54" s="2527" t="s">
        <v>1984</v>
      </c>
      <c r="B54" s="3407" t="s">
        <v>2975</v>
      </c>
      <c r="C54" s="3408"/>
      <c r="D54" s="1219">
        <f ca="1">C68</f>
        <v>977</v>
      </c>
      <c r="E54" s="333" t="s">
        <v>1985</v>
      </c>
      <c r="F54" s="2749">
        <f>'数据-取费表'!B41</f>
        <v>5.6000000000000001E-2</v>
      </c>
      <c r="G54" s="2750"/>
      <c r="H54" s="2751"/>
      <c r="I54" s="1962"/>
      <c r="J54" s="2718">
        <v>3</v>
      </c>
      <c r="K54" s="3383" t="s">
        <v>1986</v>
      </c>
      <c r="L54" s="3383"/>
      <c r="M54" s="2720">
        <f t="shared" ca="1" si="0"/>
        <v>10365</v>
      </c>
      <c r="N54" s="2718" t="str">
        <f t="shared" si="0"/>
        <v>增值额×税（费）率</v>
      </c>
      <c r="O54" s="2722" t="str">
        <f t="shared" si="0"/>
        <v>免征</v>
      </c>
    </row>
    <row r="55" spans="1:35" ht="24" customHeight="1">
      <c r="A55" s="3446" t="s">
        <v>1987</v>
      </c>
      <c r="B55" s="3424"/>
      <c r="C55" s="3424"/>
      <c r="D55" s="2516">
        <f ca="1">IF(H55="个人住宅",0,ROUND(D45*I55,0))</f>
        <v>9</v>
      </c>
      <c r="E55" s="2526" t="s">
        <v>1988</v>
      </c>
      <c r="F55" s="2749" t="str">
        <f>IF(H55="正常",I55,"免征")</f>
        <v>免征</v>
      </c>
      <c r="G55" s="2750"/>
      <c r="H55" s="2745"/>
      <c r="I55" s="170">
        <f>'数据-取费表'!B49</f>
        <v>5.0000000000000001E-4</v>
      </c>
      <c r="J55" s="2718">
        <f>IF(H59="非个人房产","",4)</f>
        <v>4</v>
      </c>
      <c r="K55" s="3383" t="str">
        <f>IF(H59="非个人房产","——","个人所得税")</f>
        <v>个人所得税</v>
      </c>
      <c r="L55" s="3383"/>
      <c r="M55" s="2723">
        <f ca="1">D59</f>
        <v>174</v>
      </c>
      <c r="N55" s="2197" t="str">
        <f>E59</f>
        <v>差额计税</v>
      </c>
      <c r="O55" s="2724">
        <f>F59</f>
        <v>0.01</v>
      </c>
    </row>
    <row r="56" spans="1:35" ht="24.75">
      <c r="A56" s="3446" t="s">
        <v>1989</v>
      </c>
      <c r="B56" s="3424"/>
      <c r="C56" s="3424"/>
      <c r="D56" s="2516">
        <f ca="1">IF(H56="个人住宅",D57,D58)</f>
        <v>10365</v>
      </c>
      <c r="E56" s="2526" t="s">
        <v>1990</v>
      </c>
      <c r="F56" s="2749" t="str">
        <f>IF(H56="正常",F58,"免征")</f>
        <v>免征</v>
      </c>
      <c r="G56" s="2752" t="s">
        <v>1991</v>
      </c>
      <c r="H56" s="2753"/>
      <c r="I56" s="1963"/>
      <c r="J56" s="2718" t="str">
        <f>IF(项目基本情况!K6="上海银行",IF(J55="",4,J55+1),"")</f>
        <v/>
      </c>
      <c r="K56" s="3364" t="str">
        <f>IF(项目基本情况!K6="上海银行","其他处置费用","")</f>
        <v/>
      </c>
      <c r="L56" s="3365"/>
      <c r="M56" s="2720" t="str">
        <f>IF(项目基本情况!K6="上海银行",M69,"")</f>
        <v/>
      </c>
      <c r="N56" s="3364" t="str">
        <f>IF(项目基本情况!K6="上海银行","包含处置中涉及的律师、诉讼、拍卖、评估等费用","")</f>
        <v/>
      </c>
      <c r="O56" s="3367"/>
    </row>
    <row r="57" spans="1:35" ht="12.75">
      <c r="A57" s="2527" t="s">
        <v>1967</v>
      </c>
      <c r="B57" s="3407" t="s">
        <v>1992</v>
      </c>
      <c r="C57" s="3408"/>
      <c r="D57" s="1745">
        <v>0</v>
      </c>
      <c r="E57" s="330" t="s">
        <v>1969</v>
      </c>
      <c r="F57" s="308"/>
      <c r="G57" s="2750"/>
      <c r="H57" s="2754"/>
      <c r="I57" s="1963"/>
      <c r="J57" s="3383">
        <f>IF(AND(J55="",J56=""),4,IF(项目基本情况!K6="上海银行",结果表!J56+1,结果表!J55+1))</f>
        <v>5</v>
      </c>
      <c r="K57" s="3383" t="s">
        <v>1993</v>
      </c>
      <c r="L57" s="2725" t="s">
        <v>1994</v>
      </c>
      <c r="M57" s="2726"/>
      <c r="N57" s="2727">
        <f ca="1">SUMIF(M52:M56,"&lt;9e307")</f>
        <v>10548</v>
      </c>
      <c r="O57" s="2728"/>
      <c r="P57" s="2888">
        <f ca="1">N57/M49</f>
        <v>0.57598427346693604</v>
      </c>
    </row>
    <row r="58" spans="1:35" ht="24.75">
      <c r="A58" s="2527" t="s">
        <v>1978</v>
      </c>
      <c r="B58" s="3407" t="s">
        <v>1995</v>
      </c>
      <c r="C58" s="3406"/>
      <c r="D58" s="2516">
        <f ca="1">IF(H58="转让取得",C81,C97)</f>
        <v>10365</v>
      </c>
      <c r="E58" s="2526" t="s">
        <v>1990</v>
      </c>
      <c r="F58" s="308" t="s">
        <v>34</v>
      </c>
      <c r="G58" s="2750"/>
      <c r="H58" s="2753"/>
      <c r="I58" s="1963"/>
      <c r="J58" s="3383"/>
      <c r="K58" s="3383"/>
      <c r="L58" s="2725" t="s">
        <v>1996</v>
      </c>
      <c r="M58" s="2729"/>
      <c r="N58" s="2730" t="str">
        <f ca="1">NUMBERSTRING(INT(N57*10000),2)&amp;"元整"</f>
        <v>壹亿零伍佰肆拾捌万元整</v>
      </c>
      <c r="O58" s="2731"/>
    </row>
    <row r="59" spans="1:35" ht="24.75" thickBot="1">
      <c r="A59" s="3387" t="s">
        <v>1997</v>
      </c>
      <c r="B59" s="3388"/>
      <c r="C59" s="3388"/>
      <c r="D59" s="2755">
        <f ca="1">IF(H59="非个人房产","——",IF(H59="个人住宅（满五唯一有凭证）",0,IF(H59="个人其他（无凭证）",ROUND(D45*F59,0),ROUND(C67*F59,0))))</f>
        <v>174</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385">
        <f>J57+1</f>
        <v>6</v>
      </c>
      <c r="K59" s="3383" t="s">
        <v>1998</v>
      </c>
      <c r="L59" s="2718" t="s">
        <v>1994</v>
      </c>
      <c r="M59" s="2732"/>
      <c r="N59" s="2733">
        <f ca="1">M49-N57</f>
        <v>7765</v>
      </c>
      <c r="O59" s="2734"/>
    </row>
    <row r="60" spans="1:35" ht="12" customHeight="1">
      <c r="A60" s="1964"/>
      <c r="B60" s="1902"/>
      <c r="C60" s="1902"/>
      <c r="D60" s="1902"/>
      <c r="E60" s="1733"/>
      <c r="F60" s="1963"/>
      <c r="G60" s="1963"/>
      <c r="H60" s="1965"/>
      <c r="I60" s="134"/>
      <c r="J60" s="3386"/>
      <c r="K60" s="3383"/>
      <c r="L60" s="2725" t="s">
        <v>1996</v>
      </c>
      <c r="M60" s="2729"/>
      <c r="N60" s="2730" t="str">
        <f ca="1">NUMBERSTRING(INT(N59*10000),2)&amp;"元整"</f>
        <v>柒仟柒佰陆拾伍万元整</v>
      </c>
      <c r="O60" s="2731"/>
    </row>
    <row r="61" spans="1:35" ht="13.5" thickBot="1">
      <c r="A61" s="3445" t="s">
        <v>1999</v>
      </c>
      <c r="B61" s="3445"/>
      <c r="C61" s="3445"/>
      <c r="D61" s="3445"/>
      <c r="E61" s="3445"/>
      <c r="F61" s="1963"/>
      <c r="G61" s="1963"/>
      <c r="H61" s="1965"/>
      <c r="I61" s="134"/>
      <c r="J61" s="2718">
        <f>J59+1</f>
        <v>7</v>
      </c>
      <c r="K61" s="3383" t="s">
        <v>2000</v>
      </c>
      <c r="L61" s="3383"/>
      <c r="M61" s="2735"/>
      <c r="N61" s="2736">
        <f ca="1">ROUND(N59*10000/'数据-汇总表'!E3,0)</f>
        <v>2411</v>
      </c>
      <c r="O61" s="2737"/>
    </row>
    <row r="62" spans="1:35" ht="12.75">
      <c r="A62" s="3402" t="s">
        <v>2001</v>
      </c>
      <c r="B62" s="3403"/>
      <c r="C62" s="2178"/>
      <c r="D62" s="2178" t="s">
        <v>2002</v>
      </c>
      <c r="E62" s="171" t="s">
        <v>2003</v>
      </c>
      <c r="F62" s="1963"/>
      <c r="G62" s="1963"/>
      <c r="H62" s="1965"/>
      <c r="I62" s="134"/>
    </row>
    <row r="63" spans="1:35" ht="12.75">
      <c r="A63" s="178" t="s">
        <v>775</v>
      </c>
      <c r="B63" s="172" t="s">
        <v>2004</v>
      </c>
      <c r="C63" s="2759">
        <f ca="1">ROUND((C64+C65)/(1+'数据-取费表'!C42),0)</f>
        <v>17441</v>
      </c>
      <c r="D63" s="172"/>
      <c r="E63" s="173"/>
      <c r="F63" s="1963"/>
      <c r="G63" s="1963"/>
      <c r="H63" s="1965"/>
      <c r="I63" s="134"/>
      <c r="J63" s="3366" t="s">
        <v>2005</v>
      </c>
      <c r="K63" s="1472" t="s">
        <v>2006</v>
      </c>
      <c r="L63" s="1472">
        <f ca="1">IF(M49&gt;10000,M49*0.5%,IF(AND(M49&gt;1000,M49&lt;=10000),M49*1%,IF(AND(M49&gt;100,M49&lt;=1000),M49*3%,IF(AND(M49&gt;10,M49&lt;=100),M49*5%,M49*8%))))</f>
        <v>91.564999999999998</v>
      </c>
      <c r="M63" s="308">
        <f ca="1">ROUND(L63,1)</f>
        <v>91.6</v>
      </c>
      <c r="N63" s="2738"/>
      <c r="Z63" s="1907"/>
      <c r="AI63" s="1908"/>
    </row>
    <row r="64" spans="1:35" ht="14.25" customHeight="1">
      <c r="A64" s="174" t="s">
        <v>770</v>
      </c>
      <c r="B64" s="175" t="s">
        <v>2007</v>
      </c>
      <c r="C64" s="2760">
        <f ca="1">D45</f>
        <v>18313</v>
      </c>
      <c r="D64" s="175" t="s">
        <v>32</v>
      </c>
      <c r="E64" s="177"/>
      <c r="F64" s="1963"/>
      <c r="G64" s="1963"/>
      <c r="H64" s="1965"/>
      <c r="I64" s="134"/>
      <c r="J64" s="3366"/>
      <c r="K64" s="1472" t="s">
        <v>2008</v>
      </c>
      <c r="L64" s="1472">
        <f ca="1">IF(M49&gt;2000,M49*0.5%,IF(AND(M49&gt;1000,M49&lt;=2000),M49*0.6%,IF(AND(M49&gt;500,M49&lt;=1000),M49*0.7%,IF(AND(M49&gt;200,M49&lt;=500),M49*0.8%,IF(AND(M49&gt;100,M49&lt;=200),M49*0.9%,IF(AND(M49&gt;50,M49&lt;=100),M49*1%,IF(AND(M49&gt;20,M49&lt;=50),M49*1.5%,IF(AND(M49&gt;10,M49&lt;=20),M49*2%,IF(AND(M49&gt;1,M49&lt;=10),M49*2.5%)))))))))</f>
        <v>91.564999999999998</v>
      </c>
      <c r="M64" s="308">
        <f t="shared" ref="M64:M65" ca="1" si="1">ROUND(L64,1)</f>
        <v>91.6</v>
      </c>
      <c r="N64" s="2739" t="s">
        <v>2009</v>
      </c>
      <c r="Z64" s="1907"/>
      <c r="AI64" s="1908"/>
    </row>
    <row r="65" spans="1:35" ht="14.25" customHeight="1">
      <c r="A65" s="174" t="s">
        <v>771</v>
      </c>
      <c r="B65" s="175" t="s">
        <v>2010</v>
      </c>
      <c r="C65" s="2761"/>
      <c r="D65" s="175"/>
      <c r="E65" s="177"/>
      <c r="F65" s="1963"/>
      <c r="G65" s="1963"/>
      <c r="H65" s="1965"/>
      <c r="I65" s="134"/>
      <c r="J65" s="3366"/>
      <c r="K65" s="1472" t="s">
        <v>2011</v>
      </c>
      <c r="L65" s="1472">
        <f ca="1">IF(M49&gt;1000,M49*0.1%,IF(AND(M49&gt;500,M49&lt;=1000),M49*0.5%,IF(AND(M49&gt;50,M49&lt;=500),M49*1%,IF(AND(M49&gt;1,M49&lt;=50),M49*1.5%))))</f>
        <v>18.312999999999999</v>
      </c>
      <c r="M65" s="308">
        <f t="shared" ca="1" si="1"/>
        <v>18.3</v>
      </c>
      <c r="N65" s="2739" t="s">
        <v>2009</v>
      </c>
      <c r="Z65" s="1907"/>
      <c r="AI65" s="1908"/>
    </row>
    <row r="66" spans="1:35" ht="14.25" customHeight="1">
      <c r="A66" s="178" t="s">
        <v>772</v>
      </c>
      <c r="B66" s="179" t="s">
        <v>2012</v>
      </c>
      <c r="C66" s="2762"/>
      <c r="D66" s="179" t="s">
        <v>32</v>
      </c>
      <c r="E66" s="1479" t="s">
        <v>1277</v>
      </c>
      <c r="F66" s="1963"/>
      <c r="G66" s="1963"/>
      <c r="H66" s="1965"/>
      <c r="I66" s="134"/>
      <c r="J66" s="3366"/>
      <c r="K66" s="1472" t="s">
        <v>2013</v>
      </c>
      <c r="L66" s="1472">
        <f ca="1">M49*0.5%</f>
        <v>91.564999999999998</v>
      </c>
      <c r="M66" s="308">
        <f ca="1">IF(L66&gt;0.5,0.5,ROUND(L66,0))</f>
        <v>0.5</v>
      </c>
      <c r="N66" s="2739" t="s">
        <v>2014</v>
      </c>
      <c r="Z66" s="1907"/>
      <c r="AI66" s="1908"/>
    </row>
    <row r="67" spans="1:35" ht="14.25" customHeight="1">
      <c r="A67" s="178" t="s">
        <v>773</v>
      </c>
      <c r="B67" s="179" t="s">
        <v>2015</v>
      </c>
      <c r="C67" s="2763">
        <f ca="1">C63-C66</f>
        <v>17441</v>
      </c>
      <c r="D67" s="175" t="s">
        <v>32</v>
      </c>
      <c r="E67" s="177"/>
      <c r="F67" s="1963"/>
      <c r="G67" s="1963"/>
      <c r="H67" s="1965"/>
      <c r="I67" s="134"/>
      <c r="J67" s="3366"/>
      <c r="K67" s="1472" t="s">
        <v>2016</v>
      </c>
      <c r="L67" s="1472">
        <f ca="1">IF(M49&gt;=10000,(8.25+(M49-10000)*0.01%),IF(AND(M49&gt;=8000,M49&lt;10000),(7.85+(M49-8000)*0.02%),IF(AND(M49&gt;=5000,M49&lt;8000),(6.65+(M49-5000)*0.04%),IF(AND(M49&gt;=2000,M49&lt;5000),(4.25+(PM49-2000)*0.08%),IF(AND(M49&gt;=1000,M49&lt;2000),(2.75+(M49-1000)*0.15%),IF(AND(M49&gt;=100,M49&lt;1000),(0.5+(M49-100)*0.25%),IF(AND(M49&gt;0,M49&lt;100),M49*0.5%)))))))</f>
        <v>9.0813000000000006</v>
      </c>
      <c r="M67" s="308">
        <f ca="1">ROUND(L67*0.9,1)</f>
        <v>8.1999999999999993</v>
      </c>
      <c r="N67" s="2738"/>
      <c r="Z67" s="1907"/>
      <c r="AI67" s="1908"/>
    </row>
    <row r="68" spans="1:35" ht="14.25" customHeight="1" thickBot="1">
      <c r="A68" s="181" t="s">
        <v>774</v>
      </c>
      <c r="B68" s="182" t="s">
        <v>2017</v>
      </c>
      <c r="C68" s="2764">
        <f ca="1">IF(C67&lt;=0,0,ROUND(C67*D68,0))</f>
        <v>977</v>
      </c>
      <c r="D68" s="2765">
        <f>'数据-取费表'!B41</f>
        <v>5.6000000000000001E-2</v>
      </c>
      <c r="E68" s="184"/>
      <c r="F68" s="1963"/>
      <c r="G68" s="1963"/>
      <c r="H68" s="1965"/>
      <c r="I68" s="134"/>
      <c r="J68" s="3366"/>
      <c r="K68" s="1472" t="s">
        <v>2018</v>
      </c>
      <c r="L68" s="1472">
        <f ca="1">IF(M49&gt;10000,M49*0.5%,IF(AND(M49&gt;5000,M49&lt;=10000),M49*1%,IF(AND(M49&gt;1000,M49&lt;=5000),M49*2%,IF(AND(M49&gt;200,M49&lt;=1000),M49*3%,M49*5%))))</f>
        <v>91.564999999999998</v>
      </c>
      <c r="M68" s="308">
        <f ca="1">ROUND(L68,1)</f>
        <v>91.6</v>
      </c>
      <c r="N68" s="2738"/>
      <c r="Z68" s="1907"/>
      <c r="AI68" s="1908"/>
    </row>
    <row r="69" spans="1:35" s="1927" customFormat="1" ht="16.5" customHeight="1">
      <c r="A69" s="1966"/>
      <c r="B69" s="1967"/>
      <c r="C69" s="1968"/>
      <c r="D69" s="1969"/>
      <c r="E69" s="1970"/>
      <c r="F69" s="1733"/>
      <c r="G69" s="1733"/>
      <c r="H69" s="1732"/>
      <c r="I69" s="1902"/>
      <c r="J69" s="3366"/>
      <c r="K69" s="1472" t="s">
        <v>2019</v>
      </c>
      <c r="L69" s="1472"/>
      <c r="M69" s="308">
        <f ca="1">ROUND(SUM(M63:M68),0)</f>
        <v>302</v>
      </c>
      <c r="N69" s="2740">
        <f ca="1">M69/M49</f>
        <v>1.6491017310107575E-2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0" t="s">
        <v>2020</v>
      </c>
      <c r="B70" s="3411"/>
      <c r="C70" s="3411"/>
      <c r="D70" s="3411"/>
      <c r="E70" s="3411"/>
      <c r="F70" s="3411"/>
      <c r="G70" s="3411"/>
      <c r="H70" s="341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2" t="s">
        <v>2001</v>
      </c>
      <c r="B71" s="3403"/>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17441</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105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07" t="s">
        <v>2028</v>
      </c>
      <c r="F76" s="3406"/>
      <c r="G76" s="3406"/>
      <c r="H76" s="340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105</v>
      </c>
      <c r="D78" s="2772">
        <f>'数据-取费表'!B43</f>
        <v>6.000000000000001E-3</v>
      </c>
      <c r="E78" s="3399" t="s">
        <v>2032</v>
      </c>
      <c r="F78" s="3400"/>
      <c r="G78" s="3400"/>
      <c r="H78" s="340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17336</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165.10476190476192</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10365</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0" t="s">
        <v>2036</v>
      </c>
      <c r="B83" s="3411"/>
      <c r="C83" s="3411"/>
      <c r="D83" s="3411"/>
      <c r="E83" s="3411"/>
      <c r="F83" s="3411"/>
      <c r="G83" s="3411"/>
      <c r="H83" s="341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2" t="s">
        <v>2001</v>
      </c>
      <c r="B84" s="3403"/>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17441</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105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68" t="s">
        <v>2808</v>
      </c>
      <c r="H90" s="3369"/>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99" t="s">
        <v>2045</v>
      </c>
      <c r="F91" s="3400"/>
      <c r="G91" s="3400"/>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99" t="s">
        <v>2048</v>
      </c>
      <c r="F92" s="3400"/>
      <c r="G92" s="3400"/>
      <c r="H92" s="3401"/>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105</v>
      </c>
      <c r="D93" s="2772">
        <f>'数据-取费表'!B43</f>
        <v>6.000000000000001E-3</v>
      </c>
      <c r="E93" s="3399" t="s">
        <v>2032</v>
      </c>
      <c r="F93" s="3400"/>
      <c r="G93" s="3400"/>
      <c r="H93" s="340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7" t="s">
        <v>2052</v>
      </c>
      <c r="F94" s="3448"/>
      <c r="G94" s="3448"/>
      <c r="H94" s="344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17336</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165.10476190476192</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10365</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49" t="s">
        <v>2054</v>
      </c>
      <c r="B100" s="3350"/>
      <c r="C100" s="3350"/>
      <c r="D100" s="3384"/>
      <c r="E100" s="3350" t="s">
        <v>2055</v>
      </c>
      <c r="F100" s="3350"/>
      <c r="G100" s="3350"/>
      <c r="H100" s="3384"/>
      <c r="I100" s="134"/>
    </row>
    <row r="101" spans="1:35" ht="18.75" customHeight="1">
      <c r="A101" s="3392" t="s">
        <v>2056</v>
      </c>
      <c r="B101" s="3393"/>
      <c r="C101" s="2780" t="str">
        <f>C4</f>
        <v>典型户型修正</v>
      </c>
      <c r="D101" s="2781" t="str">
        <f>D4</f>
        <v>典型户型修正</v>
      </c>
      <c r="E101" s="3362" t="s">
        <v>2057</v>
      </c>
      <c r="F101" s="3363"/>
      <c r="G101" s="1982" t="s">
        <v>2058</v>
      </c>
      <c r="H101" s="2790">
        <f ca="1">H118</f>
        <v>18313</v>
      </c>
      <c r="I101" s="134"/>
    </row>
    <row r="102" spans="1:35" ht="18.75" customHeight="1">
      <c r="A102" s="3394" t="s">
        <v>2059</v>
      </c>
      <c r="B102" s="2779" t="s">
        <v>2058</v>
      </c>
      <c r="C102" s="2780">
        <f ca="1">C19</f>
        <v>18313</v>
      </c>
      <c r="D102" s="2781">
        <f ca="1">D19</f>
        <v>18313</v>
      </c>
      <c r="E102" s="3362"/>
      <c r="F102" s="3363"/>
      <c r="G102" s="1982" t="s">
        <v>2060</v>
      </c>
      <c r="H102" s="2750">
        <f ca="1">I118</f>
        <v>5686</v>
      </c>
      <c r="I102" s="134"/>
    </row>
    <row r="103" spans="1:35" ht="42.75" customHeight="1">
      <c r="A103" s="3394"/>
      <c r="B103" s="2779" t="s">
        <v>2060</v>
      </c>
      <c r="C103" s="2782">
        <f ca="1">C20</f>
        <v>5686</v>
      </c>
      <c r="D103" s="2783">
        <f ca="1">D20</f>
        <v>5686</v>
      </c>
      <c r="E103" s="3355" t="s">
        <v>2061</v>
      </c>
      <c r="F103" s="3356"/>
      <c r="G103" s="1983" t="s">
        <v>2062</v>
      </c>
      <c r="H103" s="2790">
        <f>IF(D36="正常操作",H104+H105+H106,H105+H106)</f>
        <v>0</v>
      </c>
      <c r="I103" s="134"/>
    </row>
    <row r="104" spans="1:35" ht="18.75" customHeight="1">
      <c r="A104" s="3394" t="s">
        <v>2063</v>
      </c>
      <c r="B104" s="2784" t="s">
        <v>2058</v>
      </c>
      <c r="C104" s="2785">
        <f ca="1">H118</f>
        <v>18313</v>
      </c>
      <c r="D104" s="2786"/>
      <c r="E104" s="1830" t="s">
        <v>2064</v>
      </c>
      <c r="F104" s="1821"/>
      <c r="G104" s="1983" t="s">
        <v>2062</v>
      </c>
      <c r="H104" s="2791">
        <f>IF(D36="同一抵押权人同一抵押物续贷",C36&amp;"（续贷，未扣减，详见特别提示）",C36)</f>
        <v>0</v>
      </c>
      <c r="I104" s="134"/>
    </row>
    <row r="105" spans="1:35" ht="18.75" customHeight="1" thickBot="1">
      <c r="A105" s="3404"/>
      <c r="B105" s="2787" t="s">
        <v>2060</v>
      </c>
      <c r="C105" s="2788">
        <f ca="1">I118</f>
        <v>5686</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95" t="str">
        <f>IF(项目基本情况!E8="已注销","——","3.房地产抵押价值")</f>
        <v>3.房地产抵押价值</v>
      </c>
      <c r="F107" s="3363"/>
      <c r="G107" s="1982" t="s">
        <v>2058</v>
      </c>
      <c r="H107" s="2790">
        <f ca="1">IF(E107="——","——",H101-H103)</f>
        <v>18313</v>
      </c>
      <c r="I107" s="134"/>
    </row>
    <row r="108" spans="1:35" ht="18.75" customHeight="1">
      <c r="A108" s="134"/>
      <c r="B108" s="134"/>
      <c r="C108" s="134"/>
      <c r="D108" s="134"/>
      <c r="E108" s="3395"/>
      <c r="F108" s="3363"/>
      <c r="G108" s="1982" t="s">
        <v>2060</v>
      </c>
      <c r="H108" s="2750">
        <f ca="1">ROUND(H107*10000/'数据-汇总表'!E3,0)</f>
        <v>5686</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63"/>
      <c r="G109" s="1982" t="s">
        <v>2058</v>
      </c>
      <c r="H109" s="2793" t="str">
        <f>IF(E109="——","——",H101-H105-H106)</f>
        <v>——</v>
      </c>
      <c r="I109" s="134"/>
    </row>
    <row r="110" spans="1:35" ht="18.75" customHeight="1">
      <c r="A110" s="134"/>
      <c r="B110" s="134"/>
      <c r="C110" s="134"/>
      <c r="D110" s="134"/>
      <c r="E110" s="3395"/>
      <c r="F110" s="3363"/>
      <c r="G110" s="1982" t="s">
        <v>2060</v>
      </c>
      <c r="H110" s="2750" t="str">
        <f>IF(H109="——","——",ROUND(H109*10000/'数据-汇总表'!E3,0))</f>
        <v>——</v>
      </c>
      <c r="I110" s="134"/>
    </row>
    <row r="111" spans="1:35" ht="18.75" customHeight="1">
      <c r="A111" s="134"/>
      <c r="B111" s="134"/>
      <c r="C111" s="134"/>
      <c r="D111" s="134"/>
      <c r="E111" s="3396" t="str">
        <f>IF(项目基本情况!E9="抵押净值",IF(OR(项目基本情况!E8="已注销",项目基本情况!E8="房地产抵押价值"),"4.抵押净值","5.抵押净值"),"——")</f>
        <v>——</v>
      </c>
      <c r="F111" s="3382"/>
      <c r="G111" s="1982" t="s">
        <v>2058</v>
      </c>
      <c r="H111" s="2790" t="str">
        <f>IF(E111="——","——",N59)</f>
        <v>——</v>
      </c>
      <c r="I111" s="134"/>
    </row>
    <row r="112" spans="1:35" ht="18.75" customHeight="1" thickBot="1">
      <c r="A112" s="134"/>
      <c r="B112" s="134"/>
      <c r="C112" s="134"/>
      <c r="D112" s="134"/>
      <c r="E112" s="3397"/>
      <c r="F112" s="3398"/>
      <c r="G112" s="1985" t="s">
        <v>2060</v>
      </c>
      <c r="H112" s="2794" t="str">
        <f>IF(E111="——","——",N61)</f>
        <v>——</v>
      </c>
      <c r="I112" s="134"/>
    </row>
    <row r="113" spans="1:27" ht="18.75" customHeight="1">
      <c r="A113" s="134"/>
      <c r="B113" s="134"/>
      <c r="C113" s="134"/>
      <c r="D113" s="134"/>
      <c r="E113" s="3405" t="s">
        <v>2066</v>
      </c>
      <c r="F113" s="3405"/>
      <c r="G113" s="3405"/>
      <c r="H113" s="3405"/>
      <c r="I113" s="134"/>
    </row>
    <row r="114" spans="1:27" ht="3.75" customHeight="1">
      <c r="A114" s="1902"/>
      <c r="B114" s="1902"/>
      <c r="C114" s="1902"/>
      <c r="D114" s="1902"/>
      <c r="E114" s="1964"/>
      <c r="F114" s="1964"/>
      <c r="G114" s="1964"/>
      <c r="H114" s="1964"/>
      <c r="I114" s="1902"/>
    </row>
    <row r="115" spans="1:27" ht="18.75" customHeight="1">
      <c r="A115" s="3416" t="s">
        <v>2068</v>
      </c>
      <c r="B115" s="3417"/>
      <c r="C115" s="3417"/>
      <c r="D115" s="3417"/>
      <c r="E115" s="3417"/>
      <c r="F115" s="3417"/>
      <c r="G115" s="3417"/>
      <c r="H115" s="3417"/>
      <c r="I115" s="3418"/>
    </row>
    <row r="116" spans="1:27" ht="27" customHeight="1">
      <c r="A116" s="3370" t="s">
        <v>2069</v>
      </c>
      <c r="B116" s="3374" t="s">
        <v>2070</v>
      </c>
      <c r="C116" s="3374" t="s">
        <v>2071</v>
      </c>
      <c r="D116" s="3380" t="s">
        <v>2072</v>
      </c>
      <c r="E116" s="3381"/>
      <c r="F116" s="3412" t="s">
        <v>2073</v>
      </c>
      <c r="G116" s="3412"/>
      <c r="H116" s="3370" t="s">
        <v>2074</v>
      </c>
      <c r="I116" s="3370"/>
    </row>
    <row r="117" spans="1:27" ht="18.75" customHeight="1">
      <c r="A117" s="3370"/>
      <c r="B117" s="3375"/>
      <c r="C117" s="337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32206.89000000029</v>
      </c>
      <c r="C118" s="2521">
        <f>M19</f>
        <v>6976.24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f ca="1">ROUND(IF(D32="总价",C32,I118*B118/10000),0)</f>
        <v>18313</v>
      </c>
      <c r="I118" s="2521">
        <f ca="1">ROUND(IF(D32="楼面单价",C32,H118*10000/B118),0)</f>
        <v>5686</v>
      </c>
    </row>
    <row r="119" spans="1:27" ht="18.75" customHeight="1">
      <c r="A119" s="3370" t="s">
        <v>2078</v>
      </c>
      <c r="B119" s="3370"/>
      <c r="C119" s="3370"/>
      <c r="D119" s="3376" t="e">
        <f ca="1">NUMBERSTRING(INT(D118*10000),2)&amp;"元整"</f>
        <v>#REF!</v>
      </c>
      <c r="E119" s="3377"/>
      <c r="F119" s="3376" t="e">
        <f ca="1">NUMBERSTRING(INT(F118*10000),2)&amp;"元整"</f>
        <v>#REF!</v>
      </c>
      <c r="G119" s="3377"/>
      <c r="H119" s="3376" t="str">
        <f ca="1">NUMBERSTRING(INT(H118*10000),2)&amp;"元整"</f>
        <v>壹亿捌仟叁佰壹拾叁万元整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13" t="s">
        <v>2078</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房地产抵押价值</v>
      </c>
      <c r="B122" s="3382"/>
      <c r="C122" s="3382"/>
      <c r="D122" s="3371">
        <f ca="1">H107</f>
        <v>18313</v>
      </c>
      <c r="E122" s="3372"/>
      <c r="F122" s="3372"/>
      <c r="G122" s="3372"/>
      <c r="H122" s="3372"/>
      <c r="I122" s="3373"/>
      <c r="AA122" s="734"/>
    </row>
    <row r="123" spans="1:27" ht="18.75" customHeight="1">
      <c r="A123" s="3370" t="s">
        <v>2078</v>
      </c>
      <c r="B123" s="3370"/>
      <c r="C123" s="3370"/>
      <c r="D123" s="3376" t="str">
        <f ca="1">NUMBERSTRING(INT(D122*10000),2)&amp;"元整"</f>
        <v>壹亿捌仟叁佰壹拾叁万元整</v>
      </c>
      <c r="E123" s="3378"/>
      <c r="F123" s="3378"/>
      <c r="G123" s="3378"/>
      <c r="H123" s="3378"/>
      <c r="I123" s="3377"/>
      <c r="AA123" s="734"/>
    </row>
    <row r="124" spans="1:27" ht="18.75" customHeight="1">
      <c r="A124" s="3382" t="str">
        <f>IF(项目基本情况!B9="房地产市场价值","",MID(E109,3,LEN(E109)-2))</f>
        <v/>
      </c>
      <c r="B124" s="3382"/>
      <c r="C124" s="3382"/>
      <c r="D124" s="3371" t="str">
        <f>H109</f>
        <v>——</v>
      </c>
      <c r="E124" s="3372"/>
      <c r="F124" s="3372"/>
      <c r="G124" s="3372"/>
      <c r="H124" s="3372"/>
      <c r="I124" s="3373"/>
      <c r="AA124" s="734"/>
    </row>
    <row r="125" spans="1:27" ht="18.75" customHeight="1">
      <c r="A125" s="3370" t="s">
        <v>2078</v>
      </c>
      <c r="B125" s="3370"/>
      <c r="C125" s="3370"/>
      <c r="D125" s="3376" t="e">
        <f>NUMBERSTRING(INT(D124*10000),2)&amp;"元整"</f>
        <v>#VALUE!</v>
      </c>
      <c r="E125" s="3378"/>
      <c r="F125" s="3378"/>
      <c r="G125" s="3378"/>
      <c r="H125" s="3378"/>
      <c r="I125" s="3377"/>
      <c r="AA125" s="734"/>
    </row>
    <row r="126" spans="1:27" ht="18.75" customHeight="1">
      <c r="A126" s="3382" t="str">
        <f>IF(项目基本情况!B9="房地产市场价值","",MID(E111,3,LEN(E111)-2))</f>
        <v/>
      </c>
      <c r="B126" s="3382"/>
      <c r="C126" s="3382"/>
      <c r="D126" s="3371" t="str">
        <f>H111</f>
        <v>——</v>
      </c>
      <c r="E126" s="3372"/>
      <c r="F126" s="3372"/>
      <c r="G126" s="3372"/>
      <c r="H126" s="3372"/>
      <c r="I126" s="3373"/>
      <c r="AA126" s="734"/>
    </row>
    <row r="127" spans="1:27" ht="18.75" customHeight="1">
      <c r="A127" s="3370" t="s">
        <v>2078</v>
      </c>
      <c r="B127" s="3370"/>
      <c r="C127" s="3370"/>
      <c r="D127" s="3376" t="e">
        <f>NUMBERSTRING(INT(D126*10000),2)&amp;"元整"</f>
        <v>#VALUE!</v>
      </c>
      <c r="E127" s="3378"/>
      <c r="F127" s="3378"/>
      <c r="G127" s="3378"/>
      <c r="H127" s="3378"/>
      <c r="I127" s="3377"/>
      <c r="AA127" s="734"/>
    </row>
    <row r="128" spans="1:27" ht="21.75" customHeight="1">
      <c r="A128" s="3379" t="s">
        <v>2079</v>
      </c>
      <c r="B128" s="3379"/>
      <c r="C128" s="3379"/>
      <c r="D128" s="3379"/>
      <c r="E128" s="3379"/>
      <c r="F128" s="3379"/>
      <c r="G128" s="3379"/>
      <c r="H128" s="3379"/>
      <c r="I128" s="3379"/>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20251</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6288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6786</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6786</v>
      </c>
      <c r="D8" s="228"/>
      <c r="E8" s="226"/>
      <c r="F8" s="227"/>
      <c r="G8" s="2011"/>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c r="H9" s="1271"/>
      <c r="I9" s="2013" t="s">
        <v>2105</v>
      </c>
    </row>
    <row r="10" spans="1:9" s="220" customFormat="1" ht="13.5" customHeight="1">
      <c r="A10" s="887" t="s">
        <v>801</v>
      </c>
      <c r="B10" s="230" t="s">
        <v>2106</v>
      </c>
      <c r="C10" s="231">
        <f ca="1">ROUND(D10*E10/10000,0)</f>
        <v>644</v>
      </c>
      <c r="D10" s="954">
        <f ca="1">IF(B1="",'数据-汇总表'!E6,IF(INDIRECT("'数据-取费表'!c"&amp;$G$1)="住宅",INDIRECT("'数据-取费表'!s"&amp;$G$1),INDIRECT("'数据-取费表'!k"&amp;$G$1)+INDIRECT("'数据-取费表'!s"&amp;$G$1)))</f>
        <v>32206.89000000029</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644</v>
      </c>
      <c r="D19" s="958">
        <f ca="1">D9+D10</f>
        <v>32206.89000000029</v>
      </c>
      <c r="E19" s="217">
        <f>'数据-取费表'!B31</f>
        <v>200</v>
      </c>
      <c r="F19" s="237"/>
      <c r="G19" s="2011"/>
    </row>
    <row r="20" spans="1:7" s="220" customFormat="1" ht="13.5" customHeight="1">
      <c r="A20" s="261" t="s">
        <v>2119</v>
      </c>
      <c r="B20" s="216" t="s">
        <v>2120</v>
      </c>
      <c r="C20" s="238">
        <f ca="1">ROUND((C5+C19)*F20,0)</f>
        <v>149</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659</v>
      </c>
      <c r="D22" s="241">
        <f ca="1">C26</f>
        <v>8.9999999999999998E-4</v>
      </c>
      <c r="E22" s="242" t="s">
        <v>2124</v>
      </c>
      <c r="F22" s="243">
        <f ca="1">'数据-取费表'!B40</f>
        <v>4.2999999999999997E-2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596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57</v>
      </c>
      <c r="D24" s="244"/>
      <c r="E24" s="244"/>
      <c r="F24" s="245"/>
      <c r="G24" s="246" t="s">
        <v>2133</v>
      </c>
    </row>
    <row r="25" spans="1:7" s="220" customFormat="1" ht="24">
      <c r="A25" s="888" t="s">
        <v>2134</v>
      </c>
      <c r="B25" s="221" t="s">
        <v>2135</v>
      </c>
      <c r="C25" s="1237">
        <f ca="1">ROUND(IF('数据-取费表'!B22&lt;=1,C20*F22*'数据-取费表'!B23/2,C20*(POWER((1+F22),'数据-取费表'!B23/2)-1)),0)</f>
        <v>6</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379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379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9318</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12424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11273</v>
      </c>
      <c r="D34" s="223"/>
      <c r="E34" s="226"/>
      <c r="F34" s="263">
        <f ca="1">IF('数据-取费表'!B24=0,1,IF(B1="",'数据-取费表'!N16,INDIRECT("'数据-取费表'!n"&amp;$G$1)))</f>
        <v>1</v>
      </c>
      <c r="G34" s="225" t="s">
        <v>2152</v>
      </c>
    </row>
    <row r="35" spans="1:7" ht="13.5" customHeight="1">
      <c r="A35" s="888" t="s">
        <v>796</v>
      </c>
      <c r="B35" s="221" t="s">
        <v>2153</v>
      </c>
      <c r="C35" s="226">
        <f ca="1">ROUND(C34*F35,0)</f>
        <v>338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644</v>
      </c>
      <c r="D37" s="223">
        <f ca="1">D19</f>
        <v>32206.89000000029</v>
      </c>
      <c r="E37" s="255">
        <f>'数据-取费表'!B35</f>
        <v>200</v>
      </c>
      <c r="F37" s="265"/>
      <c r="G37" s="267" t="s">
        <v>2158</v>
      </c>
    </row>
    <row r="38" spans="1:7" ht="13.5" customHeight="1">
      <c r="A38" s="888" t="s">
        <v>799</v>
      </c>
      <c r="B38" s="221" t="s">
        <v>2159</v>
      </c>
      <c r="C38" s="226">
        <f ca="1">ROUND(C34*F38,0)</f>
        <v>169</v>
      </c>
      <c r="D38" s="226"/>
      <c r="E38" s="226"/>
      <c r="F38" s="265">
        <f>'数据-取费表'!B36</f>
        <v>1.4999999999999999E-2</v>
      </c>
      <c r="G38" s="225" t="s">
        <v>2154</v>
      </c>
    </row>
    <row r="39" spans="1:7" s="220" customFormat="1" ht="13.5" customHeight="1">
      <c r="A39" s="261" t="s">
        <v>2160</v>
      </c>
      <c r="B39" s="216" t="s">
        <v>2161</v>
      </c>
      <c r="C39" s="238">
        <f ca="1">ROUND(C33*F20,0)</f>
        <v>248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545</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534</v>
      </c>
      <c r="D42" s="244"/>
      <c r="E42" s="244"/>
      <c r="F42" s="245"/>
      <c r="G42" s="3452" t="s">
        <v>2170</v>
      </c>
    </row>
    <row r="43" spans="1:7" ht="13.5" customHeight="1">
      <c r="A43" s="888" t="s">
        <v>792</v>
      </c>
      <c r="B43" s="221" t="s">
        <v>2171</v>
      </c>
      <c r="C43" s="244">
        <f ca="1">ROUND(IF('数据-取费表'!B22&lt;=1,C39*F22*'数据-取费表'!B21/2,C39*(POWER((1+F22),'数据-取费表'!B21/2)-1)),0)</f>
        <v>11</v>
      </c>
      <c r="D43" s="244"/>
      <c r="E43" s="244"/>
      <c r="F43" s="245"/>
      <c r="G43" s="3453"/>
    </row>
    <row r="44" spans="1:7" ht="13.5" customHeight="1">
      <c r="A44" s="888" t="s">
        <v>793</v>
      </c>
      <c r="B44" s="221" t="s">
        <v>2172</v>
      </c>
      <c r="C44" s="244">
        <f ca="1">ROUND(IF('数据-取费表'!B22&lt;=1,C40*F22*'数据-取费表'!B21/2,C40*(POWER((1+F22),'数据-取费表'!B21/2)-1)),4)</f>
        <v>8.9999999999999998E-4</v>
      </c>
      <c r="D44" s="244"/>
      <c r="E44" s="244"/>
      <c r="F44" s="245"/>
      <c r="G44" s="3454"/>
    </row>
    <row r="45" spans="1:7" s="220" customFormat="1" ht="13.5" customHeight="1">
      <c r="A45" s="261" t="s">
        <v>2173</v>
      </c>
      <c r="B45" s="250" t="s">
        <v>2139</v>
      </c>
      <c r="C45" s="251">
        <f ca="1">C46</f>
        <v>634</v>
      </c>
      <c r="D45" s="241">
        <f ca="1">C47</f>
        <v>1E-3</v>
      </c>
      <c r="E45" s="242" t="s">
        <v>2165</v>
      </c>
      <c r="F45" s="2506">
        <f ca="1">F27</f>
        <v>0.05</v>
      </c>
      <c r="G45" s="253" t="s">
        <v>2174</v>
      </c>
    </row>
    <row r="46" spans="1:7" s="220" customFormat="1" ht="13.5" customHeight="1">
      <c r="A46" s="888" t="s">
        <v>791</v>
      </c>
      <c r="B46" s="254" t="s">
        <v>2175</v>
      </c>
      <c r="C46" s="255">
        <f ca="1">ROUND((C33+C39)*F27,0)</f>
        <v>634</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5.33E-2</v>
      </c>
      <c r="D48" s="242" t="s">
        <v>2165</v>
      </c>
      <c r="E48" s="238"/>
      <c r="F48" s="2505">
        <f>F30</f>
        <v>5.6000000000000001E-2</v>
      </c>
      <c r="G48" s="240" t="s">
        <v>2178</v>
      </c>
    </row>
    <row r="49" spans="1:7" ht="16.5" customHeight="1">
      <c r="A49" s="261" t="s">
        <v>2144</v>
      </c>
      <c r="B49" s="216" t="s">
        <v>2179</v>
      </c>
      <c r="C49" s="238">
        <f ca="1">ROUND((C33+C39+C41+C45)/(1-C40-D41-D45-C48),0)</f>
        <v>14977</v>
      </c>
      <c r="D49" s="238"/>
      <c r="E49" s="238"/>
      <c r="F49" s="270"/>
      <c r="G49" s="240" t="s">
        <v>2180</v>
      </c>
    </row>
    <row r="50" spans="1:7" s="264" customFormat="1" ht="24">
      <c r="A50" s="261" t="s">
        <v>2181</v>
      </c>
      <c r="B50" s="216" t="s">
        <v>2182</v>
      </c>
      <c r="C50" s="238"/>
      <c r="D50" s="238"/>
      <c r="E50" s="238"/>
      <c r="F50" s="270">
        <f>IF('数据-取费表'!B24=0,'数据-取费表'!N16,1)</f>
        <v>0.73</v>
      </c>
      <c r="G50" s="253" t="s">
        <v>2183</v>
      </c>
    </row>
    <row r="51" spans="1:7" ht="16.5" customHeight="1">
      <c r="A51" s="261" t="s">
        <v>2184</v>
      </c>
      <c r="B51" s="216" t="s">
        <v>2185</v>
      </c>
      <c r="C51" s="238">
        <f ca="1">ROUND(C49*F50,0)</f>
        <v>10933</v>
      </c>
      <c r="D51" s="238"/>
      <c r="E51" s="238"/>
      <c r="F51" s="270"/>
      <c r="G51" s="240" t="s">
        <v>2186</v>
      </c>
    </row>
    <row r="52" spans="1:7" s="214" customFormat="1" ht="16.5" thickBot="1">
      <c r="A52" s="271" t="s">
        <v>2187</v>
      </c>
      <c r="B52" s="272"/>
      <c r="C52" s="273">
        <f ca="1">C31+C51</f>
        <v>20251</v>
      </c>
      <c r="D52" s="272"/>
      <c r="E52" s="272"/>
      <c r="F52" s="272"/>
      <c r="G52" s="274"/>
    </row>
    <row r="55" spans="1:7" ht="15">
      <c r="B55" s="276" t="s">
        <v>2188</v>
      </c>
      <c r="C55" s="277"/>
    </row>
    <row r="56" spans="1:7">
      <c r="B56" s="279" t="s">
        <v>1418</v>
      </c>
      <c r="C56" s="281">
        <f ca="1">1-C57</f>
        <v>0.45999999999999996</v>
      </c>
    </row>
    <row r="57" spans="1:7">
      <c r="B57" s="279" t="s">
        <v>1419</v>
      </c>
      <c r="C57" s="280">
        <f ca="1">ROUND(C51/C52,3)</f>
        <v>0.54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3" t="str">
        <f>项目基本情况!B1</f>
        <v>北京市房地产抵押价值预评估</v>
      </c>
      <c r="C37" s="3263"/>
      <c r="D37" s="3263"/>
      <c r="E37" s="3263"/>
      <c r="F37" s="3263"/>
      <c r="G37" s="3263"/>
      <c r="H37" s="3263"/>
      <c r="I37" s="326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G29" sqref="G2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2" t="s">
        <v>1888</v>
      </c>
      <c r="B1" s="1902"/>
      <c r="C1" s="1903" t="s">
        <v>3165</v>
      </c>
      <c r="D1" s="1902"/>
      <c r="E1" s="1902"/>
      <c r="F1" s="1904" t="s">
        <v>1889</v>
      </c>
      <c r="G1" s="1716"/>
      <c r="H1" s="1905" t="str">
        <f>IF(G1="现房","——","估价对象范围")</f>
        <v>估价对象范围</v>
      </c>
      <c r="I1" s="1906"/>
    </row>
    <row r="2" spans="1:12" ht="21.75" customHeight="1" thickBot="1">
      <c r="A2" s="3425" t="str">
        <f>项目基本情况!S2</f>
        <v>北京市房地产</v>
      </c>
      <c r="B2" s="3426"/>
      <c r="C2" s="3426"/>
      <c r="D2" s="3426"/>
      <c r="E2" s="3426"/>
      <c r="F2" s="3426"/>
      <c r="G2" s="3426"/>
      <c r="H2" s="3426"/>
      <c r="I2" s="3427"/>
    </row>
    <row r="3" spans="1:12" ht="12.75">
      <c r="A3" s="3429" t="s">
        <v>1890</v>
      </c>
      <c r="B3" s="3430"/>
      <c r="C3" s="3430"/>
      <c r="D3" s="3430"/>
      <c r="E3" s="3430"/>
      <c r="F3" s="3430"/>
      <c r="G3" s="3430"/>
      <c r="H3" s="3430"/>
      <c r="I3" s="3430"/>
    </row>
    <row r="4" spans="1:12" ht="14.25">
      <c r="A4" s="1909" t="s">
        <v>1891</v>
      </c>
      <c r="B4" s="1910" t="s">
        <v>1892</v>
      </c>
      <c r="C4" s="1911" t="s">
        <v>3202</v>
      </c>
      <c r="D4" s="1911" t="s">
        <v>3206</v>
      </c>
      <c r="E4" s="3434" t="s">
        <v>1893</v>
      </c>
      <c r="F4" s="3435"/>
      <c r="G4" s="3435"/>
      <c r="H4" s="3435"/>
      <c r="I4" s="3436"/>
      <c r="K4" s="151" t="str">
        <f>IF(ISNUMBER(FIND("比较法",'结果表 基准'!C4)),"比较法",IF(ISNUMBER(FIND("成本法",'结果表 基准'!C4)),"成本法",IF(ISNUMBER(FIND("假设开发法",'结果表 基准'!C4)),"假设开发法",IF(ISNUMBER(FIND("收益法",'结果表 基准'!C4)),"收益法","基准地价系数修正法"))))</f>
        <v>比较法</v>
      </c>
      <c r="L4" s="151" t="str">
        <f>IF(ISNUMBER(FIND("比较法",'结果表 基准'!D4)),"比较法",IF(ISNUMBER(FIND("成本法",'结果表 基准'!D4)),"成本法",IF(ISNUMBER(FIND("假设开发法",'结果表 基准'!D4)),"假设开发法",IF(ISNUMBER(FIND("收益法",'结果表 基准'!D4)),"收益法","基准地价系数修正法"))))</f>
        <v>收益法</v>
      </c>
    </row>
    <row r="5" spans="1:12" ht="12.75">
      <c r="A5" s="3370" t="s">
        <v>1894</v>
      </c>
      <c r="B5" s="3428">
        <v>25</v>
      </c>
      <c r="C5" s="3431"/>
      <c r="D5" s="3419"/>
      <c r="E5" s="136" t="s">
        <v>1895</v>
      </c>
      <c r="F5" s="1912"/>
      <c r="G5" s="1912"/>
      <c r="H5" s="1912"/>
      <c r="I5" s="1527"/>
    </row>
    <row r="6" spans="1:12" ht="12.75">
      <c r="A6" s="3370"/>
      <c r="B6" s="3428"/>
      <c r="C6" s="3433"/>
      <c r="D6" s="3419"/>
      <c r="E6" s="136" t="s">
        <v>1896</v>
      </c>
      <c r="F6" s="1912"/>
      <c r="G6" s="1912"/>
      <c r="H6" s="1912"/>
      <c r="I6" s="1527"/>
    </row>
    <row r="7" spans="1:12" ht="12.75">
      <c r="A7" s="3370"/>
      <c r="B7" s="3428"/>
      <c r="C7" s="3432"/>
      <c r="D7" s="3419"/>
      <c r="E7" s="136" t="s">
        <v>1897</v>
      </c>
      <c r="F7" s="1912"/>
      <c r="G7" s="1912"/>
      <c r="H7" s="1912"/>
      <c r="I7" s="1527"/>
    </row>
    <row r="8" spans="1:12" ht="12.75">
      <c r="A8" s="3370" t="s">
        <v>1898</v>
      </c>
      <c r="B8" s="3428">
        <v>15</v>
      </c>
      <c r="C8" s="3431"/>
      <c r="D8" s="3419"/>
      <c r="E8" s="136" t="s">
        <v>1899</v>
      </c>
      <c r="F8" s="1912"/>
      <c r="G8" s="1912"/>
      <c r="H8" s="1912"/>
      <c r="I8" s="1527"/>
    </row>
    <row r="9" spans="1:12" ht="12.75">
      <c r="A9" s="3370"/>
      <c r="B9" s="3428"/>
      <c r="C9" s="3432"/>
      <c r="D9" s="3419"/>
      <c r="E9" s="136" t="s">
        <v>1900</v>
      </c>
      <c r="F9" s="1912"/>
      <c r="G9" s="1912"/>
      <c r="H9" s="1912"/>
      <c r="I9" s="1527"/>
    </row>
    <row r="10" spans="1:12" ht="12.75">
      <c r="A10" s="3370" t="s">
        <v>1901</v>
      </c>
      <c r="B10" s="3428">
        <v>15</v>
      </c>
      <c r="C10" s="3431"/>
      <c r="D10" s="3419"/>
      <c r="E10" s="136" t="s">
        <v>1902</v>
      </c>
      <c r="F10" s="1912"/>
      <c r="G10" s="1912"/>
      <c r="H10" s="1912"/>
      <c r="I10" s="1527"/>
    </row>
    <row r="11" spans="1:12" ht="12.75">
      <c r="A11" s="3370"/>
      <c r="B11" s="3428"/>
      <c r="C11" s="3432"/>
      <c r="D11" s="3419"/>
      <c r="E11" s="136" t="s">
        <v>1903</v>
      </c>
      <c r="F11" s="1912"/>
      <c r="G11" s="1912"/>
      <c r="H11" s="1912"/>
      <c r="I11" s="1527"/>
    </row>
    <row r="12" spans="1:12" ht="12.75">
      <c r="A12" s="3370" t="s">
        <v>1904</v>
      </c>
      <c r="B12" s="3428">
        <v>15</v>
      </c>
      <c r="C12" s="3431"/>
      <c r="D12" s="3419"/>
      <c r="E12" s="136" t="s">
        <v>1905</v>
      </c>
      <c r="F12" s="1912"/>
      <c r="G12" s="1912"/>
      <c r="H12" s="1912"/>
      <c r="I12" s="1527"/>
    </row>
    <row r="13" spans="1:12" ht="12.75">
      <c r="A13" s="3370"/>
      <c r="B13" s="3428"/>
      <c r="C13" s="3432"/>
      <c r="D13" s="3419"/>
      <c r="E13" s="136" t="s">
        <v>1906</v>
      </c>
      <c r="F13" s="1912"/>
      <c r="G13" s="1912"/>
      <c r="H13" s="1912"/>
      <c r="I13" s="1527"/>
    </row>
    <row r="14" spans="1:12" ht="12.75">
      <c r="A14" s="3370" t="s">
        <v>1907</v>
      </c>
      <c r="B14" s="3428">
        <v>30</v>
      </c>
      <c r="C14" s="3431">
        <v>7</v>
      </c>
      <c r="D14" s="3419">
        <v>3</v>
      </c>
      <c r="E14" s="136" t="s">
        <v>1908</v>
      </c>
      <c r="F14" s="1912"/>
      <c r="G14" s="1912"/>
      <c r="H14" s="1912"/>
      <c r="I14" s="1527"/>
    </row>
    <row r="15" spans="1:12" ht="12.75">
      <c r="A15" s="3370"/>
      <c r="B15" s="3428"/>
      <c r="C15" s="3433"/>
      <c r="D15" s="3419"/>
      <c r="E15" s="136" t="s">
        <v>1909</v>
      </c>
      <c r="F15" s="1912"/>
      <c r="G15" s="1912"/>
      <c r="H15" s="1912"/>
      <c r="I15" s="1527"/>
    </row>
    <row r="16" spans="1:12" ht="12.75">
      <c r="A16" s="3370"/>
      <c r="B16" s="3428"/>
      <c r="C16" s="3432"/>
      <c r="D16" s="3419"/>
      <c r="E16" s="136" t="s">
        <v>1910</v>
      </c>
      <c r="F16" s="1912"/>
      <c r="G16" s="1912"/>
      <c r="H16" s="1912"/>
      <c r="I16" s="1527"/>
    </row>
    <row r="17" spans="1:36" ht="15">
      <c r="A17" s="1913" t="s">
        <v>1911</v>
      </c>
      <c r="B17" s="60"/>
      <c r="C17" s="137">
        <f>SUM(C5:C16)</f>
        <v>7</v>
      </c>
      <c r="D17" s="137">
        <f>SUM(D5:D16)</f>
        <v>3</v>
      </c>
      <c r="E17" s="134"/>
      <c r="F17" s="134"/>
      <c r="G17" s="134"/>
      <c r="H17" s="134"/>
      <c r="I17" s="134"/>
      <c r="K17" s="308"/>
      <c r="L17" s="308" t="s">
        <v>1912</v>
      </c>
      <c r="M17" s="308" t="s">
        <v>1913</v>
      </c>
    </row>
    <row r="18" spans="1:36" ht="31.9" customHeight="1" thickBot="1">
      <c r="A18" s="1914" t="s">
        <v>1914</v>
      </c>
      <c r="B18" s="1915"/>
      <c r="C18" s="138">
        <f>ROUND(C17/SUM(C17:D17),2)</f>
        <v>0.7</v>
      </c>
      <c r="D18" s="138">
        <f>1-C18</f>
        <v>0.30000000000000004</v>
      </c>
      <c r="E18" s="3450" t="s">
        <v>2810</v>
      </c>
      <c r="F18" s="3451"/>
      <c r="G18" s="3451"/>
      <c r="H18" s="3451"/>
      <c r="I18" s="3451"/>
      <c r="K18" s="308" t="s">
        <v>1915</v>
      </c>
      <c r="L18" s="308">
        <f>IF(C1="",'数据-汇总表'!E3,SUMIF(项目类型,C1,'数据-汇总表'!E17:E26)+SUMIF(项目类型,C1,'数据-汇总表'!I17:I26))</f>
        <v>33.93</v>
      </c>
      <c r="M18" s="308">
        <f>IF(C1="",'数据-汇总表'!E3,SUMIF(项目类型,C1,'数据-汇总表'!E17:E26))</f>
        <v>33.93</v>
      </c>
    </row>
    <row r="19" spans="1:36" ht="15">
      <c r="A19" s="1916" t="s">
        <v>1916</v>
      </c>
      <c r="B19" s="1917" t="s">
        <v>1917</v>
      </c>
      <c r="C19" s="139">
        <f ca="1">SUMIF(INDIRECT("'"&amp;C4&amp;"'"&amp;"!A:A"),'结果表 基准'!B19,INDIRECT("'"&amp;C4&amp;"'"&amp;"!B:B"))</f>
        <v>25</v>
      </c>
      <c r="D19" s="140">
        <f ca="1">SUMIF(INDIRECT("'"&amp;D4&amp;"'"&amp;"!A:A"),'结果表 基准'!B19,INDIRECT("'"&amp;D4&amp;"'"&amp;"!B:B"))</f>
        <v>7</v>
      </c>
      <c r="E19" s="1916" t="s">
        <v>1918</v>
      </c>
      <c r="F19" s="1917" t="s">
        <v>1917</v>
      </c>
      <c r="G19" s="141">
        <f ca="1">ROUND(C19*$C$18+D19*$D$18,0)</f>
        <v>20</v>
      </c>
      <c r="H19" s="1918" t="s">
        <v>1919</v>
      </c>
      <c r="I19" s="134"/>
      <c r="K19" s="308" t="s">
        <v>1920</v>
      </c>
      <c r="L19" s="308">
        <f>IF(C1="",'数据-汇总表'!D3,SUMIF(项目类型,C1,'数据-汇总表'!D17:D26)+SUMIF(项目类型,C1,'数据-汇总表'!H17:H27))</f>
        <v>8.27</v>
      </c>
      <c r="M19" s="308">
        <f>IF(C1="",'数据-汇总表'!D3,SUMIF(项目类型,C1,'数据-汇总表'!D17:D26))</f>
        <v>8.27</v>
      </c>
    </row>
    <row r="20" spans="1:36" ht="15">
      <c r="A20" s="1919"/>
      <c r="B20" s="1157" t="s">
        <v>1921</v>
      </c>
      <c r="C20" s="142">
        <f ca="1">SUMIF(INDIRECT("'"&amp;C4&amp;"'"&amp;"!A:A"),'结果表 基准'!B20,INDIRECT("'"&amp;C4&amp;"'"&amp;"!B:B"))</f>
        <v>7368</v>
      </c>
      <c r="D20" s="143">
        <f ca="1">SUMIF(INDIRECT("'"&amp;D4&amp;"'"&amp;"!A:A"),'结果表 基准'!B20,INDIRECT("'"&amp;D4&amp;"'"&amp;"!B:B"))</f>
        <v>2020</v>
      </c>
      <c r="E20" s="1919"/>
      <c r="F20" s="1157" t="s">
        <v>1921</v>
      </c>
      <c r="G20" s="144">
        <f ca="1">ROUND(C20*$C$18+D20*$D$18,0)</f>
        <v>5764</v>
      </c>
      <c r="H20" s="917" t="s">
        <v>1922</v>
      </c>
      <c r="I20" s="134"/>
    </row>
    <row r="21" spans="1:36" ht="15" customHeight="1" thickBot="1">
      <c r="A21" s="937"/>
      <c r="B21" s="1920" t="s">
        <v>1923</v>
      </c>
      <c r="C21" s="728">
        <f ca="1">ROUND(C19*10000/L19,0)</f>
        <v>30230</v>
      </c>
      <c r="D21" s="729">
        <f ca="1">ROUND(D19*10000/L19,0)</f>
        <v>8464</v>
      </c>
      <c r="E21" s="937"/>
      <c r="F21" s="1920" t="s">
        <v>1923</v>
      </c>
      <c r="G21" s="145">
        <f ca="1">ROUND(G19*10000/L19,0)</f>
        <v>24184</v>
      </c>
      <c r="H21" s="1921" t="s">
        <v>1922</v>
      </c>
      <c r="I21" s="134"/>
    </row>
    <row r="22" spans="1:36" ht="15" thickBot="1">
      <c r="A22" s="1844" t="s">
        <v>1924</v>
      </c>
      <c r="B22" s="1922"/>
      <c r="C22" s="1923"/>
      <c r="D22" s="730">
        <f ca="1">IF(C19&lt;D19,D19/C19-1,C19/D19-1)</f>
        <v>2.5714285714285716</v>
      </c>
      <c r="E22" s="134"/>
      <c r="F22" s="134"/>
      <c r="G22" s="134"/>
      <c r="H22" s="134"/>
      <c r="I22" s="134"/>
    </row>
    <row r="23" spans="1:36" ht="13.5" thickBot="1">
      <c r="A23" s="1902"/>
      <c r="B23" s="1902"/>
      <c r="C23" s="1902"/>
      <c r="D23" s="1902"/>
      <c r="E23" s="134"/>
      <c r="F23" s="134"/>
      <c r="G23" s="134"/>
      <c r="H23" s="134"/>
      <c r="I23" s="134"/>
    </row>
    <row r="24" spans="1:36" ht="14.25">
      <c r="A24" s="3443" t="s">
        <v>1925</v>
      </c>
      <c r="B24" s="1917" t="s">
        <v>1917</v>
      </c>
      <c r="C24" s="141">
        <f>IF(B30=0,0,D30)</f>
        <v>0</v>
      </c>
      <c r="D24" s="1924"/>
      <c r="E24" s="134"/>
      <c r="F24" s="134"/>
      <c r="G24" s="134"/>
      <c r="H24" s="134"/>
      <c r="I24" s="134"/>
    </row>
    <row r="25" spans="1:36" ht="14.25">
      <c r="A25" s="3444"/>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5764</v>
      </c>
      <c r="D32" s="1930" t="s">
        <v>3223</v>
      </c>
      <c r="E32" s="134"/>
      <c r="F32" s="134"/>
      <c r="G32" s="134"/>
      <c r="H32" s="134"/>
      <c r="I32" s="134"/>
    </row>
    <row r="33" spans="1:15" ht="15">
      <c r="A33" s="894" t="s">
        <v>1932</v>
      </c>
      <c r="B33" s="1931"/>
      <c r="C33" s="1932" t="s">
        <v>3211</v>
      </c>
      <c r="D33" s="1933" t="s">
        <v>3206</v>
      </c>
      <c r="E33" s="1934" t="s">
        <v>1933</v>
      </c>
      <c r="F33" s="1935" t="str">
        <f>IF(D32="楼面单价","取值（单价）","取值（总价）")</f>
        <v>取值（单价）</v>
      </c>
      <c r="G33" s="134"/>
      <c r="H33" s="134"/>
      <c r="I33" s="134"/>
    </row>
    <row r="34" spans="1:15" ht="15">
      <c r="A34" s="1936"/>
      <c r="B34" s="1937" t="s">
        <v>1934</v>
      </c>
      <c r="C34" s="153">
        <f ca="1">IF(C33="自定义",F34,C32-C35)</f>
        <v>2369</v>
      </c>
      <c r="D34" s="970">
        <f ca="1">IF(C33="自定义",ROUND(C34/C32,3),IF(C33="收益比率",SUMIF(INDIRECT("'"&amp;D33&amp;"'"&amp;"!b:b"),"土地收益比率",INDIRECT("'"&amp;D33&amp;"'"&amp;"!c:c")),SUMIF(INDIRECT("'"&amp;D33&amp;"'"&amp;"!b:b"),"土地成本比率",INDIRECT("'"&amp;D33&amp;"'"&amp;"!c:c"))))</f>
        <v>0.41099999999999998</v>
      </c>
      <c r="E34" s="1938" t="s">
        <v>1935</v>
      </c>
      <c r="F34" s="1470">
        <f ca="1">C32-F35</f>
        <v>2369</v>
      </c>
      <c r="G34" s="134"/>
      <c r="H34" s="134"/>
      <c r="I34" s="134"/>
    </row>
    <row r="35" spans="1:15" ht="15.75" thickBot="1">
      <c r="A35" s="1939"/>
      <c r="B35" s="1940" t="s">
        <v>1936</v>
      </c>
      <c r="C35" s="1304">
        <f ca="1">IF(C33="自定义",F35,ROUND(C32*D35,0))</f>
        <v>3395</v>
      </c>
      <c r="D35" s="1305">
        <f ca="1">IF(C33="自定义",ROUND(C35/C32,3),IF(C33="收益比率",SUMIF(INDIRECT("'"&amp;D33&amp;"'"&amp;"!b:b"),"建筑物收益比率",INDIRECT("'"&amp;D33&amp;"'"&amp;"!c:c")),SUMIF(INDIRECT("'"&amp;D33&amp;"'"&amp;"!b:b"),"建筑物成本比率",INDIRECT("'"&amp;D33&amp;"'"&amp;"!c:c"))))</f>
        <v>0.58899999999999997</v>
      </c>
      <c r="E35" s="1941" t="s">
        <v>1937</v>
      </c>
      <c r="F35" s="159">
        <f ca="1">ROUND('收益法 (元)'!C13/L18,0)</f>
        <v>3395</v>
      </c>
      <c r="G35" s="134"/>
      <c r="H35" s="134"/>
      <c r="I35" s="134"/>
    </row>
    <row r="36" spans="1:15" ht="15.75" thickBot="1">
      <c r="A36" s="3420" t="s">
        <v>1938</v>
      </c>
      <c r="B36" s="1942" t="s">
        <v>1939</v>
      </c>
      <c r="C36" s="150"/>
      <c r="D36" s="1943"/>
      <c r="E36" s="1944"/>
      <c r="F36" s="1945"/>
      <c r="G36" s="134"/>
      <c r="H36" s="134"/>
      <c r="I36" s="134"/>
    </row>
    <row r="37" spans="1:15" ht="15.75" thickBot="1">
      <c r="A37" s="3421"/>
      <c r="B37" s="1830" t="s">
        <v>1940</v>
      </c>
      <c r="C37" s="152"/>
      <c r="D37" s="1273"/>
      <c r="E37" s="1273"/>
      <c r="F37" s="1945"/>
      <c r="G37" s="134"/>
      <c r="H37" s="134"/>
      <c r="I37" s="134"/>
    </row>
    <row r="38" spans="1:15" ht="15.75" thickBot="1">
      <c r="A38" s="3422"/>
      <c r="B38" s="1946" t="s">
        <v>1941</v>
      </c>
      <c r="C38" s="683"/>
      <c r="D38" s="1947" t="s">
        <v>1942</v>
      </c>
      <c r="E38" s="1273"/>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2"/>
      <c r="B43" s="1732"/>
      <c r="C43" s="1732"/>
      <c r="D43" s="1732"/>
      <c r="E43" s="1732"/>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40" t="s">
        <v>1952</v>
      </c>
      <c r="B45" s="3441"/>
      <c r="C45" s="3442"/>
      <c r="D45" s="160">
        <f ca="1">ROUND(H101*F45,0)</f>
        <v>20</v>
      </c>
      <c r="E45" s="161" t="s">
        <v>1953</v>
      </c>
      <c r="F45" s="162">
        <v>1</v>
      </c>
      <c r="G45" s="163" t="s">
        <v>1954</v>
      </c>
      <c r="H45" s="134"/>
      <c r="I45" s="134"/>
      <c r="J45" s="3357" t="s">
        <v>1955</v>
      </c>
      <c r="K45" s="3357"/>
      <c r="L45" s="3357"/>
      <c r="M45" s="3357"/>
      <c r="N45" s="3357"/>
      <c r="O45" s="3357"/>
    </row>
    <row r="46" spans="1:15" ht="14.25" customHeight="1">
      <c r="A46" s="3437" t="s">
        <v>1956</v>
      </c>
      <c r="B46" s="3438"/>
      <c r="C46" s="3438"/>
      <c r="D46" s="3438"/>
      <c r="E46" s="3438"/>
      <c r="F46" s="3438"/>
      <c r="G46" s="3439"/>
      <c r="H46" s="1961"/>
      <c r="I46" s="164"/>
      <c r="J46" s="3211">
        <v>1</v>
      </c>
      <c r="K46" s="3358" t="s">
        <v>1957</v>
      </c>
      <c r="L46" s="3358"/>
      <c r="M46" s="3359"/>
      <c r="N46" s="3359"/>
      <c r="O46" s="3359"/>
    </row>
    <row r="47" spans="1:15" ht="12" customHeight="1">
      <c r="A47" s="165" t="s">
        <v>1958</v>
      </c>
      <c r="B47" s="166"/>
      <c r="C47" s="167"/>
      <c r="D47" s="1219" t="s">
        <v>1959</v>
      </c>
      <c r="E47" s="308" t="s">
        <v>1960</v>
      </c>
      <c r="F47" s="168" t="s">
        <v>1961</v>
      </c>
      <c r="G47" s="2741" t="s">
        <v>1962</v>
      </c>
      <c r="H47" s="2742"/>
      <c r="I47" s="164"/>
      <c r="J47" s="3211">
        <v>2</v>
      </c>
      <c r="K47" s="3358" t="s">
        <v>1963</v>
      </c>
      <c r="L47" s="3358"/>
      <c r="M47" s="3360">
        <f>'数据-取费表'!B2</f>
        <v>44573</v>
      </c>
      <c r="N47" s="3360"/>
      <c r="O47" s="3360"/>
    </row>
    <row r="48" spans="1:15" ht="25.5">
      <c r="A48" s="3423" t="s">
        <v>1964</v>
      </c>
      <c r="B48" s="3424"/>
      <c r="C48" s="3424"/>
      <c r="D48" s="3208" t="b">
        <f>IF(H48="情况1",0,IF(H48="情况2",D52,IF(H48="情况3",D53,IF(H48="情况4",D54))))</f>
        <v>0</v>
      </c>
      <c r="E48" s="3221" t="str">
        <f>IF(H48="情况4","(销售额-原购置价)×税（费）率","销售额×税（费）率")</f>
        <v>销售额×税（费）率</v>
      </c>
      <c r="F48" s="2743">
        <f>IF(H48="情况1","免征",'数据-取费表'!B41)</f>
        <v>5.6000000000000001E-2</v>
      </c>
      <c r="G48" s="2744" t="s">
        <v>1965</v>
      </c>
      <c r="H48" s="2745"/>
      <c r="I48" s="1961"/>
      <c r="J48" s="3211">
        <v>3</v>
      </c>
      <c r="K48" s="3358" t="s">
        <v>1966</v>
      </c>
      <c r="L48" s="3358"/>
      <c r="M48" s="3361">
        <f ca="1">H101</f>
        <v>20</v>
      </c>
      <c r="N48" s="3361"/>
      <c r="O48" s="3361"/>
    </row>
    <row r="49" spans="1:35" ht="25.5" customHeight="1">
      <c r="A49" s="3220" t="s">
        <v>1967</v>
      </c>
      <c r="B49" s="3406" t="s">
        <v>1968</v>
      </c>
      <c r="C49" s="3406"/>
      <c r="D49" s="1745">
        <v>0</v>
      </c>
      <c r="E49" s="330" t="s">
        <v>1969</v>
      </c>
      <c r="F49" s="3206" t="s">
        <v>34</v>
      </c>
      <c r="G49" s="3389"/>
      <c r="H49" s="2497" t="s">
        <v>2813</v>
      </c>
      <c r="I49" s="2498"/>
      <c r="J49" s="3211">
        <v>4</v>
      </c>
      <c r="K49" s="3358" t="str">
        <f>IF(项目基本情况!E8="房地产抵押价值","房地产抵押价值","抵押担保权已注销时的房地产抵押价值")</f>
        <v>房地产抵押价值</v>
      </c>
      <c r="L49" s="3358"/>
      <c r="M49" s="3361">
        <f ca="1">IF(项目基本情况!E8="房地产抵押价值",H107,H109)</f>
        <v>20</v>
      </c>
      <c r="N49" s="3361"/>
      <c r="O49" s="3361"/>
    </row>
    <row r="50" spans="1:35" ht="25.5" customHeight="1">
      <c r="A50" s="2746"/>
      <c r="B50" s="3406" t="s">
        <v>1970</v>
      </c>
      <c r="C50" s="3406"/>
      <c r="D50" s="2747"/>
      <c r="E50" s="338"/>
      <c r="F50" s="3206"/>
      <c r="G50" s="3390"/>
      <c r="H50" s="2499" t="s">
        <v>2814</v>
      </c>
      <c r="I50" s="2498"/>
      <c r="J50" s="3357" t="s">
        <v>1971</v>
      </c>
      <c r="K50" s="3357"/>
      <c r="L50" s="3357"/>
      <c r="M50" s="3357"/>
      <c r="N50" s="3357"/>
      <c r="O50" s="3357"/>
    </row>
    <row r="51" spans="1:35" ht="20.45" customHeight="1">
      <c r="A51" s="2748"/>
      <c r="B51" s="3406" t="s">
        <v>1972</v>
      </c>
      <c r="C51" s="3406"/>
      <c r="D51" s="1219"/>
      <c r="E51" s="333"/>
      <c r="F51" s="3206"/>
      <c r="G51" s="3391"/>
      <c r="H51" s="2499" t="s">
        <v>2815</v>
      </c>
      <c r="I51" s="2498"/>
      <c r="J51" s="3207" t="s">
        <v>1973</v>
      </c>
      <c r="K51" s="3358" t="s">
        <v>1974</v>
      </c>
      <c r="L51" s="3358"/>
      <c r="M51" s="3207" t="s">
        <v>1975</v>
      </c>
      <c r="N51" s="3207" t="s">
        <v>1976</v>
      </c>
      <c r="O51" s="3207" t="s">
        <v>1977</v>
      </c>
    </row>
    <row r="52" spans="1:35" ht="24" customHeight="1">
      <c r="A52" s="3222" t="s">
        <v>1978</v>
      </c>
      <c r="B52" s="3406" t="s">
        <v>1979</v>
      </c>
      <c r="C52" s="3406"/>
      <c r="D52" s="1219">
        <f ca="1">ROUND(D45*'数据-取费表'!B41/(1+'数据-取费表'!C42),0)</f>
        <v>1</v>
      </c>
      <c r="E52" s="3221" t="s">
        <v>1980</v>
      </c>
      <c r="F52" s="2749">
        <f>'数据-取费表'!B41</f>
        <v>5.6000000000000001E-2</v>
      </c>
      <c r="G52" s="2750"/>
      <c r="H52" s="2739"/>
      <c r="I52" s="1962"/>
      <c r="J52" s="3211">
        <v>1</v>
      </c>
      <c r="K52" s="3383" t="s">
        <v>1981</v>
      </c>
      <c r="L52" s="3383"/>
      <c r="M52" s="2720" t="b">
        <f>D48</f>
        <v>0</v>
      </c>
      <c r="N52" s="3211" t="str">
        <f>E48</f>
        <v>销售额×税（费）率</v>
      </c>
      <c r="O52" s="2721">
        <f>F48</f>
        <v>5.6000000000000001E-2</v>
      </c>
    </row>
    <row r="53" spans="1:35" ht="12" customHeight="1">
      <c r="A53" s="3222" t="s">
        <v>1982</v>
      </c>
      <c r="B53" s="3407" t="s">
        <v>2974</v>
      </c>
      <c r="C53" s="3408"/>
      <c r="D53" s="1219">
        <f ca="1">ROUND(D45*'数据-取费表'!B41/(1+'数据-取费表'!C42),0)</f>
        <v>1</v>
      </c>
      <c r="E53" s="3221" t="s">
        <v>1980</v>
      </c>
      <c r="F53" s="2749">
        <f>'数据-取费表'!B41</f>
        <v>5.6000000000000001E-2</v>
      </c>
      <c r="G53" s="2750"/>
      <c r="H53" s="2739"/>
      <c r="I53" s="1962"/>
      <c r="J53" s="3211">
        <v>2</v>
      </c>
      <c r="K53" s="3383" t="s">
        <v>1983</v>
      </c>
      <c r="L53" s="3383"/>
      <c r="M53" s="2720">
        <f t="shared" ref="M53:O54" ca="1" si="0">D55</f>
        <v>0</v>
      </c>
      <c r="N53" s="3211" t="str">
        <f t="shared" si="0"/>
        <v>销售额×税（费）率</v>
      </c>
      <c r="O53" s="2721" t="str">
        <f t="shared" si="0"/>
        <v>免征</v>
      </c>
    </row>
    <row r="54" spans="1:35" ht="12" customHeight="1">
      <c r="A54" s="3222" t="s">
        <v>1984</v>
      </c>
      <c r="B54" s="3407" t="s">
        <v>2975</v>
      </c>
      <c r="C54" s="3408"/>
      <c r="D54" s="1219">
        <f ca="1">C68</f>
        <v>1</v>
      </c>
      <c r="E54" s="333" t="s">
        <v>1985</v>
      </c>
      <c r="F54" s="2749">
        <f>'数据-取费表'!B41</f>
        <v>5.6000000000000001E-2</v>
      </c>
      <c r="G54" s="2750"/>
      <c r="H54" s="2751"/>
      <c r="I54" s="1962"/>
      <c r="J54" s="3211">
        <v>3</v>
      </c>
      <c r="K54" s="3383" t="s">
        <v>1986</v>
      </c>
      <c r="L54" s="3383"/>
      <c r="M54" s="2720" t="e">
        <f t="shared" ca="1" si="0"/>
        <v>#DIV/0!</v>
      </c>
      <c r="N54" s="3211" t="str">
        <f t="shared" si="0"/>
        <v>增值额×税（费）率</v>
      </c>
      <c r="O54" s="2722" t="str">
        <f t="shared" si="0"/>
        <v>免征</v>
      </c>
    </row>
    <row r="55" spans="1:35" ht="24" customHeight="1">
      <c r="A55" s="3446" t="s">
        <v>1987</v>
      </c>
      <c r="B55" s="3424"/>
      <c r="C55" s="3424"/>
      <c r="D55" s="3208">
        <f ca="1">IF(H55="个人住宅",0,ROUND(D45*I55,0))</f>
        <v>0</v>
      </c>
      <c r="E55" s="3221" t="s">
        <v>1988</v>
      </c>
      <c r="F55" s="2749" t="str">
        <f>IF(H55="正常",I55,"免征")</f>
        <v>免征</v>
      </c>
      <c r="G55" s="2750"/>
      <c r="H55" s="2745"/>
      <c r="I55" s="170">
        <f>'数据-取费表'!B49</f>
        <v>5.0000000000000001E-4</v>
      </c>
      <c r="J55" s="3211">
        <f>IF(H59="非个人房产","",4)</f>
        <v>4</v>
      </c>
      <c r="K55" s="3383" t="str">
        <f>IF(H59="非个人房产","——","个人所得税")</f>
        <v>个人所得税</v>
      </c>
      <c r="L55" s="3383"/>
      <c r="M55" s="2723">
        <f ca="1">D59</f>
        <v>0</v>
      </c>
      <c r="N55" s="3212" t="str">
        <f>E59</f>
        <v>差额计税</v>
      </c>
      <c r="O55" s="2724">
        <f>F59</f>
        <v>0.01</v>
      </c>
    </row>
    <row r="56" spans="1:35" ht="24.75">
      <c r="A56" s="3446" t="s">
        <v>1989</v>
      </c>
      <c r="B56" s="3424"/>
      <c r="C56" s="3424"/>
      <c r="D56" s="3208" t="e">
        <f ca="1">IF(H56="个人住宅",D57,D58)</f>
        <v>#DIV/0!</v>
      </c>
      <c r="E56" s="3221" t="s">
        <v>1990</v>
      </c>
      <c r="F56" s="2749" t="str">
        <f>IF(H56="正常",F58,"免征")</f>
        <v>免征</v>
      </c>
      <c r="G56" s="2752" t="s">
        <v>1991</v>
      </c>
      <c r="H56" s="2753"/>
      <c r="I56" s="1963"/>
      <c r="J56" s="3211" t="str">
        <f>IF(项目基本情况!K6="上海银行",IF(J55="",4,J55+1),"")</f>
        <v/>
      </c>
      <c r="K56" s="3364" t="str">
        <f>IF(项目基本情况!K6="上海银行","其他处置费用","")</f>
        <v/>
      </c>
      <c r="L56" s="3365"/>
      <c r="M56" s="2720" t="str">
        <f>IF(项目基本情况!K6="上海银行",M69,"")</f>
        <v/>
      </c>
      <c r="N56" s="3364" t="str">
        <f>IF(项目基本情况!K6="上海银行","包含处置中涉及的律师、诉讼、拍卖、评估等费用","")</f>
        <v/>
      </c>
      <c r="O56" s="3367"/>
    </row>
    <row r="57" spans="1:35" ht="12.75">
      <c r="A57" s="3222" t="s">
        <v>1967</v>
      </c>
      <c r="B57" s="3407" t="s">
        <v>1992</v>
      </c>
      <c r="C57" s="3408"/>
      <c r="D57" s="1745">
        <v>0</v>
      </c>
      <c r="E57" s="330" t="s">
        <v>1969</v>
      </c>
      <c r="F57" s="308"/>
      <c r="G57" s="2750"/>
      <c r="H57" s="2754"/>
      <c r="I57" s="1963"/>
      <c r="J57" s="3383">
        <f>IF(AND(J55="",J56=""),4,IF(项目基本情况!K6="上海银行",'结果表 基准'!J56+1,'结果表 基准'!J55+1))</f>
        <v>5</v>
      </c>
      <c r="K57" s="3383" t="s">
        <v>1993</v>
      </c>
      <c r="L57" s="2725" t="s">
        <v>1994</v>
      </c>
      <c r="M57" s="2726"/>
      <c r="N57" s="2727">
        <f ca="1">SUMIF(M52:M56,"&lt;9e307")</f>
        <v>0</v>
      </c>
      <c r="O57" s="2728"/>
      <c r="P57" s="2888">
        <f ca="1">N57/M49</f>
        <v>0</v>
      </c>
    </row>
    <row r="58" spans="1:35" ht="24.75">
      <c r="A58" s="3222" t="s">
        <v>1978</v>
      </c>
      <c r="B58" s="3407" t="s">
        <v>1995</v>
      </c>
      <c r="C58" s="3406"/>
      <c r="D58" s="3208" t="e">
        <f ca="1">IF(H58="转让取得",C81,C97)</f>
        <v>#DIV/0!</v>
      </c>
      <c r="E58" s="3221" t="s">
        <v>1990</v>
      </c>
      <c r="F58" s="308" t="s">
        <v>34</v>
      </c>
      <c r="G58" s="2750"/>
      <c r="H58" s="2753"/>
      <c r="I58" s="1963"/>
      <c r="J58" s="3383"/>
      <c r="K58" s="3383"/>
      <c r="L58" s="2725" t="s">
        <v>1996</v>
      </c>
      <c r="M58" s="2729"/>
      <c r="N58" s="2730" t="str">
        <f ca="1">NUMBERSTRING(INT(N57*10000),2)&amp;"元整"</f>
        <v>零元整</v>
      </c>
      <c r="O58" s="2731"/>
    </row>
    <row r="59" spans="1:35" ht="24.75" thickBot="1">
      <c r="A59" s="3387" t="s">
        <v>1997</v>
      </c>
      <c r="B59" s="3388"/>
      <c r="C59" s="3388"/>
      <c r="D59" s="2755">
        <f ca="1">IF(H59="非个人房产","——",IF(H59="个人住宅（满五唯一有凭证）",0,IF(H59="个人其他（无凭证）",ROUND(D45*F59,0),ROUND(C67*F59,0))))</f>
        <v>0</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2816</v>
      </c>
      <c r="J59" s="3385">
        <f>J57+1</f>
        <v>6</v>
      </c>
      <c r="K59" s="3383" t="s">
        <v>1998</v>
      </c>
      <c r="L59" s="3211" t="s">
        <v>1994</v>
      </c>
      <c r="M59" s="2732"/>
      <c r="N59" s="2733">
        <f ca="1">M49-N57</f>
        <v>20</v>
      </c>
      <c r="O59" s="2734"/>
    </row>
    <row r="60" spans="1:35" ht="12" customHeight="1">
      <c r="A60" s="1964"/>
      <c r="B60" s="1902"/>
      <c r="C60" s="1902"/>
      <c r="D60" s="1902"/>
      <c r="E60" s="1733"/>
      <c r="F60" s="1963"/>
      <c r="G60" s="1963"/>
      <c r="H60" s="1965"/>
      <c r="I60" s="134"/>
      <c r="J60" s="3386"/>
      <c r="K60" s="3383"/>
      <c r="L60" s="2725" t="s">
        <v>1996</v>
      </c>
      <c r="M60" s="2729"/>
      <c r="N60" s="2730" t="str">
        <f ca="1">NUMBERSTRING(INT(N59*10000),2)&amp;"元整"</f>
        <v>贰拾万元整</v>
      </c>
      <c r="O60" s="2731"/>
    </row>
    <row r="61" spans="1:35" ht="13.5" thickBot="1">
      <c r="A61" s="3445" t="s">
        <v>1999</v>
      </c>
      <c r="B61" s="3445"/>
      <c r="C61" s="3445"/>
      <c r="D61" s="3445"/>
      <c r="E61" s="3445"/>
      <c r="F61" s="1963"/>
      <c r="G61" s="1963"/>
      <c r="H61" s="1965"/>
      <c r="I61" s="134"/>
      <c r="J61" s="3211">
        <f>J59+1</f>
        <v>7</v>
      </c>
      <c r="K61" s="3383" t="s">
        <v>2000</v>
      </c>
      <c r="L61" s="3383"/>
      <c r="M61" s="2735"/>
      <c r="N61" s="2736">
        <f ca="1">ROUND(N59*10000/'数据-汇总表'!E3,0)</f>
        <v>6</v>
      </c>
      <c r="O61" s="2737"/>
    </row>
    <row r="62" spans="1:35" ht="12.75">
      <c r="A62" s="3402" t="s">
        <v>2001</v>
      </c>
      <c r="B62" s="3403"/>
      <c r="C62" s="3216"/>
      <c r="D62" s="3216" t="s">
        <v>2002</v>
      </c>
      <c r="E62" s="171" t="s">
        <v>2003</v>
      </c>
      <c r="F62" s="1963"/>
      <c r="G62" s="1963"/>
      <c r="H62" s="1965"/>
      <c r="I62" s="134"/>
    </row>
    <row r="63" spans="1:35" ht="12.75">
      <c r="A63" s="178" t="s">
        <v>775</v>
      </c>
      <c r="B63" s="172" t="s">
        <v>2004</v>
      </c>
      <c r="C63" s="2759">
        <f ca="1">ROUND((C64+C65)/(1+'数据-取费表'!C42),0)</f>
        <v>19</v>
      </c>
      <c r="D63" s="172"/>
      <c r="E63" s="173"/>
      <c r="F63" s="1963"/>
      <c r="G63" s="1963"/>
      <c r="H63" s="1965"/>
      <c r="I63" s="134"/>
      <c r="J63" s="3366" t="s">
        <v>2005</v>
      </c>
      <c r="K63" s="3209" t="s">
        <v>2006</v>
      </c>
      <c r="L63" s="3209">
        <f ca="1">IF(M49&gt;10000,M49*0.5%,IF(AND(M49&gt;1000,M49&lt;=10000),M49*1%,IF(AND(M49&gt;100,M49&lt;=1000),M49*3%,IF(AND(M49&gt;10,M49&lt;=100),M49*5%,M49*8%))))</f>
        <v>1</v>
      </c>
      <c r="M63" s="308">
        <f ca="1">ROUND(L63,1)</f>
        <v>1</v>
      </c>
      <c r="N63" s="2738"/>
      <c r="Z63" s="1907"/>
      <c r="AI63" s="1908"/>
    </row>
    <row r="64" spans="1:35" ht="14.25" customHeight="1">
      <c r="A64" s="174" t="s">
        <v>770</v>
      </c>
      <c r="B64" s="175" t="s">
        <v>2007</v>
      </c>
      <c r="C64" s="2760">
        <f ca="1">D45</f>
        <v>20</v>
      </c>
      <c r="D64" s="175" t="s">
        <v>32</v>
      </c>
      <c r="E64" s="177"/>
      <c r="F64" s="1963"/>
      <c r="G64" s="1963"/>
      <c r="H64" s="1965"/>
      <c r="I64" s="134"/>
      <c r="J64" s="3366"/>
      <c r="K64" s="3209" t="s">
        <v>2008</v>
      </c>
      <c r="L64" s="3209">
        <f ca="1">IF(M49&gt;2000,M49*0.5%,IF(AND(M49&gt;1000,M49&lt;=2000),M49*0.6%,IF(AND(M49&gt;500,M49&lt;=1000),M49*0.7%,IF(AND(M49&gt;200,M49&lt;=500),M49*0.8%,IF(AND(M49&gt;100,M49&lt;=200),M49*0.9%,IF(AND(M49&gt;50,M49&lt;=100),M49*1%,IF(AND(M49&gt;20,M49&lt;=50),M49*1.5%,IF(AND(M49&gt;10,M49&lt;=20),M49*2%,IF(AND(M49&gt;1,M49&lt;=10),M49*2.5%)))))))))</f>
        <v>0.4</v>
      </c>
      <c r="M64" s="308">
        <f t="shared" ref="M64:M65" ca="1" si="1">ROUND(L64,1)</f>
        <v>0.4</v>
      </c>
      <c r="N64" s="2739" t="s">
        <v>2009</v>
      </c>
      <c r="Z64" s="1907"/>
      <c r="AI64" s="1908"/>
    </row>
    <row r="65" spans="1:35" ht="14.25" customHeight="1">
      <c r="A65" s="174" t="s">
        <v>771</v>
      </c>
      <c r="B65" s="175" t="s">
        <v>2010</v>
      </c>
      <c r="C65" s="2761"/>
      <c r="D65" s="175"/>
      <c r="E65" s="177"/>
      <c r="F65" s="1963"/>
      <c r="G65" s="1963"/>
      <c r="H65" s="1965"/>
      <c r="I65" s="134"/>
      <c r="J65" s="3366"/>
      <c r="K65" s="3209" t="s">
        <v>2011</v>
      </c>
      <c r="L65" s="3209">
        <f ca="1">IF(M49&gt;1000,M49*0.1%,IF(AND(M49&gt;500,M49&lt;=1000),M49*0.5%,IF(AND(M49&gt;50,M49&lt;=500),M49*1%,IF(AND(M49&gt;1,M49&lt;=50),M49*1.5%))))</f>
        <v>0.3</v>
      </c>
      <c r="M65" s="308">
        <f t="shared" ca="1" si="1"/>
        <v>0.3</v>
      </c>
      <c r="N65" s="2739" t="s">
        <v>2009</v>
      </c>
      <c r="Z65" s="1907"/>
      <c r="AI65" s="1908"/>
    </row>
    <row r="66" spans="1:35" ht="14.25" customHeight="1">
      <c r="A66" s="178" t="s">
        <v>772</v>
      </c>
      <c r="B66" s="179" t="s">
        <v>2012</v>
      </c>
      <c r="C66" s="2762"/>
      <c r="D66" s="179" t="s">
        <v>32</v>
      </c>
      <c r="E66" s="1479" t="s">
        <v>1277</v>
      </c>
      <c r="F66" s="1963"/>
      <c r="G66" s="1963"/>
      <c r="H66" s="1965"/>
      <c r="I66" s="134"/>
      <c r="J66" s="3366"/>
      <c r="K66" s="3209" t="s">
        <v>2013</v>
      </c>
      <c r="L66" s="3209">
        <f ca="1">M49*0.5%</f>
        <v>0.1</v>
      </c>
      <c r="M66" s="308">
        <f ca="1">IF(L66&gt;0.5,0.5,ROUND(L66,0))</f>
        <v>0</v>
      </c>
      <c r="N66" s="2739" t="s">
        <v>2014</v>
      </c>
      <c r="Z66" s="1907"/>
      <c r="AI66" s="1908"/>
    </row>
    <row r="67" spans="1:35" ht="14.25" customHeight="1">
      <c r="A67" s="178" t="s">
        <v>773</v>
      </c>
      <c r="B67" s="179" t="s">
        <v>2015</v>
      </c>
      <c r="C67" s="2763">
        <f ca="1">C63-C66</f>
        <v>19</v>
      </c>
      <c r="D67" s="175" t="s">
        <v>32</v>
      </c>
      <c r="E67" s="177"/>
      <c r="F67" s="1963"/>
      <c r="G67" s="1963"/>
      <c r="H67" s="1965"/>
      <c r="I67" s="134"/>
      <c r="J67" s="3366"/>
      <c r="K67" s="3209" t="s">
        <v>2016</v>
      </c>
      <c r="L67" s="3209">
        <f ca="1">IF(M49&gt;=10000,(8.25+(M49-10000)*0.01%),IF(AND(M49&gt;=8000,M49&lt;10000),(7.85+(M49-8000)*0.02%),IF(AND(M49&gt;=5000,M49&lt;8000),(6.65+(M49-5000)*0.04%),IF(AND(M49&gt;=2000,M49&lt;5000),(4.25+(PM49-2000)*0.08%),IF(AND(M49&gt;=1000,M49&lt;2000),(2.75+(M49-1000)*0.15%),IF(AND(M49&gt;=100,M49&lt;1000),(0.5+(M49-100)*0.25%),IF(AND(M49&gt;0,M49&lt;100),M49*0.5%)))))))</f>
        <v>0.1</v>
      </c>
      <c r="M67" s="308">
        <f ca="1">ROUND(L67*0.9,1)</f>
        <v>0.1</v>
      </c>
      <c r="N67" s="2738"/>
      <c r="Z67" s="1907"/>
      <c r="AI67" s="1908"/>
    </row>
    <row r="68" spans="1:35" ht="14.25" customHeight="1" thickBot="1">
      <c r="A68" s="181" t="s">
        <v>774</v>
      </c>
      <c r="B68" s="182" t="s">
        <v>2017</v>
      </c>
      <c r="C68" s="2764">
        <f ca="1">IF(C67&lt;=0,0,ROUND(C67*D68,0))</f>
        <v>1</v>
      </c>
      <c r="D68" s="2765">
        <f>'数据-取费表'!B41</f>
        <v>5.6000000000000001E-2</v>
      </c>
      <c r="E68" s="184"/>
      <c r="F68" s="1963"/>
      <c r="G68" s="1963"/>
      <c r="H68" s="1965"/>
      <c r="I68" s="134"/>
      <c r="J68" s="3366"/>
      <c r="K68" s="3209" t="s">
        <v>2018</v>
      </c>
      <c r="L68" s="3209">
        <f ca="1">IF(M49&gt;10000,M49*0.5%,IF(AND(M49&gt;5000,M49&lt;=10000),M49*1%,IF(AND(M49&gt;1000,M49&lt;=5000),M49*2%,IF(AND(M49&gt;200,M49&lt;=1000),M49*3%,M49*5%))))</f>
        <v>1</v>
      </c>
      <c r="M68" s="308">
        <f ca="1">ROUND(L68,1)</f>
        <v>1</v>
      </c>
      <c r="N68" s="2738"/>
      <c r="Z68" s="1907"/>
      <c r="AI68" s="1908"/>
    </row>
    <row r="69" spans="1:35" s="1927" customFormat="1" ht="16.5" customHeight="1">
      <c r="A69" s="1966"/>
      <c r="B69" s="1967"/>
      <c r="C69" s="1968"/>
      <c r="D69" s="1969"/>
      <c r="E69" s="1970"/>
      <c r="F69" s="1733"/>
      <c r="G69" s="1733"/>
      <c r="H69" s="1732"/>
      <c r="I69" s="1902"/>
      <c r="J69" s="3366"/>
      <c r="K69" s="3209" t="s">
        <v>2019</v>
      </c>
      <c r="L69" s="3209"/>
      <c r="M69" s="308">
        <f ca="1">ROUND(SUM(M63:M68),0)</f>
        <v>3</v>
      </c>
      <c r="N69" s="2740">
        <f ca="1">M69/M49</f>
        <v>0.15</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0" t="s">
        <v>2020</v>
      </c>
      <c r="B70" s="3411"/>
      <c r="C70" s="3411"/>
      <c r="D70" s="3411"/>
      <c r="E70" s="3411"/>
      <c r="F70" s="3411"/>
      <c r="G70" s="3411"/>
      <c r="H70" s="341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2" t="s">
        <v>2001</v>
      </c>
      <c r="B71" s="3403"/>
      <c r="C71" s="3216"/>
      <c r="D71" s="3216"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19</v>
      </c>
      <c r="D72" s="175" t="s">
        <v>32</v>
      </c>
      <c r="E72" s="3218"/>
      <c r="F72" s="3217"/>
      <c r="G72" s="3217"/>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0</v>
      </c>
      <c r="D73" s="175" t="s">
        <v>32</v>
      </c>
      <c r="E73" s="3218"/>
      <c r="F73" s="3217"/>
      <c r="G73" s="3217"/>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3218"/>
      <c r="F74" s="3217"/>
      <c r="G74" s="3217"/>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07" t="s">
        <v>2028</v>
      </c>
      <c r="F76" s="3406"/>
      <c r="G76" s="3406"/>
      <c r="H76" s="340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3208" t="s">
        <v>2030</v>
      </c>
      <c r="F77" s="192"/>
      <c r="G77" s="1977"/>
      <c r="H77" s="3219"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0</v>
      </c>
      <c r="D78" s="2772">
        <f>'数据-取费表'!B43</f>
        <v>6.000000000000001E-3</v>
      </c>
      <c r="E78" s="3399" t="s">
        <v>2032</v>
      </c>
      <c r="F78" s="3400"/>
      <c r="G78" s="3400"/>
      <c r="H78" s="340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773</v>
      </c>
      <c r="B79" s="179" t="s">
        <v>2033</v>
      </c>
      <c r="C79" s="2763">
        <f ca="1">C72-C73</f>
        <v>19</v>
      </c>
      <c r="D79" s="175" t="s">
        <v>32</v>
      </c>
      <c r="E79" s="3218"/>
      <c r="F79" s="3217"/>
      <c r="G79" s="3217"/>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t="e">
        <f ca="1">IF(C79&lt;=0,0,C79/C73)</f>
        <v>#DIV/0!</v>
      </c>
      <c r="D80" s="175" t="s">
        <v>32</v>
      </c>
      <c r="E80" s="3208" t="e">
        <f ca="1">IF(C80&gt;=200%,"增值额超过扣除项目金额200%",IF(C80&gt;=100%,"增值额超过扣除项目金额100%，未超过200%",IF(C80&gt;=50%,"增值额超过扣除项目金额50%，未超过100%",IF(C80&lt;50%,"增值额未超过扣除项目金额50%"))))</f>
        <v>#DIV/0!</v>
      </c>
      <c r="F80" s="3217"/>
      <c r="G80" s="3217"/>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t="e">
        <f ca="1">ROUND(IF(C79&lt;=0,0,IF(C80&gt;=200%,C79*60%-C73*35%,IF(C80&gt;=100%,C79*50%-C73*15%,IF(C80&gt;=50%,C79*40%-C73*5%,IF(C80&lt;50%,C79*30%,0))))),0)</f>
        <v>#DIV/0!</v>
      </c>
      <c r="D81" s="277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0" t="s">
        <v>2036</v>
      </c>
      <c r="B83" s="3411"/>
      <c r="C83" s="3411"/>
      <c r="D83" s="3411"/>
      <c r="E83" s="3411"/>
      <c r="F83" s="3411"/>
      <c r="G83" s="3411"/>
      <c r="H83" s="341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2" t="s">
        <v>2001</v>
      </c>
      <c r="B84" s="3403"/>
      <c r="C84" s="3216"/>
      <c r="D84" s="3216"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19</v>
      </c>
      <c r="D85" s="175" t="s">
        <v>32</v>
      </c>
      <c r="E85" s="3218"/>
      <c r="F85" s="3217"/>
      <c r="G85" s="3217"/>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0</v>
      </c>
      <c r="D86" s="2776"/>
      <c r="E86" s="3218"/>
      <c r="F86" s="3217"/>
      <c r="G86" s="3217"/>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3213"/>
      <c r="F87" s="3214"/>
      <c r="G87" s="3214"/>
      <c r="H87" s="3215"/>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3214"/>
      <c r="G88" s="200" t="s">
        <v>2040</v>
      </c>
      <c r="H88" s="1979"/>
      <c r="I88" s="1976"/>
      <c r="J88" s="2716"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3214"/>
      <c r="G89" s="3214"/>
      <c r="H89" s="3215"/>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3214"/>
      <c r="G90" s="3368" t="s">
        <v>2808</v>
      </c>
      <c r="H90" s="3369"/>
      <c r="I90" s="1976"/>
      <c r="J90" s="2716"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99" t="s">
        <v>2045</v>
      </c>
      <c r="F91" s="3400"/>
      <c r="G91" s="3400"/>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99" t="s">
        <v>2048</v>
      </c>
      <c r="F92" s="3400"/>
      <c r="G92" s="3400"/>
      <c r="H92" s="3401"/>
      <c r="I92" s="1976"/>
      <c r="J92" s="2717"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0</v>
      </c>
      <c r="D93" s="2772">
        <f>'数据-取费表'!B43</f>
        <v>6.000000000000001E-3</v>
      </c>
      <c r="E93" s="3399" t="s">
        <v>2032</v>
      </c>
      <c r="F93" s="3400"/>
      <c r="G93" s="3400"/>
      <c r="H93" s="340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7" t="s">
        <v>2052</v>
      </c>
      <c r="F94" s="3448"/>
      <c r="G94" s="3448"/>
      <c r="H94" s="344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773</v>
      </c>
      <c r="B95" s="179" t="s">
        <v>2033</v>
      </c>
      <c r="C95" s="2763">
        <f ca="1">ROUND(C85-C86,0)</f>
        <v>19</v>
      </c>
      <c r="D95" s="175" t="s">
        <v>32</v>
      </c>
      <c r="E95" s="3218"/>
      <c r="F95" s="3217"/>
      <c r="G95" s="3217"/>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t="e">
        <f ca="1">IF(C95&lt;=0,0,C95/C86)</f>
        <v>#DIV/0!</v>
      </c>
      <c r="D96" s="175" t="s">
        <v>32</v>
      </c>
      <c r="E96" s="3208" t="e">
        <f ca="1">IF(C96&gt;=200%,"增值额超过扣除项目金额200%",IF(C96&gt;=100%,"增值额超过扣除项目金额100%，未超过200%",IF(C96&gt;=50%,"增值额超过扣除项目金额50%，未超过100%",IF(C96&lt;50%,"增值额未超过扣除项目金额50%"))))</f>
        <v>#DIV/0!</v>
      </c>
      <c r="F96" s="3217"/>
      <c r="G96" s="3217"/>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t="e">
        <f ca="1">ROUND(IF(C95&lt;=0,0,IF(C96&gt;=200%,C95*60%-C86*35%,IF(C96&gt;=100%,C95*50%-C86*15%,IF(C96&gt;=50%,C95*40%-C86*5%,IF(C96&lt;50%,C95*30%,0))))),0)</f>
        <v>#DIV/0!</v>
      </c>
      <c r="D97" s="277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3"/>
      <c r="F98" s="1733"/>
      <c r="G98" s="1733"/>
      <c r="H98" s="1732"/>
      <c r="I98" s="134"/>
    </row>
    <row r="99" spans="1:35" ht="21.75" customHeight="1" thickBot="1">
      <c r="A99" s="1955" t="s">
        <v>2053</v>
      </c>
      <c r="B99" s="1902"/>
      <c r="C99" s="1902"/>
      <c r="D99" s="1902"/>
      <c r="E99" s="1733"/>
      <c r="F99" s="1733"/>
      <c r="G99" s="1733"/>
      <c r="H99" s="1732"/>
      <c r="I99" s="134"/>
    </row>
    <row r="100" spans="1:35" ht="18.75" customHeight="1">
      <c r="A100" s="3349" t="s">
        <v>2054</v>
      </c>
      <c r="B100" s="3350"/>
      <c r="C100" s="3350"/>
      <c r="D100" s="3384"/>
      <c r="E100" s="3350" t="s">
        <v>2055</v>
      </c>
      <c r="F100" s="3350"/>
      <c r="G100" s="3350"/>
      <c r="H100" s="3384"/>
      <c r="I100" s="134"/>
    </row>
    <row r="101" spans="1:35" ht="18.75" customHeight="1">
      <c r="A101" s="3392" t="s">
        <v>2056</v>
      </c>
      <c r="B101" s="3393"/>
      <c r="C101" s="2780" t="str">
        <f>C4</f>
        <v>比较法-车位</v>
      </c>
      <c r="D101" s="2781" t="str">
        <f>D4</f>
        <v>收益法 (元)</v>
      </c>
      <c r="E101" s="3362" t="s">
        <v>2057</v>
      </c>
      <c r="F101" s="3363"/>
      <c r="G101" s="1982" t="s">
        <v>2058</v>
      </c>
      <c r="H101" s="2790">
        <f ca="1">H118</f>
        <v>20</v>
      </c>
      <c r="I101" s="134"/>
    </row>
    <row r="102" spans="1:35" ht="18.75" customHeight="1">
      <c r="A102" s="3394" t="s">
        <v>2059</v>
      </c>
      <c r="B102" s="2779" t="s">
        <v>2058</v>
      </c>
      <c r="C102" s="2780">
        <f ca="1">C19</f>
        <v>25</v>
      </c>
      <c r="D102" s="2781">
        <f ca="1">D19</f>
        <v>7</v>
      </c>
      <c r="E102" s="3362"/>
      <c r="F102" s="3363"/>
      <c r="G102" s="1982" t="s">
        <v>2060</v>
      </c>
      <c r="H102" s="2750">
        <f ca="1">I118</f>
        <v>5764</v>
      </c>
      <c r="I102" s="134"/>
    </row>
    <row r="103" spans="1:35" ht="42.75" customHeight="1">
      <c r="A103" s="3394"/>
      <c r="B103" s="2779" t="s">
        <v>2060</v>
      </c>
      <c r="C103" s="2782">
        <f ca="1">C20</f>
        <v>7368</v>
      </c>
      <c r="D103" s="2783">
        <f ca="1">D20</f>
        <v>2020</v>
      </c>
      <c r="E103" s="3355" t="s">
        <v>2061</v>
      </c>
      <c r="F103" s="3356"/>
      <c r="G103" s="1983" t="s">
        <v>2062</v>
      </c>
      <c r="H103" s="2790">
        <f>IF(D36="正常操作",H104+H105+H106,H105+H106)</f>
        <v>0</v>
      </c>
      <c r="I103" s="134"/>
    </row>
    <row r="104" spans="1:35" ht="18.75" customHeight="1">
      <c r="A104" s="3394" t="s">
        <v>2063</v>
      </c>
      <c r="B104" s="2784" t="s">
        <v>2058</v>
      </c>
      <c r="C104" s="2785">
        <f ca="1">H118</f>
        <v>20</v>
      </c>
      <c r="D104" s="2786"/>
      <c r="E104" s="1830" t="s">
        <v>2064</v>
      </c>
      <c r="F104" s="1821"/>
      <c r="G104" s="1983" t="s">
        <v>2062</v>
      </c>
      <c r="H104" s="2791">
        <f>IF(D36="同一抵押权人同一抵押物续贷",C36&amp;"（续贷，未扣减，详见特别提示）",C36)</f>
        <v>0</v>
      </c>
      <c r="I104" s="134"/>
    </row>
    <row r="105" spans="1:35" ht="18.75" customHeight="1" thickBot="1">
      <c r="A105" s="3404"/>
      <c r="B105" s="2787" t="s">
        <v>2060</v>
      </c>
      <c r="C105" s="2788">
        <f ca="1">I118</f>
        <v>5764</v>
      </c>
      <c r="D105" s="2789"/>
      <c r="E105" s="1830" t="s">
        <v>2065</v>
      </c>
      <c r="F105" s="1821"/>
      <c r="G105" s="1983" t="s">
        <v>2062</v>
      </c>
      <c r="H105" s="2792">
        <f>C37</f>
        <v>0</v>
      </c>
      <c r="I105" s="134"/>
    </row>
    <row r="106" spans="1:35" ht="18.75" customHeight="1">
      <c r="A106" s="1902" t="s">
        <v>2066</v>
      </c>
      <c r="B106" s="1902"/>
      <c r="C106" s="1902"/>
      <c r="D106" s="1902"/>
      <c r="E106" s="1984" t="s">
        <v>2067</v>
      </c>
      <c r="F106" s="1821"/>
      <c r="G106" s="1983" t="s">
        <v>2062</v>
      </c>
      <c r="H106" s="2792">
        <f>C38</f>
        <v>0</v>
      </c>
      <c r="I106" s="134"/>
    </row>
    <row r="107" spans="1:35" ht="18.75" customHeight="1">
      <c r="A107" s="134"/>
      <c r="B107" s="134"/>
      <c r="C107" s="134"/>
      <c r="D107" s="134"/>
      <c r="E107" s="3395" t="str">
        <f>IF(项目基本情况!E8="已注销","——","3.房地产抵押价值")</f>
        <v>3.房地产抵押价值</v>
      </c>
      <c r="F107" s="3363"/>
      <c r="G107" s="1982" t="s">
        <v>2058</v>
      </c>
      <c r="H107" s="2790">
        <f ca="1">IF(E107="——","——",H101-H103)</f>
        <v>20</v>
      </c>
      <c r="I107" s="134"/>
    </row>
    <row r="108" spans="1:35" ht="18.75" customHeight="1">
      <c r="A108" s="134"/>
      <c r="B108" s="134"/>
      <c r="C108" s="134"/>
      <c r="D108" s="134"/>
      <c r="E108" s="3395"/>
      <c r="F108" s="3363"/>
      <c r="G108" s="1982" t="s">
        <v>2060</v>
      </c>
      <c r="H108" s="2750">
        <f ca="1">ROUND(H107*10000/'数据-汇总表'!E3,0)</f>
        <v>6</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63"/>
      <c r="G109" s="1982" t="s">
        <v>2058</v>
      </c>
      <c r="H109" s="2793" t="str">
        <f>IF(E109="——","——",H101-H105-H106)</f>
        <v>——</v>
      </c>
      <c r="I109" s="134"/>
    </row>
    <row r="110" spans="1:35" ht="18.75" customHeight="1">
      <c r="A110" s="134"/>
      <c r="B110" s="134"/>
      <c r="C110" s="134"/>
      <c r="D110" s="134"/>
      <c r="E110" s="3395"/>
      <c r="F110" s="3363"/>
      <c r="G110" s="1982" t="s">
        <v>2060</v>
      </c>
      <c r="H110" s="2750" t="str">
        <f>IF(H109="——","——",ROUND(H109*10000/'数据-汇总表'!E3,0))</f>
        <v>——</v>
      </c>
      <c r="I110" s="134"/>
    </row>
    <row r="111" spans="1:35" ht="18.75" customHeight="1">
      <c r="A111" s="134"/>
      <c r="B111" s="134"/>
      <c r="C111" s="134"/>
      <c r="D111" s="134"/>
      <c r="E111" s="3396" t="str">
        <f>IF(项目基本情况!E9="抵押净值",IF(OR(项目基本情况!E8="已注销",项目基本情况!E8="房地产抵押价值"),"4.抵押净值","5.抵押净值"),"——")</f>
        <v>——</v>
      </c>
      <c r="F111" s="3382"/>
      <c r="G111" s="1982" t="s">
        <v>2058</v>
      </c>
      <c r="H111" s="2790" t="str">
        <f>IF(E111="——","——",N59)</f>
        <v>——</v>
      </c>
      <c r="I111" s="134"/>
    </row>
    <row r="112" spans="1:35" ht="18.75" customHeight="1" thickBot="1">
      <c r="A112" s="134"/>
      <c r="B112" s="134"/>
      <c r="C112" s="134"/>
      <c r="D112" s="134"/>
      <c r="E112" s="3397"/>
      <c r="F112" s="3398"/>
      <c r="G112" s="1985" t="s">
        <v>2060</v>
      </c>
      <c r="H112" s="2794" t="str">
        <f>IF(E111="——","——",N61)</f>
        <v>——</v>
      </c>
      <c r="I112" s="134"/>
    </row>
    <row r="113" spans="1:27" ht="18.75" customHeight="1">
      <c r="A113" s="134"/>
      <c r="B113" s="134"/>
      <c r="C113" s="134"/>
      <c r="D113" s="134"/>
      <c r="E113" s="3405" t="s">
        <v>2066</v>
      </c>
      <c r="F113" s="3405"/>
      <c r="G113" s="3405"/>
      <c r="H113" s="3405"/>
      <c r="I113" s="134"/>
    </row>
    <row r="114" spans="1:27" ht="3.75" customHeight="1">
      <c r="A114" s="1902"/>
      <c r="B114" s="1902"/>
      <c r="C114" s="1902"/>
      <c r="D114" s="1902"/>
      <c r="E114" s="1964"/>
      <c r="F114" s="1964"/>
      <c r="G114" s="1964"/>
      <c r="H114" s="1964"/>
      <c r="I114" s="1902"/>
    </row>
    <row r="115" spans="1:27" ht="18.75" customHeight="1">
      <c r="A115" s="3416" t="s">
        <v>2068</v>
      </c>
      <c r="B115" s="3417"/>
      <c r="C115" s="3417"/>
      <c r="D115" s="3417"/>
      <c r="E115" s="3417"/>
      <c r="F115" s="3417"/>
      <c r="G115" s="3417"/>
      <c r="H115" s="3417"/>
      <c r="I115" s="3418"/>
    </row>
    <row r="116" spans="1:27" ht="27" customHeight="1">
      <c r="A116" s="3370" t="s">
        <v>2069</v>
      </c>
      <c r="B116" s="3374" t="s">
        <v>2070</v>
      </c>
      <c r="C116" s="3374" t="s">
        <v>2071</v>
      </c>
      <c r="D116" s="3380" t="s">
        <v>2072</v>
      </c>
      <c r="E116" s="3381"/>
      <c r="F116" s="3412" t="s">
        <v>2073</v>
      </c>
      <c r="G116" s="3412"/>
      <c r="H116" s="3370" t="s">
        <v>2074</v>
      </c>
      <c r="I116" s="3370"/>
    </row>
    <row r="117" spans="1:27" ht="18.75" customHeight="1">
      <c r="A117" s="3370"/>
      <c r="B117" s="3375"/>
      <c r="C117" s="3375"/>
      <c r="D117" s="3210" t="s">
        <v>2075</v>
      </c>
      <c r="E117" s="3210" t="s">
        <v>2076</v>
      </c>
      <c r="F117" s="3210" t="s">
        <v>2075</v>
      </c>
      <c r="G117" s="3210" t="s">
        <v>2077</v>
      </c>
      <c r="H117" s="3210" t="s">
        <v>2075</v>
      </c>
      <c r="I117" s="3210" t="s">
        <v>2077</v>
      </c>
    </row>
    <row r="118" spans="1:27" ht="24.75" customHeight="1">
      <c r="A118" s="2795" t="str">
        <f>项目基本情况!S2</f>
        <v>北京市房地产</v>
      </c>
      <c r="B118" s="3210">
        <f>M18</f>
        <v>33.93</v>
      </c>
      <c r="C118" s="3210">
        <f>M19</f>
        <v>8.27</v>
      </c>
      <c r="D118" s="3210">
        <f ca="1">ROUND(IF(D32="总价",C34,E118*B118/10000),0)</f>
        <v>8</v>
      </c>
      <c r="E118" s="3210">
        <f ca="1">ROUND(IF(C33="自定义",IF(D32="楼面单价",C34,D118*10000/B118),I118-G118),0)</f>
        <v>2369</v>
      </c>
      <c r="F118" s="3210">
        <f ca="1">ROUND(IF(D32="总价",C35,G118*B118/10000),0)</f>
        <v>12</v>
      </c>
      <c r="G118" s="3210">
        <f ca="1">ROUND(IF(D32="楼面单价",C35,F118*10000/B118),0)</f>
        <v>3395</v>
      </c>
      <c r="H118" s="3210">
        <f ca="1">ROUND(IF(D32="总价",C32,I118*B118/10000),0)</f>
        <v>20</v>
      </c>
      <c r="I118" s="3210">
        <f ca="1">ROUND(IF(D32="楼面单价",C32,H118*10000/B118),0)</f>
        <v>5764</v>
      </c>
    </row>
    <row r="119" spans="1:27" ht="18.75" customHeight="1">
      <c r="A119" s="3370" t="s">
        <v>2078</v>
      </c>
      <c r="B119" s="3370"/>
      <c r="C119" s="3370"/>
      <c r="D119" s="3376" t="str">
        <f ca="1">NUMBERSTRING(INT(D118*10000),2)&amp;"元整"</f>
        <v>捌万元整</v>
      </c>
      <c r="E119" s="3377"/>
      <c r="F119" s="3376" t="str">
        <f ca="1">NUMBERSTRING(INT(F118*10000),2)&amp;"元整"</f>
        <v>壹拾贰万元整</v>
      </c>
      <c r="G119" s="3377"/>
      <c r="H119" s="3376" t="str">
        <f ca="1">NUMBERSTRING(INT(H118*10000),2)&amp;"元整"</f>
        <v>贰拾万元整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13" t="s">
        <v>2078</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房地产抵押价值</v>
      </c>
      <c r="B122" s="3382"/>
      <c r="C122" s="3382"/>
      <c r="D122" s="3371">
        <f ca="1">H107</f>
        <v>20</v>
      </c>
      <c r="E122" s="3372"/>
      <c r="F122" s="3372"/>
      <c r="G122" s="3372"/>
      <c r="H122" s="3372"/>
      <c r="I122" s="3373"/>
      <c r="AA122" s="734"/>
    </row>
    <row r="123" spans="1:27" ht="18.75" customHeight="1">
      <c r="A123" s="3370" t="s">
        <v>2078</v>
      </c>
      <c r="B123" s="3370"/>
      <c r="C123" s="3370"/>
      <c r="D123" s="3376" t="str">
        <f ca="1">NUMBERSTRING(INT(D122*10000),2)&amp;"元整"</f>
        <v>贰拾万元整</v>
      </c>
      <c r="E123" s="3378"/>
      <c r="F123" s="3378"/>
      <c r="G123" s="3378"/>
      <c r="H123" s="3378"/>
      <c r="I123" s="3377"/>
      <c r="AA123" s="734"/>
    </row>
    <row r="124" spans="1:27" ht="18.75" customHeight="1">
      <c r="A124" s="3382" t="str">
        <f>IF(项目基本情况!B9="房地产市场价值","",MID(E109,3,LEN(E109)-2))</f>
        <v/>
      </c>
      <c r="B124" s="3382"/>
      <c r="C124" s="3382"/>
      <c r="D124" s="3371" t="str">
        <f>H109</f>
        <v>——</v>
      </c>
      <c r="E124" s="3372"/>
      <c r="F124" s="3372"/>
      <c r="G124" s="3372"/>
      <c r="H124" s="3372"/>
      <c r="I124" s="3373"/>
      <c r="AA124" s="734"/>
    </row>
    <row r="125" spans="1:27" ht="18.75" customHeight="1">
      <c r="A125" s="3370" t="s">
        <v>2078</v>
      </c>
      <c r="B125" s="3370"/>
      <c r="C125" s="3370"/>
      <c r="D125" s="3376" t="e">
        <f>NUMBERSTRING(INT(D124*10000),2)&amp;"元整"</f>
        <v>#VALUE!</v>
      </c>
      <c r="E125" s="3378"/>
      <c r="F125" s="3378"/>
      <c r="G125" s="3378"/>
      <c r="H125" s="3378"/>
      <c r="I125" s="3377"/>
      <c r="AA125" s="734"/>
    </row>
    <row r="126" spans="1:27" ht="18.75" customHeight="1">
      <c r="A126" s="3382" t="str">
        <f>IF(项目基本情况!B9="房地产市场价值","",MID(E111,3,LEN(E111)-2))</f>
        <v/>
      </c>
      <c r="B126" s="3382"/>
      <c r="C126" s="3382"/>
      <c r="D126" s="3371" t="str">
        <f>H111</f>
        <v>——</v>
      </c>
      <c r="E126" s="3372"/>
      <c r="F126" s="3372"/>
      <c r="G126" s="3372"/>
      <c r="H126" s="3372"/>
      <c r="I126" s="3373"/>
      <c r="AA126" s="734"/>
    </row>
    <row r="127" spans="1:27" ht="18.75" customHeight="1">
      <c r="A127" s="3370" t="s">
        <v>2078</v>
      </c>
      <c r="B127" s="3370"/>
      <c r="C127" s="3370"/>
      <c r="D127" s="3376" t="e">
        <f>NUMBERSTRING(INT(D126*10000),2)&amp;"元整"</f>
        <v>#VALUE!</v>
      </c>
      <c r="E127" s="3378"/>
      <c r="F127" s="3378"/>
      <c r="G127" s="3378"/>
      <c r="H127" s="3378"/>
      <c r="I127" s="3377"/>
      <c r="AA127" s="734"/>
    </row>
    <row r="128" spans="1:27" ht="21.75" customHeight="1">
      <c r="A128" s="3379" t="s">
        <v>2079</v>
      </c>
      <c r="B128" s="3379"/>
      <c r="C128" s="3379"/>
      <c r="D128" s="3379"/>
      <c r="E128" s="3379"/>
      <c r="F128" s="3379"/>
      <c r="G128" s="3379"/>
      <c r="H128" s="3379"/>
      <c r="I128" s="3379"/>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B1" zoomScale="70" zoomScaleNormal="60" zoomScaleSheetLayoutView="70" workbookViewId="0">
      <selection activeCell="B20" sqref="B2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t="s">
        <v>3170</v>
      </c>
      <c r="C1" s="1364" t="s">
        <v>2291</v>
      </c>
      <c r="D1" s="1365" t="s">
        <v>3165</v>
      </c>
      <c r="E1" s="1366"/>
      <c r="F1" s="2034" t="s">
        <v>3192</v>
      </c>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f ca="1">IF(C2="——",IF(B37="元/平方米",ROUND(C39*D3/10000,0),ROUND(F3*C39/10000,0)),IF(B37="元/平方米",ROUND(C39*D3/10000,0),ROUND(F3*C39/10000,0))-D2)</f>
        <v>25</v>
      </c>
      <c r="C2" s="2036" t="s">
        <v>3213</v>
      </c>
      <c r="D2" s="1038">
        <f ca="1">SUMIF(INDIRECT("'"&amp;F2&amp;"'"&amp;"!A:A"),"承租人权益价值",INDIRECT("'"&amp;F2&amp;"'"&amp;"!c:c"))</f>
        <v>0</v>
      </c>
      <c r="E2" s="2037" t="s">
        <v>2089</v>
      </c>
      <c r="F2" s="2038" t="s">
        <v>3206</v>
      </c>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f ca="1">IF(AND(C2="——",B37="元/平方米"),C39,ROUND(B2*10000/D3,0))</f>
        <v>7368</v>
      </c>
      <c r="C3" s="360" t="s">
        <v>2405</v>
      </c>
      <c r="D3" s="359">
        <f>SUMIF('数据-汇总表'!$C19:$C33,D1,'数据-汇总表'!$E19:$E33)</f>
        <v>33.93</v>
      </c>
      <c r="E3" s="360" t="s">
        <v>2469</v>
      </c>
      <c r="F3" s="359">
        <f>SUMIF('数据-取费表'!A5:A15,D1,'数据-取费表'!AH5:AH15)</f>
        <v>1</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2913"/>
      <c r="M4" s="2914"/>
      <c r="N4" s="2914"/>
      <c r="O4" s="2914"/>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tr">
        <f>Sheet1!M7</f>
        <v>珠江罗马嘉园</v>
      </c>
      <c r="F5" s="3465"/>
      <c r="G5" s="3466" t="str">
        <f>Sheet1!M8</f>
        <v>熙悦尚郡</v>
      </c>
      <c r="H5" s="3467"/>
      <c r="I5" s="3466" t="str">
        <f>Sheet1!M9</f>
        <v>润枫嘉尚</v>
      </c>
      <c r="J5" s="3467"/>
      <c r="K5" s="567"/>
      <c r="L5" s="2913"/>
      <c r="M5" s="2914"/>
      <c r="N5" s="2914"/>
      <c r="O5" s="2914"/>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567" t="s">
        <v>2308</v>
      </c>
      <c r="L6" s="2913"/>
      <c r="M6" s="2914"/>
      <c r="N6" s="2914"/>
      <c r="O6" s="2914"/>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44573</v>
      </c>
      <c r="D7" s="371">
        <v>100</v>
      </c>
      <c r="E7" s="372">
        <v>44562</v>
      </c>
      <c r="F7" s="373">
        <f>SUMIF(48:48,YEAR(E7)&amp;"-"&amp;MONTH(E7),49:49)</f>
        <v>100</v>
      </c>
      <c r="G7" s="372">
        <v>44562</v>
      </c>
      <c r="H7" s="371">
        <f>SUMIF(48:48,YEAR(G7)&amp;"-"&amp;MONTH(G7),49:49)</f>
        <v>100</v>
      </c>
      <c r="I7" s="372">
        <v>44562</v>
      </c>
      <c r="J7" s="371">
        <f>SUMIF(48:48,YEAR(I7)&amp;"-"&amp;MONTH(I7),49:49)</f>
        <v>100</v>
      </c>
      <c r="K7" s="568"/>
      <c r="L7" s="2915"/>
      <c r="M7" s="2916"/>
      <c r="N7" s="2916"/>
      <c r="O7" s="2916"/>
      <c r="P7" s="3458" t="s">
        <v>2310</v>
      </c>
      <c r="Q7" s="3486"/>
      <c r="R7" s="710" t="s">
        <v>17</v>
      </c>
      <c r="S7" s="711">
        <f t="shared" ref="S7:S14" si="0">F7</f>
        <v>100</v>
      </c>
      <c r="T7" s="710" t="s">
        <v>17</v>
      </c>
      <c r="U7" s="711">
        <f t="shared" ref="U7:U14" si="1">H7</f>
        <v>100</v>
      </c>
      <c r="V7" s="710" t="s">
        <v>17</v>
      </c>
      <c r="W7" s="711">
        <f t="shared" ref="W7:W14" si="2">J7</f>
        <v>100</v>
      </c>
      <c r="X7" s="712"/>
      <c r="Y7" s="3458" t="s">
        <v>2310</v>
      </c>
      <c r="Z7" s="3459"/>
      <c r="AA7" s="713">
        <f>D7/F7</f>
        <v>1</v>
      </c>
      <c r="AB7" s="713">
        <f>D7/H7</f>
        <v>1</v>
      </c>
      <c r="AC7" s="713">
        <f>D7/J7</f>
        <v>1</v>
      </c>
    </row>
    <row r="8" spans="1:29" s="113" customFormat="1" ht="15.75" thickBot="1">
      <c r="A8" s="368" t="s">
        <v>2311</v>
      </c>
      <c r="B8" s="369"/>
      <c r="C8" s="374" t="s">
        <v>2413</v>
      </c>
      <c r="D8" s="371">
        <v>100</v>
      </c>
      <c r="E8" s="3239" t="s">
        <v>3195</v>
      </c>
      <c r="F8" s="373">
        <f>SUMIF(51:51,E8,52:52)-SUMIF(51:51,C8,52:52)+100</f>
        <v>100</v>
      </c>
      <c r="G8" s="3239" t="s">
        <v>3196</v>
      </c>
      <c r="H8" s="371">
        <f>SUMIF(51:51,G8,52:52)-SUMIF(51:51,C8,52:52)+100</f>
        <v>100</v>
      </c>
      <c r="I8" s="3239" t="s">
        <v>3196</v>
      </c>
      <c r="J8" s="371">
        <f>SUMIF(51:51,I8,52:52)-SUMIF(51:51,C8,52:52)+100</f>
        <v>100</v>
      </c>
      <c r="K8" s="568"/>
      <c r="L8" s="2915"/>
      <c r="M8" s="2916"/>
      <c r="N8" s="2916"/>
      <c r="O8" s="2916"/>
      <c r="P8" s="3458" t="s">
        <v>2313</v>
      </c>
      <c r="Q8" s="3459"/>
      <c r="R8" s="710" t="s">
        <v>17</v>
      </c>
      <c r="S8" s="711">
        <f t="shared" si="0"/>
        <v>100</v>
      </c>
      <c r="T8" s="710" t="s">
        <v>17</v>
      </c>
      <c r="U8" s="711">
        <f t="shared" si="1"/>
        <v>100</v>
      </c>
      <c r="V8" s="710" t="s">
        <v>17</v>
      </c>
      <c r="W8" s="711">
        <f t="shared" si="2"/>
        <v>100</v>
      </c>
      <c r="X8" s="712"/>
      <c r="Y8" s="3458" t="s">
        <v>2313</v>
      </c>
      <c r="Z8" s="3459"/>
      <c r="AA8" s="713">
        <f t="shared" ref="AA8:AA36" si="3">D8/F8</f>
        <v>1</v>
      </c>
      <c r="AB8" s="713">
        <f t="shared" ref="AB8:AB36" si="4">D8/H8</f>
        <v>1</v>
      </c>
      <c r="AC8" s="713">
        <f t="shared" ref="AC8:AC36" si="5">D8/J8</f>
        <v>1</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72" t="s">
        <v>2316</v>
      </c>
      <c r="Q9" s="1497" t="str">
        <f t="shared" ref="Q9:Q14" si="6">B9</f>
        <v>用途</v>
      </c>
      <c r="R9" s="710" t="s">
        <v>17</v>
      </c>
      <c r="S9" s="711">
        <f t="shared" si="0"/>
        <v>100</v>
      </c>
      <c r="T9" s="710" t="s">
        <v>17</v>
      </c>
      <c r="U9" s="711">
        <f t="shared" si="1"/>
        <v>100</v>
      </c>
      <c r="V9" s="710" t="s">
        <v>17</v>
      </c>
      <c r="W9" s="711">
        <f t="shared" si="2"/>
        <v>100</v>
      </c>
      <c r="X9" s="712"/>
      <c r="Y9" s="3428" t="s">
        <v>2317</v>
      </c>
      <c r="Z9" s="55" t="str">
        <f t="shared" ref="Z9:Z14" si="7">Q9</f>
        <v>用途</v>
      </c>
      <c r="AA9" s="713">
        <f t="shared" si="3"/>
        <v>1</v>
      </c>
      <c r="AB9" s="713">
        <f t="shared" si="4"/>
        <v>1</v>
      </c>
      <c r="AC9" s="713">
        <f t="shared" si="5"/>
        <v>1</v>
      </c>
    </row>
    <row r="10" spans="1:29" s="386" customFormat="1" ht="27">
      <c r="A10" s="597"/>
      <c r="B10" s="598" t="s">
        <v>2318</v>
      </c>
      <c r="C10" s="382" t="s">
        <v>5060</v>
      </c>
      <c r="D10" s="132">
        <v>100</v>
      </c>
      <c r="E10" s="382" t="s">
        <v>5060</v>
      </c>
      <c r="F10" s="132">
        <f>SUMIF(55:55,E10,56:56)-SUMIF(55:55,C10,56:56)+100</f>
        <v>100</v>
      </c>
      <c r="G10" s="383" t="s">
        <v>5061</v>
      </c>
      <c r="H10" s="132">
        <f>SUMIF(55:55,G10,56:56)-SUMIF(55:55,C10,56:56)+100</f>
        <v>102</v>
      </c>
      <c r="I10" s="382" t="s">
        <v>5060</v>
      </c>
      <c r="J10" s="132">
        <f>SUMIF(55:55,I10,56:56)-SUMIF(55:55,C10,56:56)+100</f>
        <v>100</v>
      </c>
      <c r="K10" s="569">
        <v>2</v>
      </c>
      <c r="L10" s="2917"/>
      <c r="M10" s="2918"/>
      <c r="N10" s="2918"/>
      <c r="O10" s="2918"/>
      <c r="P10" s="3472"/>
      <c r="Q10" s="1497" t="str">
        <f t="shared" si="6"/>
        <v>土地使用年限（年）</v>
      </c>
      <c r="R10" s="710" t="s">
        <v>17</v>
      </c>
      <c r="S10" s="711">
        <f t="shared" si="0"/>
        <v>100</v>
      </c>
      <c r="T10" s="710" t="s">
        <v>17</v>
      </c>
      <c r="U10" s="711">
        <f t="shared" si="1"/>
        <v>102</v>
      </c>
      <c r="V10" s="710" t="s">
        <v>17</v>
      </c>
      <c r="W10" s="711">
        <f t="shared" si="2"/>
        <v>100</v>
      </c>
      <c r="X10" s="712"/>
      <c r="Y10" s="3428"/>
      <c r="Z10" s="55" t="str">
        <f t="shared" si="7"/>
        <v>土地使用年限（年）</v>
      </c>
      <c r="AA10" s="713">
        <f t="shared" si="3"/>
        <v>1</v>
      </c>
      <c r="AB10" s="713">
        <f t="shared" si="4"/>
        <v>0.98039215686274506</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72"/>
      <c r="Q11" s="149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72"/>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72"/>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102</v>
      </c>
      <c r="G14" s="403"/>
      <c r="H14" s="400">
        <f>SUMIF(63:63,G15,64:64)-SUMIF(63:63,C15,64:64)+100</f>
        <v>100</v>
      </c>
      <c r="I14" s="401"/>
      <c r="J14" s="400">
        <f>SUMIF(63:63,I15,64:64)-SUMIF(63:63,C15,64:64)+100</f>
        <v>102</v>
      </c>
      <c r="K14" s="571">
        <v>2</v>
      </c>
      <c r="L14" s="2920"/>
      <c r="M14" s="2914"/>
      <c r="N14" s="2914"/>
      <c r="O14" s="2914"/>
      <c r="P14" s="3487" t="s">
        <v>2321</v>
      </c>
      <c r="Q14" s="1506" t="str">
        <f t="shared" si="6"/>
        <v>交通便捷度</v>
      </c>
      <c r="R14" s="714" t="s">
        <v>17</v>
      </c>
      <c r="S14" s="715">
        <f t="shared" si="0"/>
        <v>102</v>
      </c>
      <c r="T14" s="714" t="s">
        <v>17</v>
      </c>
      <c r="U14" s="715">
        <f t="shared" si="1"/>
        <v>100</v>
      </c>
      <c r="V14" s="714" t="s">
        <v>17</v>
      </c>
      <c r="W14" s="715">
        <f t="shared" si="2"/>
        <v>102</v>
      </c>
      <c r="X14" s="1509"/>
      <c r="Y14" s="3487" t="s">
        <v>2321</v>
      </c>
      <c r="Z14" s="1510" t="str">
        <f t="shared" si="7"/>
        <v>交通便捷度</v>
      </c>
      <c r="AA14" s="1507">
        <f t="shared" si="3"/>
        <v>0.98039215686274506</v>
      </c>
      <c r="AB14" s="1507">
        <f t="shared" si="4"/>
        <v>1</v>
      </c>
      <c r="AC14" s="1507">
        <f t="shared" si="5"/>
        <v>0.98039215686274506</v>
      </c>
    </row>
    <row r="15" spans="1:29" ht="15">
      <c r="A15" s="364"/>
      <c r="B15" s="603"/>
      <c r="C15" s="3240" t="s">
        <v>3197</v>
      </c>
      <c r="D15" s="407"/>
      <c r="E15" s="3240" t="s">
        <v>3209</v>
      </c>
      <c r="F15" s="408"/>
      <c r="G15" s="3240" t="s">
        <v>3210</v>
      </c>
      <c r="H15" s="409"/>
      <c r="I15" s="3240" t="s">
        <v>3209</v>
      </c>
      <c r="J15" s="407"/>
      <c r="K15" s="572"/>
      <c r="L15" s="2920"/>
      <c r="M15" s="2914"/>
      <c r="N15" s="2914"/>
      <c r="O15" s="2914"/>
      <c r="P15" s="3488"/>
      <c r="Q15" s="1506"/>
      <c r="R15" s="714"/>
      <c r="S15" s="715"/>
      <c r="T15" s="714"/>
      <c r="U15" s="715"/>
      <c r="V15" s="714"/>
      <c r="W15" s="715"/>
      <c r="X15" s="1509"/>
      <c r="Y15" s="3488"/>
      <c r="Z15" s="1510"/>
      <c r="AA15" s="1507">
        <v>1</v>
      </c>
      <c r="AB15" s="1507">
        <v>1</v>
      </c>
      <c r="AC15" s="1507">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88"/>
      <c r="Q16" s="1506" t="str">
        <f>B16</f>
        <v>公共配套设施</v>
      </c>
      <c r="R16" s="714" t="s">
        <v>17</v>
      </c>
      <c r="S16" s="715">
        <f>F16</f>
        <v>100</v>
      </c>
      <c r="T16" s="714" t="s">
        <v>17</v>
      </c>
      <c r="U16" s="715">
        <f>H16</f>
        <v>100</v>
      </c>
      <c r="V16" s="714" t="s">
        <v>17</v>
      </c>
      <c r="W16" s="715">
        <f>J16</f>
        <v>100</v>
      </c>
      <c r="X16" s="1509"/>
      <c r="Y16" s="3488"/>
      <c r="Z16" s="1510" t="str">
        <f>Q16</f>
        <v>公共配套设施</v>
      </c>
      <c r="AA16" s="1507">
        <f t="shared" si="3"/>
        <v>1</v>
      </c>
      <c r="AB16" s="1507">
        <f t="shared" si="4"/>
        <v>1</v>
      </c>
      <c r="AC16" s="1507">
        <f t="shared" si="5"/>
        <v>1</v>
      </c>
    </row>
    <row r="17" spans="1:29" ht="15">
      <c r="A17" s="364"/>
      <c r="B17" s="588"/>
      <c r="C17" s="3241" t="s">
        <v>3198</v>
      </c>
      <c r="D17" s="407"/>
      <c r="E17" s="3240" t="s">
        <v>3198</v>
      </c>
      <c r="F17" s="408"/>
      <c r="G17" s="3240" t="s">
        <v>3198</v>
      </c>
      <c r="H17" s="407"/>
      <c r="I17" s="3240" t="s">
        <v>3198</v>
      </c>
      <c r="J17" s="407"/>
      <c r="K17" s="572"/>
      <c r="L17" s="2920"/>
      <c r="M17" s="2914"/>
      <c r="N17" s="2914"/>
      <c r="O17" s="2914"/>
      <c r="P17" s="3488"/>
      <c r="Q17" s="1506"/>
      <c r="R17" s="714"/>
      <c r="S17" s="715"/>
      <c r="T17" s="714"/>
      <c r="U17" s="715"/>
      <c r="V17" s="714"/>
      <c r="W17" s="715"/>
      <c r="X17" s="1509"/>
      <c r="Y17" s="3488"/>
      <c r="Z17" s="1510"/>
      <c r="AA17" s="1507">
        <v>1</v>
      </c>
      <c r="AB17" s="1507">
        <v>1</v>
      </c>
      <c r="AC17" s="1507">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88"/>
      <c r="Q18" s="1506" t="str">
        <f>B18</f>
        <v>基础设施水平</v>
      </c>
      <c r="R18" s="714" t="s">
        <v>17</v>
      </c>
      <c r="S18" s="715">
        <f>F18</f>
        <v>100</v>
      </c>
      <c r="T18" s="714" t="s">
        <v>17</v>
      </c>
      <c r="U18" s="715">
        <f>H18</f>
        <v>100</v>
      </c>
      <c r="V18" s="714" t="s">
        <v>17</v>
      </c>
      <c r="W18" s="715">
        <f>J18</f>
        <v>100</v>
      </c>
      <c r="X18" s="1509"/>
      <c r="Y18" s="3488"/>
      <c r="Z18" s="1510" t="str">
        <f>Q18</f>
        <v>基础设施水平</v>
      </c>
      <c r="AA18" s="1507">
        <f t="shared" ref="AA18" si="8">D18/F18</f>
        <v>1</v>
      </c>
      <c r="AB18" s="1507">
        <f t="shared" ref="AB18" si="9">D18/H18</f>
        <v>1</v>
      </c>
      <c r="AC18" s="1507">
        <f t="shared" ref="AC18" si="10">D18/J18</f>
        <v>1</v>
      </c>
    </row>
    <row r="19" spans="1:29" ht="15">
      <c r="A19" s="364"/>
      <c r="B19" s="589"/>
      <c r="C19" s="3241" t="s">
        <v>3199</v>
      </c>
      <c r="D19" s="409"/>
      <c r="E19" s="3241" t="s">
        <v>3199</v>
      </c>
      <c r="F19" s="412"/>
      <c r="G19" s="3241" t="s">
        <v>3199</v>
      </c>
      <c r="H19" s="407"/>
      <c r="I19" s="3240" t="s">
        <v>3199</v>
      </c>
      <c r="J19" s="407"/>
      <c r="K19" s="1264"/>
      <c r="L19" s="2920"/>
      <c r="M19" s="2914"/>
      <c r="N19" s="2914"/>
      <c r="O19" s="2914"/>
      <c r="P19" s="3488"/>
      <c r="Q19" s="1506"/>
      <c r="R19" s="714"/>
      <c r="S19" s="715"/>
      <c r="T19" s="714"/>
      <c r="U19" s="715"/>
      <c r="V19" s="714"/>
      <c r="W19" s="715"/>
      <c r="X19" s="1509"/>
      <c r="Y19" s="3488"/>
      <c r="Z19" s="1510"/>
      <c r="AA19" s="1507">
        <v>1</v>
      </c>
      <c r="AB19" s="1507">
        <v>1</v>
      </c>
      <c r="AC19" s="1507">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88"/>
      <c r="Q20" s="1506" t="str">
        <f>B20</f>
        <v>自然及人文环境</v>
      </c>
      <c r="R20" s="714" t="s">
        <v>17</v>
      </c>
      <c r="S20" s="715">
        <f>F20</f>
        <v>100</v>
      </c>
      <c r="T20" s="714" t="s">
        <v>17</v>
      </c>
      <c r="U20" s="715">
        <f>H20</f>
        <v>100</v>
      </c>
      <c r="V20" s="714" t="s">
        <v>17</v>
      </c>
      <c r="W20" s="715">
        <f>J20</f>
        <v>100</v>
      </c>
      <c r="X20" s="1509"/>
      <c r="Y20" s="348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88"/>
      <c r="Q21" s="1506"/>
      <c r="R21" s="714"/>
      <c r="S21" s="715"/>
      <c r="T21" s="714"/>
      <c r="U21" s="715"/>
      <c r="V21" s="714"/>
      <c r="W21" s="715"/>
      <c r="X21" s="1509"/>
      <c r="Y21" s="348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88"/>
      <c r="Q22" s="1506" t="str">
        <f>B22</f>
        <v>楼层</v>
      </c>
      <c r="R22" s="714" t="s">
        <v>17</v>
      </c>
      <c r="S22" s="715">
        <f>F22</f>
        <v>100</v>
      </c>
      <c r="T22" s="714" t="s">
        <v>17</v>
      </c>
      <c r="U22" s="715">
        <f>H22</f>
        <v>100</v>
      </c>
      <c r="V22" s="714" t="s">
        <v>17</v>
      </c>
      <c r="W22" s="715">
        <f>J22</f>
        <v>100</v>
      </c>
      <c r="X22" s="1509"/>
      <c r="Y22" s="348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88"/>
      <c r="Q23" s="1506">
        <f>B23</f>
        <v>111</v>
      </c>
      <c r="R23" s="714" t="s">
        <v>17</v>
      </c>
      <c r="S23" s="715">
        <f>F23</f>
        <v>100</v>
      </c>
      <c r="T23" s="714" t="s">
        <v>17</v>
      </c>
      <c r="U23" s="715">
        <f>H23</f>
        <v>100</v>
      </c>
      <c r="V23" s="714" t="s">
        <v>17</v>
      </c>
      <c r="W23" s="715">
        <f>J23</f>
        <v>100</v>
      </c>
      <c r="X23" s="1509"/>
      <c r="Y23" s="348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88"/>
      <c r="Q24" s="1506">
        <f t="shared" ref="Q24:Q36" si="11">B24</f>
        <v>111</v>
      </c>
      <c r="R24" s="714" t="s">
        <v>17</v>
      </c>
      <c r="S24" s="715">
        <f>F24</f>
        <v>100</v>
      </c>
      <c r="T24" s="714" t="s">
        <v>17</v>
      </c>
      <c r="U24" s="715">
        <f>H24</f>
        <v>100</v>
      </c>
      <c r="V24" s="714" t="s">
        <v>17</v>
      </c>
      <c r="W24" s="715">
        <f>J24</f>
        <v>100</v>
      </c>
      <c r="X24" s="1509"/>
      <c r="Y24" s="348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88"/>
      <c r="Q25" s="1497">
        <f t="shared" si="11"/>
        <v>111</v>
      </c>
      <c r="R25" s="710" t="s">
        <v>17</v>
      </c>
      <c r="S25" s="711">
        <f>F25</f>
        <v>100</v>
      </c>
      <c r="T25" s="710" t="s">
        <v>17</v>
      </c>
      <c r="U25" s="711">
        <f>H25</f>
        <v>100</v>
      </c>
      <c r="V25" s="710" t="s">
        <v>17</v>
      </c>
      <c r="W25" s="711">
        <f>J25</f>
        <v>100</v>
      </c>
      <c r="X25" s="712"/>
      <c r="Y25" s="3488"/>
      <c r="Z25" s="55">
        <f>Q25</f>
        <v>111</v>
      </c>
      <c r="AA25" s="1507">
        <f>D25/F25</f>
        <v>1</v>
      </c>
      <c r="AB25" s="1507">
        <f>D25/H25</f>
        <v>1</v>
      </c>
      <c r="AC25" s="1507">
        <f>D25/J25</f>
        <v>1</v>
      </c>
    </row>
    <row r="26" spans="1:29" ht="28.5">
      <c r="A26" s="608" t="s">
        <v>2324</v>
      </c>
      <c r="B26" s="66" t="s">
        <v>2473</v>
      </c>
      <c r="C26" s="2127" t="str">
        <f>B1</f>
        <v>住宅</v>
      </c>
      <c r="D26" s="407">
        <v>100</v>
      </c>
      <c r="E26" s="3240" t="s">
        <v>3200</v>
      </c>
      <c r="F26" s="408">
        <f>SUMIF(79:79,E26,80:80)-SUMIF(79:79,C26,80:80)+100</f>
        <v>100</v>
      </c>
      <c r="G26" s="3240" t="s">
        <v>3200</v>
      </c>
      <c r="H26" s="407">
        <f>SUMIF(79:79,G26,80:80)-SUMIF(79:79,C26,80:80)+100</f>
        <v>100</v>
      </c>
      <c r="I26" s="3240" t="s">
        <v>3200</v>
      </c>
      <c r="J26" s="407">
        <f>SUMIF(79:79,I26,80:80)-SUMIF(79:79,C26,80:80)+100</f>
        <v>100</v>
      </c>
      <c r="K26" s="569"/>
      <c r="L26" s="2920"/>
      <c r="M26" s="2914"/>
      <c r="N26" s="2914"/>
      <c r="O26" s="2914"/>
      <c r="P26" s="3489"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0"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0"/>
      <c r="Q27" s="716" t="str">
        <f t="shared" si="11"/>
        <v>项目停车位配比</v>
      </c>
      <c r="R27" s="717" t="s">
        <v>17</v>
      </c>
      <c r="S27" s="718">
        <f t="shared" si="12"/>
        <v>100</v>
      </c>
      <c r="T27" s="717" t="s">
        <v>17</v>
      </c>
      <c r="U27" s="718">
        <f t="shared" si="13"/>
        <v>100</v>
      </c>
      <c r="V27" s="717" t="s">
        <v>17</v>
      </c>
      <c r="W27" s="718">
        <f t="shared" si="14"/>
        <v>100</v>
      </c>
      <c r="X27" s="719"/>
      <c r="Y27" s="3490"/>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0"/>
      <c r="Q28" s="1506" t="str">
        <f t="shared" si="11"/>
        <v>公共部分装修</v>
      </c>
      <c r="R28" s="714" t="s">
        <v>17</v>
      </c>
      <c r="S28" s="715">
        <f t="shared" si="12"/>
        <v>100</v>
      </c>
      <c r="T28" s="714" t="s">
        <v>17</v>
      </c>
      <c r="U28" s="715">
        <f t="shared" si="13"/>
        <v>100</v>
      </c>
      <c r="V28" s="714" t="s">
        <v>17</v>
      </c>
      <c r="W28" s="715">
        <f t="shared" si="14"/>
        <v>100</v>
      </c>
      <c r="X28" s="1509"/>
      <c r="Y28" s="3490"/>
      <c r="Z28" s="1510" t="str">
        <f t="shared" si="15"/>
        <v>公共部分装修</v>
      </c>
      <c r="AA28" s="1507">
        <f t="shared" si="3"/>
        <v>1</v>
      </c>
      <c r="AB28" s="1507">
        <f t="shared" si="4"/>
        <v>1</v>
      </c>
      <c r="AC28" s="1507">
        <f t="shared" si="5"/>
        <v>1</v>
      </c>
    </row>
    <row r="29" spans="1:29" ht="15">
      <c r="A29" s="612"/>
      <c r="B29" s="610" t="s">
        <v>2476</v>
      </c>
      <c r="C29" s="3243">
        <f>'数据-取费表'!N6</f>
        <v>0.73</v>
      </c>
      <c r="D29" s="394">
        <v>100</v>
      </c>
      <c r="E29" s="433">
        <f>ROUND(1-(2022-E40)/60,2)</f>
        <v>0.72</v>
      </c>
      <c r="F29" s="420">
        <f>LOOKUP(E29,86:86,87:87)-LOOKUP(C29,86:86,87:87)+100</f>
        <v>100</v>
      </c>
      <c r="G29" s="433">
        <f>ROUND(1-(2022-G40)/60,2)</f>
        <v>0.92</v>
      </c>
      <c r="H29" s="420">
        <f>LOOKUP(G29,86:86,87:87)-LOOKUP(C29,86:86,87:87)+100</f>
        <v>104</v>
      </c>
      <c r="I29" s="433">
        <f>ROUND(1-(2022-I40)/60,2)</f>
        <v>0.78</v>
      </c>
      <c r="J29" s="394">
        <f>LOOKUP(I29,86:86,87:87)-LOOKUP(C29,86:86,87:87)+100</f>
        <v>100</v>
      </c>
      <c r="K29" s="569">
        <v>2</v>
      </c>
      <c r="L29" s="2920"/>
      <c r="M29" s="2914"/>
      <c r="N29" s="2914"/>
      <c r="O29" s="2914"/>
      <c r="P29" s="3490"/>
      <c r="Q29" s="1506" t="str">
        <f t="shared" si="11"/>
        <v>成新率</v>
      </c>
      <c r="R29" s="714" t="s">
        <v>17</v>
      </c>
      <c r="S29" s="715">
        <f t="shared" si="12"/>
        <v>100</v>
      </c>
      <c r="T29" s="714" t="s">
        <v>17</v>
      </c>
      <c r="U29" s="715">
        <f t="shared" si="13"/>
        <v>104</v>
      </c>
      <c r="V29" s="714" t="s">
        <v>17</v>
      </c>
      <c r="W29" s="715">
        <f t="shared" si="14"/>
        <v>100</v>
      </c>
      <c r="X29" s="1509"/>
      <c r="Y29" s="3490"/>
      <c r="Z29" s="1510" t="str">
        <f t="shared" si="15"/>
        <v>成新率</v>
      </c>
      <c r="AA29" s="1507">
        <f t="shared" si="3"/>
        <v>1</v>
      </c>
      <c r="AB29" s="1507">
        <f t="shared" si="4"/>
        <v>0.96153846153846156</v>
      </c>
      <c r="AC29" s="1507">
        <f t="shared" si="5"/>
        <v>1</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0"/>
      <c r="Q30" s="1506" t="str">
        <f t="shared" si="11"/>
        <v>物业等级</v>
      </c>
      <c r="R30" s="714" t="s">
        <v>17</v>
      </c>
      <c r="S30" s="715">
        <f t="shared" si="12"/>
        <v>100</v>
      </c>
      <c r="T30" s="714" t="s">
        <v>17</v>
      </c>
      <c r="U30" s="715">
        <f t="shared" si="13"/>
        <v>100</v>
      </c>
      <c r="V30" s="714" t="s">
        <v>17</v>
      </c>
      <c r="W30" s="715">
        <f t="shared" si="14"/>
        <v>100</v>
      </c>
      <c r="X30" s="1509"/>
      <c r="Y30" s="3490"/>
      <c r="Z30" s="1510" t="str">
        <f t="shared" si="15"/>
        <v>物业等级</v>
      </c>
      <c r="AA30" s="1507">
        <f t="shared" si="3"/>
        <v>1</v>
      </c>
      <c r="AB30" s="1507">
        <f t="shared" si="4"/>
        <v>1</v>
      </c>
      <c r="AC30" s="1507">
        <f t="shared" si="5"/>
        <v>1</v>
      </c>
    </row>
    <row r="31" spans="1:29" s="113" customFormat="1" ht="15">
      <c r="A31" s="614"/>
      <c r="B31" s="610" t="s">
        <v>4144</v>
      </c>
      <c r="C31" s="428">
        <v>1</v>
      </c>
      <c r="D31" s="132">
        <v>100</v>
      </c>
      <c r="E31" s="428">
        <v>1</v>
      </c>
      <c r="F31" s="420">
        <f>LOOKUP(E31,91:91,92:92)-LOOKUP(C31,91:91,92:92)+100</f>
        <v>100</v>
      </c>
      <c r="G31" s="428">
        <v>1</v>
      </c>
      <c r="H31" s="394">
        <f>LOOKUP(G31,91:91,92:92)-LOOKUP(C31,91:91,92:92)+100</f>
        <v>100</v>
      </c>
      <c r="I31" s="428">
        <v>1</v>
      </c>
      <c r="J31" s="394">
        <f>LOOKUP(I31,91:91,92:92)-LOOKUP(C31,91:91,92:92)+100</f>
        <v>100</v>
      </c>
      <c r="K31" s="569"/>
      <c r="L31" s="2915"/>
      <c r="M31" s="2916"/>
      <c r="N31" s="2916"/>
      <c r="O31" s="2916"/>
      <c r="P31" s="3490"/>
      <c r="Q31" s="1497" t="str">
        <f t="shared" si="11"/>
        <v>停车位面积</v>
      </c>
      <c r="R31" s="710" t="s">
        <v>17</v>
      </c>
      <c r="S31" s="711">
        <f t="shared" si="12"/>
        <v>100</v>
      </c>
      <c r="T31" s="710" t="s">
        <v>17</v>
      </c>
      <c r="U31" s="711">
        <f t="shared" si="13"/>
        <v>100</v>
      </c>
      <c r="V31" s="710" t="s">
        <v>17</v>
      </c>
      <c r="W31" s="711">
        <f t="shared" si="14"/>
        <v>100</v>
      </c>
      <c r="X31" s="712"/>
      <c r="Y31" s="3490"/>
      <c r="Z31" s="55" t="str">
        <f t="shared" si="15"/>
        <v>停车位面积</v>
      </c>
      <c r="AA31" s="713">
        <f t="shared" si="3"/>
        <v>1</v>
      </c>
      <c r="AB31" s="713">
        <f t="shared" si="4"/>
        <v>1</v>
      </c>
      <c r="AC31" s="713">
        <f t="shared" si="5"/>
        <v>1</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0" t="s">
        <v>2326</v>
      </c>
      <c r="Q32" s="1506" t="str">
        <f t="shared" si="11"/>
        <v>车位类型</v>
      </c>
      <c r="R32" s="714" t="s">
        <v>17</v>
      </c>
      <c r="S32" s="715">
        <f t="shared" si="12"/>
        <v>100</v>
      </c>
      <c r="T32" s="714" t="s">
        <v>17</v>
      </c>
      <c r="U32" s="715">
        <f t="shared" si="13"/>
        <v>100</v>
      </c>
      <c r="V32" s="714" t="s">
        <v>17</v>
      </c>
      <c r="W32" s="715">
        <f t="shared" si="14"/>
        <v>100</v>
      </c>
      <c r="X32" s="1509"/>
      <c r="Y32" s="3490" t="s">
        <v>2326</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0"/>
      <c r="Q33" s="1506" t="str">
        <f t="shared" si="11"/>
        <v>是否直接入户</v>
      </c>
      <c r="R33" s="714" t="s">
        <v>17</v>
      </c>
      <c r="S33" s="715">
        <f t="shared" si="12"/>
        <v>100</v>
      </c>
      <c r="T33" s="714" t="s">
        <v>17</v>
      </c>
      <c r="U33" s="715">
        <f t="shared" si="13"/>
        <v>100</v>
      </c>
      <c r="V33" s="714" t="s">
        <v>17</v>
      </c>
      <c r="W33" s="715">
        <f t="shared" si="14"/>
        <v>100</v>
      </c>
      <c r="X33" s="1509"/>
      <c r="Y33" s="349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0"/>
      <c r="Q34" s="1506">
        <f t="shared" si="11"/>
        <v>111</v>
      </c>
      <c r="R34" s="714" t="s">
        <v>17</v>
      </c>
      <c r="S34" s="715">
        <f t="shared" si="12"/>
        <v>100</v>
      </c>
      <c r="T34" s="714" t="s">
        <v>17</v>
      </c>
      <c r="U34" s="715">
        <f t="shared" si="13"/>
        <v>100</v>
      </c>
      <c r="V34" s="714" t="s">
        <v>17</v>
      </c>
      <c r="W34" s="715">
        <f t="shared" si="14"/>
        <v>100</v>
      </c>
      <c r="X34" s="1509"/>
      <c r="Y34" s="349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0"/>
      <c r="Q35" s="716">
        <f t="shared" si="11"/>
        <v>111</v>
      </c>
      <c r="R35" s="717" t="s">
        <v>17</v>
      </c>
      <c r="S35" s="718">
        <f t="shared" si="12"/>
        <v>100</v>
      </c>
      <c r="T35" s="717" t="s">
        <v>17</v>
      </c>
      <c r="U35" s="718">
        <f t="shared" si="13"/>
        <v>100</v>
      </c>
      <c r="V35" s="717" t="s">
        <v>17</v>
      </c>
      <c r="W35" s="718">
        <f t="shared" si="14"/>
        <v>100</v>
      </c>
      <c r="X35" s="719"/>
      <c r="Y35" s="349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0"/>
      <c r="Q36" s="1506">
        <f t="shared" si="11"/>
        <v>111</v>
      </c>
      <c r="R36" s="714" t="s">
        <v>17</v>
      </c>
      <c r="S36" s="715">
        <f t="shared" si="12"/>
        <v>100</v>
      </c>
      <c r="T36" s="714" t="s">
        <v>17</v>
      </c>
      <c r="U36" s="715">
        <f t="shared" si="13"/>
        <v>100</v>
      </c>
      <c r="V36" s="714" t="s">
        <v>17</v>
      </c>
      <c r="W36" s="715">
        <f t="shared" si="14"/>
        <v>100</v>
      </c>
      <c r="X36" s="1509"/>
      <c r="Y36" s="3490"/>
      <c r="Z36" s="1510">
        <f t="shared" si="15"/>
        <v>111</v>
      </c>
      <c r="AA36" s="1507">
        <f t="shared" si="3"/>
        <v>1</v>
      </c>
      <c r="AB36" s="1507">
        <f t="shared" si="4"/>
        <v>1</v>
      </c>
      <c r="AC36" s="1507">
        <f t="shared" si="5"/>
        <v>1</v>
      </c>
    </row>
    <row r="37" spans="1:29" ht="15">
      <c r="A37" s="438" t="s">
        <v>2480</v>
      </c>
      <c r="B37" s="2128" t="s">
        <v>2481</v>
      </c>
      <c r="C37" s="1288" t="s">
        <v>1</v>
      </c>
      <c r="D37" s="1289"/>
      <c r="E37" s="1290">
        <f>Sheet1!N7</f>
        <v>261300</v>
      </c>
      <c r="F37" s="1291"/>
      <c r="G37" s="1292">
        <f>Sheet1!N8</f>
        <v>300000</v>
      </c>
      <c r="H37" s="1293"/>
      <c r="I37" s="1290">
        <f>Sheet1!N9</f>
        <v>225000</v>
      </c>
      <c r="J37" s="1293"/>
      <c r="K37" s="576"/>
      <c r="L37" s="2922"/>
      <c r="M37" s="2923"/>
      <c r="N37" s="2914"/>
      <c r="O37" s="2923"/>
      <c r="P37" s="3472" t="str">
        <f>A37</f>
        <v>成交单价</v>
      </c>
      <c r="Q37" s="3472"/>
      <c r="R37" s="3491">
        <f>E37</f>
        <v>261300</v>
      </c>
      <c r="S37" s="3491"/>
      <c r="T37" s="3491">
        <f>G37</f>
        <v>300000</v>
      </c>
      <c r="U37" s="3491"/>
      <c r="V37" s="3491">
        <f>I37</f>
        <v>225000</v>
      </c>
      <c r="W37" s="3491"/>
      <c r="X37" s="699"/>
      <c r="Y37" s="721"/>
      <c r="Z37" s="699"/>
      <c r="AA37" s="699"/>
      <c r="AB37" s="699"/>
      <c r="AC37" s="699"/>
    </row>
    <row r="38" spans="1:29" ht="15.75" thickBot="1">
      <c r="A38" s="445" t="s">
        <v>2482</v>
      </c>
      <c r="B38" s="446" t="str">
        <f>B37</f>
        <v>元/车位</v>
      </c>
      <c r="C38" s="1294">
        <f>R39</f>
        <v>253190</v>
      </c>
      <c r="D38" s="2507" t="s">
        <v>2817</v>
      </c>
      <c r="E38" s="1295">
        <f>R38</f>
        <v>256176</v>
      </c>
      <c r="F38" s="2508"/>
      <c r="G38" s="1294">
        <f>T38</f>
        <v>282805</v>
      </c>
      <c r="H38" s="2508"/>
      <c r="I38" s="1295">
        <f>V38</f>
        <v>220588</v>
      </c>
      <c r="J38" s="2508"/>
      <c r="K38" s="2510">
        <f>F38+H38+J38</f>
        <v>0</v>
      </c>
      <c r="L38" s="2922"/>
      <c r="M38" s="2923"/>
      <c r="N38" s="2923"/>
      <c r="O38" s="2923"/>
      <c r="P38" s="3472" t="str">
        <f>A38</f>
        <v>比较价值（元/平方米）</v>
      </c>
      <c r="Q38" s="3472"/>
      <c r="R38" s="3491">
        <f>IF(F1="售价",ROUND(PRODUCT(R37,AA7:AA36),0),ROUND(PRODUCT(R37,AA7:AA36),1))</f>
        <v>256176</v>
      </c>
      <c r="S38" s="3491"/>
      <c r="T38" s="3491">
        <f>IF(F1="售价",ROUND(PRODUCT(T37,AB7:AB36),0),ROUND(PRODUCT(T37,AB7:AB36),1))</f>
        <v>282805</v>
      </c>
      <c r="U38" s="3491"/>
      <c r="V38" s="3491">
        <f>IF(F1="售价",ROUND(PRODUCT(V37,AC7:AC36),0),ROUND(PRODUCT(V37,AC7:AC36),1))</f>
        <v>220588</v>
      </c>
      <c r="W38" s="3491"/>
      <c r="X38" s="699"/>
      <c r="Y38" s="699"/>
      <c r="Z38" s="699"/>
      <c r="AA38" s="699"/>
      <c r="AB38" s="699"/>
      <c r="AC38" s="699"/>
    </row>
    <row r="39" spans="1:29" ht="15.75" thickBot="1">
      <c r="A39" s="449" t="s">
        <v>2483</v>
      </c>
      <c r="B39" s="450"/>
      <c r="C39" s="1297">
        <f>R39</f>
        <v>253190</v>
      </c>
      <c r="D39" s="1297"/>
      <c r="E39" s="1297"/>
      <c r="F39" s="1297"/>
      <c r="G39" s="1297"/>
      <c r="H39" s="1297"/>
      <c r="I39" s="1297"/>
      <c r="J39" s="1297"/>
      <c r="K39" s="577"/>
      <c r="L39" s="2922"/>
      <c r="M39" s="2923"/>
      <c r="N39" s="2923"/>
      <c r="O39" s="2923"/>
      <c r="P39" s="3492" t="str">
        <f>A39</f>
        <v>估价对象XX用房的比较价值（楼面单价，元/平方米）</v>
      </c>
      <c r="Q39" s="3493"/>
      <c r="R39" s="3494">
        <f>IF(F1="售价",ROUND(IF(D38="简单平均",AVERAGE(R38:W38),R38*F38+T38*H38+V38*J38),0),ROUND(IF(D38="简单平均",AVERAGE(R38:V38),R38*F38+T38*H38+V38*J38),1))</f>
        <v>253190</v>
      </c>
      <c r="S39" s="3494"/>
      <c r="T39" s="3494"/>
      <c r="U39" s="3494"/>
      <c r="V39" s="3494"/>
      <c r="W39" s="3494"/>
      <c r="X39" s="699"/>
      <c r="Y39" s="699"/>
      <c r="Z39" s="699"/>
      <c r="AA39" s="699"/>
      <c r="AB39" s="699"/>
      <c r="AC39" s="699"/>
    </row>
    <row r="40" spans="1:29">
      <c r="A40" s="2923"/>
      <c r="B40" s="2923"/>
      <c r="C40" s="2923"/>
      <c r="D40" s="2923"/>
      <c r="E40" s="2923">
        <v>2005</v>
      </c>
      <c r="F40" s="2923"/>
      <c r="G40" s="3242">
        <v>2017</v>
      </c>
      <c r="H40" s="2923"/>
      <c r="I40" s="2923">
        <v>2009</v>
      </c>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2484</v>
      </c>
      <c r="D42" s="455"/>
      <c r="E42" s="456">
        <f>IF(E37&lt;E38,E38/E37-1,E37/E38-1)</f>
        <v>2.0001873711823048E-2</v>
      </c>
      <c r="F42" s="457" t="str">
        <f>IF(OR(E42&gt;=0.3,E42&lt;=-0.3),"超过30%","")</f>
        <v/>
      </c>
      <c r="G42" s="456">
        <f>IF(G37&lt;G38,G38/G37-1,G37/G38-1)</f>
        <v>6.0801612418450945E-2</v>
      </c>
      <c r="H42" s="457" t="str">
        <f>IF(OR(G42&gt;=0.3,G42&lt;=-0.3),"超过30%","")</f>
        <v/>
      </c>
      <c r="I42" s="456">
        <f>IF(I37&lt;I38,I38/I37-1,I37/I38-1)</f>
        <v>2.0001088001160516E-2</v>
      </c>
      <c r="J42" s="457"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2485</v>
      </c>
      <c r="D43" s="458"/>
      <c r="E43" s="456">
        <f>IF(E38&lt;G38,G38/E38-1,E38/G38-1)</f>
        <v>0.10394806695396919</v>
      </c>
      <c r="F43" s="457" t="str">
        <f>IF(OR(E43&gt;=0.2,E43&lt;=-0.2),"超过20%","")</f>
        <v/>
      </c>
      <c r="G43" s="456">
        <f>IF(G38&lt;I38,I38/G38-1,G38/I38-1)</f>
        <v>0.2820507008540809</v>
      </c>
      <c r="H43" s="457" t="str">
        <f>IF(OR(G43&gt;=0.2,G43&lt;=-0.2),"超过20%","")</f>
        <v>超过20%</v>
      </c>
      <c r="I43" s="456">
        <f>IF(I38&lt;E38,E38/I38-1,I38/E38-1)</f>
        <v>0.16133243875460135</v>
      </c>
      <c r="J43" s="457"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2486</v>
      </c>
      <c r="D44" s="458"/>
      <c r="E44" s="456">
        <f>IF(E37&lt;G37,G37/E37-1,E37/G37-1)</f>
        <v>0.14810562571756591</v>
      </c>
      <c r="F44" s="457" t="str">
        <f>IF(OR(E44&gt;=0.3,E44&lt;=-0.3),"超过30%","")</f>
        <v/>
      </c>
      <c r="G44" s="456">
        <f>IF(G37&lt;I37,I37/G37-1,G37/I37-1)</f>
        <v>0.33333333333333326</v>
      </c>
      <c r="H44" s="457" t="str">
        <f>IF(OR(G44&gt;=0.3,G44&lt;=-0.3),"超过30%","")</f>
        <v>超过30%</v>
      </c>
      <c r="I44" s="456">
        <f>IF(I37&lt;E37,E37/I37-1,I37/E37-1)</f>
        <v>0.16133333333333333</v>
      </c>
      <c r="J44" s="457"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2487</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2488</v>
      </c>
      <c r="B48" s="463"/>
      <c r="C48" s="1318" t="str">
        <f>YEAR(C7)&amp;"-"&amp;MONTH(C7)</f>
        <v>2022-1</v>
      </c>
      <c r="D48" s="1319">
        <f>EDATE(C48,-1)</f>
        <v>44531</v>
      </c>
      <c r="E48" s="1319">
        <f t="shared" ref="E48:O48" si="16">EDATE(D48,-1)</f>
        <v>44501</v>
      </c>
      <c r="F48" s="1319">
        <f t="shared" si="16"/>
        <v>44470</v>
      </c>
      <c r="G48" s="1319">
        <f t="shared" si="16"/>
        <v>44440</v>
      </c>
      <c r="H48" s="1319">
        <f t="shared" si="16"/>
        <v>44409</v>
      </c>
      <c r="I48" s="1319">
        <f t="shared" si="16"/>
        <v>44378</v>
      </c>
      <c r="J48" s="1319">
        <f t="shared" si="16"/>
        <v>44348</v>
      </c>
      <c r="K48" s="1319">
        <f t="shared" si="16"/>
        <v>44317</v>
      </c>
      <c r="L48" s="1319">
        <f t="shared" si="16"/>
        <v>44287</v>
      </c>
      <c r="M48" s="1319">
        <f t="shared" si="16"/>
        <v>44256</v>
      </c>
      <c r="N48" s="1319">
        <f t="shared" si="16"/>
        <v>44228</v>
      </c>
      <c r="O48" s="1319">
        <f t="shared" si="16"/>
        <v>44197</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98</v>
      </c>
      <c r="G56" s="501">
        <f>F56-$K10</f>
        <v>96</v>
      </c>
      <c r="H56" s="501">
        <f>G56-$K10</f>
        <v>94</v>
      </c>
      <c r="I56" s="501">
        <f>H56-$K10</f>
        <v>92</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98</v>
      </c>
      <c r="E64" s="501">
        <f>D64-$K14</f>
        <v>96</v>
      </c>
      <c r="F64" s="501">
        <f>E64-$K14</f>
        <v>94</v>
      </c>
      <c r="G64" s="501">
        <f>F64-$K14</f>
        <v>92</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2489</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2490</v>
      </c>
      <c r="C79" s="486" t="str">
        <f>C26</f>
        <v>住宅</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2491</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102</v>
      </c>
      <c r="E87" s="501">
        <f t="shared" ref="E87:M87" si="19">D87+$K$29</f>
        <v>104</v>
      </c>
      <c r="F87" s="501">
        <f t="shared" si="19"/>
        <v>106</v>
      </c>
      <c r="G87" s="501">
        <f t="shared" si="19"/>
        <v>108</v>
      </c>
      <c r="H87" s="501">
        <f t="shared" si="19"/>
        <v>110</v>
      </c>
      <c r="I87" s="501">
        <f t="shared" si="19"/>
        <v>112</v>
      </c>
      <c r="J87" s="501">
        <f t="shared" si="19"/>
        <v>114</v>
      </c>
      <c r="K87" s="501">
        <f t="shared" si="19"/>
        <v>116</v>
      </c>
      <c r="L87" s="501">
        <f t="shared" si="19"/>
        <v>118</v>
      </c>
      <c r="M87" s="501">
        <f t="shared" si="19"/>
        <v>120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2493</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2494</v>
      </c>
      <c r="C90" s="535" t="str">
        <f>C91&amp;"(含)"&amp;"-"&amp;D91</f>
        <v>0(含)-30</v>
      </c>
      <c r="D90" s="535" t="str">
        <f t="shared" ref="D90:L90" si="21">D91&amp;"(含)"&amp;"-"&amp;E91</f>
        <v>30(含)-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v>0</v>
      </c>
      <c r="D91" s="552">
        <v>30</v>
      </c>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2495</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2496</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65" priority="18" stopIfTrue="1" operator="containsText" text="超过">
      <formula>NOT(ISERROR(SEARCH("超过",F42)))</formula>
    </cfRule>
  </conditionalFormatting>
  <conditionalFormatting sqref="J44">
    <cfRule type="containsText" dxfId="164" priority="17" stopIfTrue="1" operator="containsText" text="超过">
      <formula>NOT(ISERROR(SEARCH("超过",J44)))</formula>
    </cfRule>
  </conditionalFormatting>
  <conditionalFormatting sqref="H44">
    <cfRule type="containsText" dxfId="163" priority="16" stopIfTrue="1" operator="containsText" text="超过">
      <formula>NOT(ISERROR(SEARCH("超过",H44)))</formula>
    </cfRule>
  </conditionalFormatting>
  <conditionalFormatting sqref="F44">
    <cfRule type="containsText" dxfId="162" priority="15" stopIfTrue="1" operator="containsText" text="超过">
      <formula>NOT(ISERROR(SEARCH("超过",F44)))</formula>
    </cfRule>
  </conditionalFormatting>
  <conditionalFormatting sqref="F43 H43 J43">
    <cfRule type="containsText" dxfId="161" priority="14" stopIfTrue="1" operator="containsText" text="超过">
      <formula>NOT(ISERROR(SEARCH("超过",F43)))</formula>
    </cfRule>
  </conditionalFormatting>
  <conditionalFormatting sqref="E42">
    <cfRule type="expression" dxfId="160" priority="13" stopIfTrue="1">
      <formula>$F$42="超过30%"</formula>
    </cfRule>
  </conditionalFormatting>
  <conditionalFormatting sqref="G44">
    <cfRule type="expression" dxfId="159" priority="12" stopIfTrue="1">
      <formula>$H$54+$H$44="超过30%"</formula>
    </cfRule>
  </conditionalFormatting>
  <conditionalFormatting sqref="E43">
    <cfRule type="expression" dxfId="158" priority="11" stopIfTrue="1">
      <formula>$F$43="超过20%"</formula>
    </cfRule>
  </conditionalFormatting>
  <conditionalFormatting sqref="E44">
    <cfRule type="expression" dxfId="157" priority="10" stopIfTrue="1">
      <formula>$F$44="超过30%"</formula>
    </cfRule>
  </conditionalFormatting>
  <conditionalFormatting sqref="G42">
    <cfRule type="expression" dxfId="156" priority="9" stopIfTrue="1">
      <formula>$H$52+$H$42="超过30%"</formula>
    </cfRule>
  </conditionalFormatting>
  <conditionalFormatting sqref="G43">
    <cfRule type="expression" dxfId="155" priority="8" stopIfTrue="1">
      <formula>$H$43="超过20%"</formula>
    </cfRule>
  </conditionalFormatting>
  <conditionalFormatting sqref="I42">
    <cfRule type="expression" dxfId="154" priority="7" stopIfTrue="1">
      <formula>$J$52+$J$42="超过30%"</formula>
    </cfRule>
  </conditionalFormatting>
  <conditionalFormatting sqref="I43">
    <cfRule type="expression" dxfId="153" priority="6" stopIfTrue="1">
      <formula>$J$53+$J$43="超过20%"</formula>
    </cfRule>
  </conditionalFormatting>
  <conditionalFormatting sqref="I44">
    <cfRule type="expression" dxfId="152" priority="5" stopIfTrue="1">
      <formula>$J$44="超过30%"</formula>
    </cfRule>
  </conditionalFormatting>
  <conditionalFormatting sqref="F38">
    <cfRule type="expression" dxfId="151" priority="4">
      <formula>$D$38="简单平均"</formula>
    </cfRule>
  </conditionalFormatting>
  <conditionalFormatting sqref="H38">
    <cfRule type="expression" dxfId="150" priority="3">
      <formula>$D$38="简单平均"</formula>
    </cfRule>
  </conditionalFormatting>
  <conditionalFormatting sqref="J38">
    <cfRule type="expression" dxfId="149" priority="2">
      <formula>$D$38="简单平均"</formula>
    </cfRule>
  </conditionalFormatting>
  <conditionalFormatting sqref="F7:F36 H7:H36 J7:J36">
    <cfRule type="cellIs" dxfId="14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24" sqref="M2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t="s">
        <v>3165</v>
      </c>
      <c r="C1" s="2014" t="s">
        <v>2189</v>
      </c>
      <c r="D1" s="204"/>
      <c r="E1" s="204"/>
      <c r="F1" s="204"/>
      <c r="G1" s="1260">
        <f>MATCH(B1,'数据-取费表'!A6:A16,0)+5</f>
        <v>6</v>
      </c>
      <c r="H1" s="1192" t="str">
        <f>IF(ISERROR(FIND("住宅",B1)),"非住宅","住宅")</f>
        <v>非住宅</v>
      </c>
    </row>
    <row r="2" spans="1:8" s="206" customFormat="1" ht="18" customHeight="1">
      <c r="A2" s="207" t="s">
        <v>2088</v>
      </c>
      <c r="B2" s="208">
        <f ca="1">ROUND(IF(D2="——",C52/10000,C52/10000-E2),0)</f>
        <v>33</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9726</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169163</v>
      </c>
      <c r="D5" s="217" t="s">
        <v>2095</v>
      </c>
      <c r="E5" s="218" t="s">
        <v>2096</v>
      </c>
      <c r="F5" s="218" t="s">
        <v>2097</v>
      </c>
      <c r="G5" s="219"/>
    </row>
    <row r="6" spans="1:8" s="220" customFormat="1" ht="13.5" customHeight="1">
      <c r="A6" s="886" t="s">
        <v>2098</v>
      </c>
      <c r="B6" s="221" t="s">
        <v>2099</v>
      </c>
      <c r="C6" s="222">
        <f>ROUND(基准地价修正!C39*基准地价修正!D39,0)</f>
        <v>157571</v>
      </c>
      <c r="D6" s="223"/>
      <c r="E6" s="224"/>
      <c r="F6" s="224"/>
      <c r="G6" s="225"/>
    </row>
    <row r="7" spans="1:8" s="220" customFormat="1" ht="13.5" customHeight="1">
      <c r="A7" s="886" t="s">
        <v>2100</v>
      </c>
      <c r="B7" s="221" t="s">
        <v>2101</v>
      </c>
      <c r="C7" s="226">
        <f>ROUND(C6*F7,0)</f>
        <v>4806</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6786</v>
      </c>
      <c r="D8" s="228"/>
      <c r="E8" s="226"/>
      <c r="F8" s="227"/>
      <c r="G8" s="2011" t="s">
        <v>3190</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6786</v>
      </c>
      <c r="D10" s="954">
        <f ca="1">IF(B1="",'数据-汇总表'!E6,IF(INDIRECT("'数据-取费表'!c"&amp;$G$1)="住宅",INDIRECT("'数据-取费表'!s"&amp;$G$1),INDIRECT("'数据-取费表'!k"&amp;$G$1)+INDIRECT("'数据-取费表'!s"&amp;$G$1)))</f>
        <v>33.93</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33.93</v>
      </c>
      <c r="E19" s="217">
        <f>'数据-取费表'!B31</f>
        <v>200</v>
      </c>
      <c r="F19" s="237"/>
      <c r="G19" s="2011" t="s">
        <v>3191</v>
      </c>
    </row>
    <row r="20" spans="1:7" s="220" customFormat="1" ht="13.5" customHeight="1">
      <c r="A20" s="261" t="s">
        <v>2200</v>
      </c>
      <c r="B20" s="216" t="s">
        <v>2201</v>
      </c>
      <c r="C20" s="238">
        <f ca="1">ROUND((C5+C19)*F20,0)</f>
        <v>3383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15006</v>
      </c>
      <c r="D22" s="241">
        <f ca="1">C26</f>
        <v>8.9999999999999998E-4</v>
      </c>
      <c r="E22" s="242" t="s">
        <v>2205</v>
      </c>
      <c r="F22" s="243">
        <f ca="1">'数据-取费表'!B40</f>
        <v>4.2999999999999997E-2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14861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145</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8627</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8627</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212131</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130885</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118755</v>
      </c>
      <c r="D34" s="223"/>
      <c r="E34" s="226"/>
      <c r="F34" s="263"/>
      <c r="G34" s="225"/>
    </row>
    <row r="35" spans="1:7" ht="13.5" customHeight="1">
      <c r="A35" s="888" t="s">
        <v>796</v>
      </c>
      <c r="B35" s="221" t="s">
        <v>2153</v>
      </c>
      <c r="C35" s="226">
        <f ca="1">ROUND(C34*F35,0)</f>
        <v>3563</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6786</v>
      </c>
      <c r="D37" s="223">
        <f ca="1">D19</f>
        <v>33.93</v>
      </c>
      <c r="E37" s="255">
        <f>'数据-取费表'!B35</f>
        <v>200</v>
      </c>
      <c r="F37" s="265"/>
      <c r="G37" s="267"/>
    </row>
    <row r="38" spans="1:7" ht="13.5" customHeight="1">
      <c r="A38" s="888" t="s">
        <v>799</v>
      </c>
      <c r="B38" s="221" t="s">
        <v>2159</v>
      </c>
      <c r="C38" s="226">
        <f ca="1">ROUND(C34*F38,0)</f>
        <v>1781</v>
      </c>
      <c r="D38" s="226"/>
      <c r="E38" s="226"/>
      <c r="F38" s="265">
        <f>'数据-取费表'!B36</f>
        <v>1.4999999999999999E-2</v>
      </c>
      <c r="G38" s="225" t="s">
        <v>2154</v>
      </c>
    </row>
    <row r="39" spans="1:7" s="220" customFormat="1" ht="13.5" customHeight="1">
      <c r="A39" s="261" t="s">
        <v>2160</v>
      </c>
      <c r="B39" s="216" t="s">
        <v>2161</v>
      </c>
      <c r="C39" s="238">
        <f ca="1">ROUND(C33*F20,0)</f>
        <v>2618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5741</v>
      </c>
      <c r="D41" s="241">
        <f ca="1">C44</f>
        <v>8.9999999999999998E-4</v>
      </c>
      <c r="E41" s="242" t="s">
        <v>2165</v>
      </c>
      <c r="F41" s="2505">
        <f ca="1">F22</f>
        <v>4.2999999999999997E-2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5628</v>
      </c>
      <c r="D42" s="244"/>
      <c r="E42" s="244"/>
      <c r="F42" s="245"/>
      <c r="G42" s="3452" t="s">
        <v>2217</v>
      </c>
    </row>
    <row r="43" spans="1:7" ht="13.5" customHeight="1">
      <c r="A43" s="888" t="s">
        <v>792</v>
      </c>
      <c r="B43" s="221" t="s">
        <v>2171</v>
      </c>
      <c r="C43" s="244">
        <f ca="1">ROUND(IF('数据-取费表'!B22&lt;=1,C39*F22*'数据-取费表'!B20/2,C39*(POWER((1+F22),'数据-取费表'!B20/2)-1)),0)</f>
        <v>113</v>
      </c>
      <c r="D43" s="244"/>
      <c r="E43" s="244"/>
      <c r="F43" s="245"/>
      <c r="G43" s="3453"/>
    </row>
    <row r="44" spans="1:7" ht="13.5" customHeight="1">
      <c r="A44" s="888" t="s">
        <v>793</v>
      </c>
      <c r="B44" s="221" t="s">
        <v>2172</v>
      </c>
      <c r="C44" s="244">
        <f ca="1">ROUND(IF('数据-取费表'!B22&lt;=1,C40*F22*'数据-取费表'!B20/2,C40*(POWER((1+F22),'数据-取费表'!B20/2)-1)),4)</f>
        <v>8.9999999999999998E-4</v>
      </c>
      <c r="D44" s="244"/>
      <c r="E44" s="244"/>
      <c r="F44" s="245"/>
      <c r="G44" s="3454"/>
    </row>
    <row r="45" spans="1:7" s="220" customFormat="1" ht="13.5" customHeight="1">
      <c r="A45" s="261" t="s">
        <v>2173</v>
      </c>
      <c r="B45" s="250" t="s">
        <v>2139</v>
      </c>
      <c r="C45" s="251">
        <f ca="1">C46</f>
        <v>6675</v>
      </c>
      <c r="D45" s="241">
        <f ca="1">C47</f>
        <v>1E-3</v>
      </c>
      <c r="E45" s="242" t="s">
        <v>2165</v>
      </c>
      <c r="F45" s="2506">
        <f ca="1">F27</f>
        <v>0.05</v>
      </c>
      <c r="G45" s="253" t="s">
        <v>2174</v>
      </c>
    </row>
    <row r="46" spans="1:7" s="220" customFormat="1" ht="13.5" customHeight="1">
      <c r="A46" s="888" t="s">
        <v>791</v>
      </c>
      <c r="B46" s="254" t="s">
        <v>2175</v>
      </c>
      <c r="C46" s="255">
        <f ca="1">ROUND((C33+C39)*F27,0)</f>
        <v>6675</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5.33E-2</v>
      </c>
      <c r="D48" s="242" t="s">
        <v>2165</v>
      </c>
      <c r="E48" s="238"/>
      <c r="F48" s="2505">
        <f>F30</f>
        <v>5.6000000000000001E-2</v>
      </c>
      <c r="G48" s="240" t="s">
        <v>2178</v>
      </c>
    </row>
    <row r="49" spans="1:7" ht="16.5" customHeight="1">
      <c r="A49" s="261" t="s">
        <v>2144</v>
      </c>
      <c r="B49" s="216" t="s">
        <v>2218</v>
      </c>
      <c r="C49" s="238">
        <f ca="1">ROUND((C33+C39+C41+C45)/(1-C40-D41-D45-C48),0)</f>
        <v>157784</v>
      </c>
      <c r="D49" s="238"/>
      <c r="E49" s="238"/>
      <c r="F49" s="270"/>
      <c r="G49" s="240" t="s">
        <v>2180</v>
      </c>
    </row>
    <row r="50" spans="1:7" s="264" customFormat="1">
      <c r="A50" s="261" t="s">
        <v>2181</v>
      </c>
      <c r="B50" s="216" t="s">
        <v>2182</v>
      </c>
      <c r="C50" s="238"/>
      <c r="D50" s="238"/>
      <c r="E50" s="238"/>
      <c r="F50" s="270">
        <f>IF('数据-取费表'!B24=0,'数据-取费表'!N16,1)</f>
        <v>0.73</v>
      </c>
      <c r="G50" s="253"/>
    </row>
    <row r="51" spans="1:7" ht="16.5" customHeight="1">
      <c r="A51" s="261" t="s">
        <v>2184</v>
      </c>
      <c r="B51" s="216" t="s">
        <v>2219</v>
      </c>
      <c r="C51" s="238">
        <f ca="1">ROUND(C49*F50,0)</f>
        <v>115182</v>
      </c>
      <c r="D51" s="238"/>
      <c r="E51" s="238"/>
      <c r="F51" s="270"/>
      <c r="G51" s="240" t="s">
        <v>2186</v>
      </c>
    </row>
    <row r="52" spans="1:7" s="214" customFormat="1" ht="16.5" thickBot="1">
      <c r="A52" s="271" t="s">
        <v>2187</v>
      </c>
      <c r="B52" s="272"/>
      <c r="C52" s="273">
        <f ca="1">C31+C51</f>
        <v>327313</v>
      </c>
      <c r="D52" s="272"/>
      <c r="E52" s="272"/>
      <c r="F52" s="272"/>
      <c r="G52" s="274"/>
    </row>
    <row r="55" spans="1:7" ht="15">
      <c r="B55" s="276" t="s">
        <v>2188</v>
      </c>
      <c r="C55" s="277"/>
    </row>
    <row r="56" spans="1:7">
      <c r="B56" s="279" t="s">
        <v>1418</v>
      </c>
      <c r="C56" s="281">
        <f ca="1">1-C57</f>
        <v>0.64800000000000002</v>
      </c>
    </row>
    <row r="57" spans="1:7">
      <c r="B57" s="279" t="s">
        <v>1419</v>
      </c>
      <c r="C57" s="280">
        <f ca="1">ROUND(C51/C52,3)</f>
        <v>0.35199999999999998</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8</v>
      </c>
    </row>
    <row r="2" spans="1:33" ht="18" customHeight="1">
      <c r="A2" s="207" t="s">
        <v>2088</v>
      </c>
      <c r="B2" s="210">
        <f ca="1">C32</f>
        <v>6393</v>
      </c>
      <c r="C2" s="282" t="s">
        <v>2221</v>
      </c>
      <c r="D2" s="282"/>
      <c r="E2" s="3006"/>
      <c r="F2" s="3006"/>
      <c r="G2" s="3006"/>
      <c r="H2" s="3006"/>
      <c r="I2" s="3006"/>
      <c r="J2" s="3006"/>
      <c r="K2" s="3006"/>
    </row>
    <row r="3" spans="1:33" ht="18" customHeight="1" thickBot="1">
      <c r="A3" s="209" t="s">
        <v>2090</v>
      </c>
      <c r="B3" s="210">
        <f ca="1">ROUND(B2*10000/IF(C1="",'数据-汇总表'!E3,INDIRECT("'数据-取费表'!K"&amp;$K$1)),0)</f>
        <v>1985</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32206.89000000029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32206.89000000029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-6142</v>
      </c>
      <c r="D18" s="955"/>
      <c r="E18" s="24"/>
      <c r="F18" s="913"/>
      <c r="G18" s="2017"/>
      <c r="H18" s="1321"/>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644</v>
      </c>
      <c r="D20" s="955">
        <f ca="1">IF(C1="",'数据-汇总表'!E6,IF(INDIRECT("'数据-取费表'!c"&amp;$K$1)="住宅",INDIRECT("'数据-取费表'!s"&amp;$K$1),INDIRECT("'数据-取费表'!k"&amp;$K$1)+INDIRECT("'数据-取费表'!s"&amp;$K$1)))</f>
        <v>32206.89000000029</v>
      </c>
      <c r="E20" s="24">
        <f>'数据-取费表'!B28</f>
        <v>200</v>
      </c>
      <c r="F20" s="913"/>
      <c r="G20" s="15"/>
      <c r="H20" s="918"/>
      <c r="I20" s="918"/>
      <c r="J20" s="918"/>
      <c r="K20" s="919"/>
    </row>
    <row r="21" spans="1:33" s="912" customFormat="1" ht="13.5" customHeight="1">
      <c r="A21" s="898" t="s">
        <v>802</v>
      </c>
      <c r="B21" s="922" t="s">
        <v>2257</v>
      </c>
      <c r="C21" s="923">
        <f ca="1">C16+C17+C18</f>
        <v>-6142</v>
      </c>
      <c r="D21" s="924"/>
      <c r="E21" s="287"/>
      <c r="F21" s="287"/>
      <c r="G21" s="136" t="s">
        <v>2258</v>
      </c>
      <c r="H21" s="916"/>
      <c r="I21" s="916"/>
      <c r="J21" s="916"/>
      <c r="K21" s="917"/>
    </row>
    <row r="22" spans="1:33" s="912" customFormat="1" ht="13.5" customHeight="1">
      <c r="A22" s="898" t="s">
        <v>2230</v>
      </c>
      <c r="B22" s="922" t="s">
        <v>2259</v>
      </c>
      <c r="C22" s="923">
        <f ca="1">ROUND(C21*F22,0)</f>
        <v>-123</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4.2999999999999997E-2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-313</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-313</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6393</v>
      </c>
      <c r="D32" s="938"/>
      <c r="E32" s="938"/>
      <c r="F32" s="938"/>
      <c r="G32" s="940" t="s">
        <v>2279</v>
      </c>
      <c r="H32" s="938"/>
      <c r="I32" s="938"/>
      <c r="J32" s="938"/>
      <c r="K32" s="94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4"/>
      <c r="H2" s="2893"/>
      <c r="I2" s="2893"/>
      <c r="J2" s="2893"/>
      <c r="K2" s="2894"/>
      <c r="L2" s="2893"/>
      <c r="M2" s="2893"/>
    </row>
    <row r="3" spans="1:37" ht="18" customHeight="1" thickBot="1">
      <c r="A3" s="1544" t="s">
        <v>1422</v>
      </c>
      <c r="B3" s="1545">
        <f ca="1">IF(ISERROR(B2*10000/F43),0,ROUND(B2*10000/F43,0))</f>
        <v>0</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497" t="s">
        <v>1308</v>
      </c>
      <c r="C6" s="1206">
        <f ca="1">ROUND(F6*F8*F7*(1-F9)/10000,0)</f>
        <v>0</v>
      </c>
      <c r="D6" s="160" t="s">
        <v>2787</v>
      </c>
      <c r="E6" s="308" t="s">
        <v>1310</v>
      </c>
      <c r="F6" s="309">
        <f ca="1">INDIRECT("'数据-取费表'!u"&amp;$G$1)</f>
        <v>0</v>
      </c>
      <c r="G6" s="1538"/>
      <c r="H6" s="1201" t="s">
        <v>1003</v>
      </c>
      <c r="I6" s="3497" t="s">
        <v>1308</v>
      </c>
      <c r="J6" s="307">
        <f ca="1">ROUND(M6*M8*M7*(1-M9)/10000,0)</f>
        <v>0</v>
      </c>
      <c r="K6" s="160" t="s">
        <v>2786</v>
      </c>
      <c r="L6" s="308" t="s">
        <v>1310</v>
      </c>
      <c r="M6" s="309">
        <f ca="1">INDIRECT("'数据-取费表'!z"&amp;$G$1)</f>
        <v>0</v>
      </c>
    </row>
    <row r="7" spans="1:37" ht="18" customHeight="1">
      <c r="A7" s="1205"/>
      <c r="B7" s="3498"/>
      <c r="C7" s="1207"/>
      <c r="D7" s="313"/>
      <c r="E7" s="1208" t="s">
        <v>1311</v>
      </c>
      <c r="F7" s="309">
        <f ca="1">IF(INDIRECT("'数据-取费表'!ah"&amp;$G$1)="",INDIRECT("'数据-取费表'!k"&amp;$G$1),INDIRECT("'数据-取费表'!ah"&amp;$G$1))</f>
        <v>0</v>
      </c>
      <c r="G7" s="1538"/>
      <c r="H7" s="310"/>
      <c r="I7" s="3498"/>
      <c r="J7" s="312"/>
      <c r="K7" s="313"/>
      <c r="L7" s="308" t="s">
        <v>1311</v>
      </c>
      <c r="M7" s="309">
        <f ca="1">F7</f>
        <v>0</v>
      </c>
    </row>
    <row r="8" spans="1:37" ht="18" customHeight="1">
      <c r="A8" s="310"/>
      <c r="B8" s="3498"/>
      <c r="C8" s="312"/>
      <c r="D8" s="313"/>
      <c r="E8" s="308" t="s">
        <v>1312</v>
      </c>
      <c r="F8" s="309">
        <f ca="1">INDIRECT("'数据-取费表'!ai"&amp;$G$1)</f>
        <v>0</v>
      </c>
      <c r="G8" s="1538"/>
      <c r="H8" s="310"/>
      <c r="I8" s="3498"/>
      <c r="J8" s="312"/>
      <c r="K8" s="313"/>
      <c r="L8" s="308" t="s">
        <v>1312</v>
      </c>
      <c r="M8" s="309">
        <f ca="1">INDIRECT("'数据-取费表'!ai"&amp;$G$1)</f>
        <v>0</v>
      </c>
    </row>
    <row r="9" spans="1:37" ht="18" customHeight="1">
      <c r="A9" s="310"/>
      <c r="B9" s="3499"/>
      <c r="C9" s="312"/>
      <c r="D9" s="313"/>
      <c r="E9" s="308" t="s">
        <v>1313</v>
      </c>
      <c r="F9" s="318">
        <f ca="1">INDIRECT("'数据-取费表'!w"&amp;$G$1)</f>
        <v>0</v>
      </c>
      <c r="G9" s="1538"/>
      <c r="H9" s="310"/>
      <c r="I9" s="349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f ca="1">IF(项目基本情况!B11="自然人","——",ROUND(F34*F35/10000,2))</f>
        <v>0</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ROUND(C13*F37,1)</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2788</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2794</v>
      </c>
      <c r="E53" s="319" t="s">
        <v>1315</v>
      </c>
      <c r="F53" s="1248"/>
      <c r="I53" s="1593" t="s">
        <v>1452</v>
      </c>
      <c r="J53" s="2355">
        <f ca="1">IF(M47="住宅",IF(D1="——",MAX(J51,L48),MAX(J51,L48-'数据-取费表'!B24)),IF(D1="——",MIN(J51,L48),MIN(J51,L48-'数据-取费表'!B24)))</f>
        <v>0</v>
      </c>
      <c r="K53" s="3495" t="s">
        <v>1453</v>
      </c>
      <c r="L53" s="3496"/>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3</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39" sqref="A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3165</v>
      </c>
      <c r="D1" s="1516" t="s">
        <v>70</v>
      </c>
      <c r="E1" s="1517" t="s">
        <v>1292</v>
      </c>
      <c r="F1" s="1193">
        <f ca="1">J53</f>
        <v>32.270000000000003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7</v>
      </c>
      <c r="C2" s="1541" t="s">
        <v>1496</v>
      </c>
      <c r="D2" s="1625">
        <f ca="1">C40+J29+L46</f>
        <v>68540</v>
      </c>
      <c r="E2" s="1542" t="s">
        <v>1497</v>
      </c>
      <c r="F2" s="1543"/>
      <c r="G2" s="2904"/>
      <c r="H2" s="2893"/>
      <c r="I2" s="2893"/>
      <c r="J2" s="2893"/>
      <c r="K2" s="2894"/>
      <c r="L2" s="2893"/>
      <c r="M2" s="2893"/>
    </row>
    <row r="3" spans="1:37" ht="18" customHeight="1" thickBot="1">
      <c r="A3" s="1544" t="s">
        <v>1498</v>
      </c>
      <c r="B3" s="1545">
        <f ca="1">IF(ISERROR(D2/F43),0,ROUND(D2/F43,0))</f>
        <v>2020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2544</v>
      </c>
      <c r="D5" s="1518" t="s">
        <v>1506</v>
      </c>
      <c r="E5" s="1203"/>
      <c r="F5" s="1204"/>
      <c r="G5" s="1538"/>
      <c r="H5" s="305">
        <v>1</v>
      </c>
      <c r="I5" s="306" t="s">
        <v>1505</v>
      </c>
      <c r="J5" s="1202">
        <f ca="1">J6+J10+J12</f>
        <v>5760</v>
      </c>
      <c r="K5" s="1518" t="s">
        <v>1506</v>
      </c>
      <c r="L5" s="1203"/>
      <c r="M5" s="1204"/>
    </row>
    <row r="6" spans="1:37" ht="18" customHeight="1">
      <c r="A6" s="1201" t="s">
        <v>1003</v>
      </c>
      <c r="B6" s="3497" t="s">
        <v>1308</v>
      </c>
      <c r="C6" s="1206">
        <f ca="1">ROUND(F6*F8*F7*(1-F9),0)</f>
        <v>2544</v>
      </c>
      <c r="D6" s="160" t="s">
        <v>2784</v>
      </c>
      <c r="E6" s="308" t="s">
        <v>1310</v>
      </c>
      <c r="F6" s="309">
        <f ca="1">INDIRECT("'数据-取费表'!u"&amp;$G$1)</f>
        <v>212</v>
      </c>
      <c r="G6" s="1538"/>
      <c r="H6" s="1201" t="s">
        <v>1003</v>
      </c>
      <c r="I6" s="3497" t="s">
        <v>1308</v>
      </c>
      <c r="J6" s="307">
        <f ca="1">ROUND(M6*M8*M7*(1-M9),0)</f>
        <v>5760</v>
      </c>
      <c r="K6" s="1530" t="s">
        <v>2785</v>
      </c>
      <c r="L6" s="308" t="s">
        <v>1310</v>
      </c>
      <c r="M6" s="309">
        <f ca="1">INDIRECT("'数据-取费表'!z"&amp;$G$1)</f>
        <v>600</v>
      </c>
    </row>
    <row r="7" spans="1:37" ht="18" customHeight="1">
      <c r="A7" s="1205"/>
      <c r="B7" s="3498"/>
      <c r="C7" s="1207"/>
      <c r="D7" s="313"/>
      <c r="E7" s="1208" t="s">
        <v>1311</v>
      </c>
      <c r="F7" s="309">
        <f ca="1">IF(INDIRECT("'数据-取费表'!ah"&amp;$G$1)="",INDIRECT("'数据-取费表'!k"&amp;$G$1),INDIRECT("'数据-取费表'!ah"&amp;$G$1))</f>
        <v>1</v>
      </c>
      <c r="G7" s="1538"/>
      <c r="H7" s="310"/>
      <c r="I7" s="3498"/>
      <c r="J7" s="312"/>
      <c r="K7" s="313"/>
      <c r="L7" s="308" t="s">
        <v>1311</v>
      </c>
      <c r="M7" s="309">
        <f ca="1">F7</f>
        <v>1</v>
      </c>
    </row>
    <row r="8" spans="1:37" ht="18" customHeight="1">
      <c r="A8" s="310"/>
      <c r="B8" s="3498"/>
      <c r="C8" s="312"/>
      <c r="D8" s="313"/>
      <c r="E8" s="308" t="s">
        <v>1312</v>
      </c>
      <c r="F8" s="309">
        <f ca="1">INDIRECT("'数据-取费表'!ai"&amp;$G$1)</f>
        <v>12</v>
      </c>
      <c r="G8" s="1538"/>
      <c r="H8" s="310"/>
      <c r="I8" s="3498"/>
      <c r="J8" s="312"/>
      <c r="K8" s="313"/>
      <c r="L8" s="308" t="s">
        <v>1312</v>
      </c>
      <c r="M8" s="309">
        <f ca="1">INDIRECT("'数据-取费表'!ai"&amp;$G$1)</f>
        <v>12</v>
      </c>
    </row>
    <row r="9" spans="1:37" ht="18" customHeight="1">
      <c r="A9" s="310"/>
      <c r="B9" s="3499"/>
      <c r="C9" s="312"/>
      <c r="D9" s="313"/>
      <c r="E9" s="308" t="s">
        <v>1313</v>
      </c>
      <c r="F9" s="318">
        <f ca="1">INDIRECT("'数据-取费表'!w"&amp;$G$1)</f>
        <v>0</v>
      </c>
      <c r="G9" s="1538"/>
      <c r="H9" s="310"/>
      <c r="I9" s="3499"/>
      <c r="J9" s="312"/>
      <c r="K9" s="313"/>
      <c r="L9" s="319" t="s">
        <v>1313</v>
      </c>
      <c r="M9" s="320">
        <f ca="1">INDIRECT("'数据-取费表'!ab"&amp;$G$1)</f>
        <v>0.2</v>
      </c>
    </row>
    <row r="10" spans="1:37" ht="18" customHeight="1">
      <c r="A10" s="1201" t="s">
        <v>1007</v>
      </c>
      <c r="B10" s="1519" t="s">
        <v>1314</v>
      </c>
      <c r="C10" s="322">
        <f ca="1">ROUND(IF(F10="押一",C6/12*F11,IF(F10="押二",C6/12*2*F11,IF(F10="押三",C6/12*3*F11,C11*F11))),0)</f>
        <v>0</v>
      </c>
      <c r="D10" s="1520" t="s">
        <v>2794</v>
      </c>
      <c r="E10" s="319" t="s">
        <v>1315</v>
      </c>
      <c r="F10" s="1248" t="s">
        <v>3211</v>
      </c>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115182</v>
      </c>
      <c r="D13" s="1213" t="s">
        <v>1320</v>
      </c>
      <c r="E13" s="1213" t="s">
        <v>1321</v>
      </c>
      <c r="F13" s="1214">
        <f ca="1">INDIRECT("'数据-取费表'!y"&amp;$G$1)</f>
        <v>0.73</v>
      </c>
      <c r="G13" s="1538"/>
      <c r="H13" s="1211">
        <v>2</v>
      </c>
      <c r="I13" s="1212" t="s">
        <v>1319</v>
      </c>
      <c r="J13" s="1200">
        <f ca="1">ROUND(J14*J15,0)</f>
        <v>107293</v>
      </c>
      <c r="K13" s="1219" t="s">
        <v>1320</v>
      </c>
      <c r="L13" s="1546"/>
      <c r="M13" s="1547"/>
    </row>
    <row r="14" spans="1:37" ht="18" customHeight="1">
      <c r="A14" s="1113" t="s">
        <v>1002</v>
      </c>
      <c r="B14" s="308" t="s">
        <v>1322</v>
      </c>
      <c r="C14" s="324">
        <f ca="1">ROUND(INDIRECT("'数据-取费表'!l"&amp;$G$1)*F43+'数据-取费表'!L14*INDIRECT("'数据-取费表'!S"&amp;$G$1),0)</f>
        <v>118755</v>
      </c>
      <c r="D14" s="1499" t="s">
        <v>1323</v>
      </c>
      <c r="E14" s="1496"/>
      <c r="F14" s="325"/>
      <c r="G14" s="1538"/>
      <c r="H14" s="1113" t="s">
        <v>1003</v>
      </c>
      <c r="I14" s="308" t="s">
        <v>1324</v>
      </c>
      <c r="J14" s="24">
        <f ca="1">C29</f>
        <v>157784</v>
      </c>
      <c r="K14" s="15"/>
      <c r="L14" s="916"/>
      <c r="M14" s="917"/>
    </row>
    <row r="15" spans="1:37" s="1551" customFormat="1" ht="18" customHeight="1" thickBot="1">
      <c r="A15" s="1113" t="s">
        <v>1004</v>
      </c>
      <c r="B15" s="308" t="s">
        <v>1325</v>
      </c>
      <c r="C15" s="24">
        <f ca="1">ROUND(C14*F15,0)</f>
        <v>3563</v>
      </c>
      <c r="D15" s="326" t="s">
        <v>1326</v>
      </c>
      <c r="E15" s="326" t="s">
        <v>1327</v>
      </c>
      <c r="F15" s="327">
        <f>'数据-取费表'!B33</f>
        <v>0.03</v>
      </c>
      <c r="G15" s="1550"/>
      <c r="H15" s="1221" t="s">
        <v>1007</v>
      </c>
      <c r="I15" s="1222" t="s">
        <v>1321</v>
      </c>
      <c r="J15" s="1231">
        <f ca="1">INDIRECT("'数据-取费表'!ad"&amp;$G$1)</f>
        <v>0.68</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1944</v>
      </c>
      <c r="K16" s="1219" t="s">
        <v>1330</v>
      </c>
      <c r="L16" s="1220"/>
      <c r="M16" s="1204"/>
    </row>
    <row r="17" spans="1:37" s="1551" customFormat="1" ht="18" customHeight="1">
      <c r="A17" s="1113" t="s">
        <v>1295</v>
      </c>
      <c r="B17" s="308" t="s">
        <v>1331</v>
      </c>
      <c r="C17" s="24">
        <f ca="1">ROUND(F17*(F43+INDIRECT("'数据-取费表'!S"&amp;$G$1)),0)</f>
        <v>6786</v>
      </c>
      <c r="D17" s="308" t="s">
        <v>1332</v>
      </c>
      <c r="E17" s="308" t="s">
        <v>1333</v>
      </c>
      <c r="F17" s="26">
        <f>'数据-取费表'!B35</f>
        <v>200</v>
      </c>
      <c r="G17" s="1550"/>
      <c r="H17" s="1113" t="s">
        <v>1003</v>
      </c>
      <c r="I17" s="308" t="s">
        <v>1334</v>
      </c>
      <c r="J17" s="2503">
        <f ca="1">ROUND(IF(AND(项目基本情况!B11="自然人",项目基本情况!B10="北京市"),J6*M17/(1+'数据-取费表'!C42),J18+J19+J20),0)</f>
        <v>990</v>
      </c>
      <c r="K17" s="1499" t="s">
        <v>1335</v>
      </c>
      <c r="L17" s="1498" t="s">
        <v>1336</v>
      </c>
      <c r="M17" s="2502"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1781</v>
      </c>
      <c r="D18" s="308" t="s">
        <v>1326</v>
      </c>
      <c r="E18" s="308" t="s">
        <v>1327</v>
      </c>
      <c r="F18" s="328">
        <f>'数据-取费表'!B36</f>
        <v>1.4999999999999999E-2</v>
      </c>
      <c r="G18" s="1550"/>
      <c r="H18" s="1113" t="s">
        <v>1002</v>
      </c>
      <c r="I18" s="308" t="s">
        <v>1338</v>
      </c>
      <c r="J18" s="24">
        <f ca="1">ROUND(J6*M18/(1+'数据-取费表'!C42),0)</f>
        <v>307</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130885</v>
      </c>
      <c r="D19" s="136" t="s">
        <v>1341</v>
      </c>
      <c r="E19" s="1514"/>
      <c r="F19" s="26"/>
      <c r="G19" s="1538"/>
      <c r="H19" s="1113" t="s">
        <v>1004</v>
      </c>
      <c r="I19" s="308" t="s">
        <v>1342</v>
      </c>
      <c r="J19" s="24">
        <f ca="1">IF(K19="按租金收入计税",ROUND(J6*M19/(1+'数据-取费表'!C42),0),ROUND(C29*M19*0.7,0))</f>
        <v>658</v>
      </c>
      <c r="K19" s="1524" t="s">
        <v>3212</v>
      </c>
      <c r="L19" s="308" t="s">
        <v>1327</v>
      </c>
      <c r="M19" s="328">
        <f>IF(K19="按租金收入计税",'数据-取费表'!B51,'数据-取费表'!B50)</f>
        <v>0.12</v>
      </c>
    </row>
    <row r="20" spans="1:37" s="1551" customFormat="1" ht="18" customHeight="1">
      <c r="A20" s="1113" t="s">
        <v>1007</v>
      </c>
      <c r="B20" s="308" t="s">
        <v>1344</v>
      </c>
      <c r="C20" s="24">
        <f ca="1">ROUND(C19*F20,0)</f>
        <v>2618</v>
      </c>
      <c r="D20" s="329" t="s">
        <v>1345</v>
      </c>
      <c r="E20" s="308" t="s">
        <v>1327</v>
      </c>
      <c r="F20" s="328">
        <f>'数据-取费表'!B37</f>
        <v>0.02</v>
      </c>
      <c r="G20" s="1550"/>
      <c r="H20" s="1113" t="s">
        <v>1294</v>
      </c>
      <c r="I20" s="160" t="s">
        <v>1346</v>
      </c>
      <c r="J20" s="25">
        <f ca="1">ROUND(M20*M21,0)</f>
        <v>25</v>
      </c>
      <c r="K20" s="330" t="s">
        <v>1347</v>
      </c>
      <c r="L20" s="308" t="s">
        <v>1348</v>
      </c>
      <c r="M20" s="331">
        <f>'数据-取费表'!B52</f>
        <v>3</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8.27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789</v>
      </c>
      <c r="K22" s="1498" t="s">
        <v>1355</v>
      </c>
      <c r="L22" s="308" t="s">
        <v>1327</v>
      </c>
      <c r="M22" s="334">
        <f ca="1">INDIRECT("'数据-取费表'!Ak"&amp;$G$1)</f>
        <v>5.0000000000000001E-3</v>
      </c>
    </row>
    <row r="23" spans="1:37" s="1551" customFormat="1" ht="18" customHeight="1">
      <c r="A23" s="1113" t="s">
        <v>1002</v>
      </c>
      <c r="B23" s="308" t="s">
        <v>1356</v>
      </c>
      <c r="C23" s="24">
        <f ca="1">IF('数据-取费表'!B22&lt;=1,ROUND(C19*F24*F23/2,0)+ROUND(C20*F24*F23/2,0),ROUND(C19*(POWER((1+F24),F23/2)-1),0)+ROUND(C20*(POWER((1+F24),F23/2)-1),0))</f>
        <v>5741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107</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4.2999999999999997E-2</v>
      </c>
      <c r="G24" s="1550"/>
      <c r="H24" s="1221" t="s">
        <v>1298</v>
      </c>
      <c r="I24" s="1222" t="s">
        <v>1344</v>
      </c>
      <c r="J24" s="1223">
        <f ca="1">ROUND(J5*M24,0)</f>
        <v>58</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3816</v>
      </c>
      <c r="K25" s="1227" t="s">
        <v>1369</v>
      </c>
      <c r="L25" s="1228"/>
      <c r="M25" s="1229"/>
    </row>
    <row r="26" spans="1:37" ht="18" customHeight="1">
      <c r="A26" s="1113" t="s">
        <v>1002</v>
      </c>
      <c r="B26" s="308" t="s">
        <v>1370</v>
      </c>
      <c r="C26" s="24">
        <f ca="1">ROUND((C19+C20)*F26,0)</f>
        <v>6675</v>
      </c>
      <c r="D26" s="329" t="s">
        <v>1371</v>
      </c>
      <c r="E26" s="319" t="s">
        <v>1372</v>
      </c>
      <c r="F26" s="318">
        <f ca="1">INDIRECT("'数据-取费表'!q"&amp;$G$1)</f>
        <v>0.05</v>
      </c>
      <c r="G26" s="1538"/>
      <c r="H26" s="305" t="s">
        <v>1000</v>
      </c>
      <c r="I26" s="306" t="s">
        <v>1373</v>
      </c>
      <c r="J26" s="307">
        <f ca="1">IF(J5&lt;&gt;0,ROUND(J25*(1-((1+M28)/(1+M26))^M27)/(M26-M28),0),0)</f>
        <v>72749</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29.270000000000003</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157784</v>
      </c>
      <c r="D29" s="1224"/>
      <c r="E29" s="1222"/>
      <c r="F29" s="1225"/>
      <c r="G29" s="1550"/>
      <c r="H29" s="340" t="s">
        <v>1001</v>
      </c>
      <c r="I29" s="341" t="s">
        <v>1384</v>
      </c>
      <c r="J29" s="342">
        <f ca="1">ROUND(J26/(1+F40)^F41,0)</f>
        <v>62843</v>
      </c>
      <c r="K29" s="343" t="s">
        <v>1385</v>
      </c>
      <c r="L29" s="344"/>
      <c r="M29" s="345">
        <f ca="1">INDIRECT("'数据-取费表'!k"&amp;$G$1)</f>
        <v>33.93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452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452</v>
      </c>
      <c r="D31" s="1499" t="s">
        <v>1335</v>
      </c>
      <c r="E31" s="1498" t="s">
        <v>1386</v>
      </c>
      <c r="F31" s="2502" t="str">
        <f>IF(项目基本情况!B11="企业","——",IF('数据-取费表'!B10="住宅",IF(F6*F7*F8/12/(1+'数据-取费表'!F30)&gt;100000,4%,2.5%),IF(F6*F7*F8/12/(1+'数据-取费表'!F30)&gt;100000,12%,7%)))</f>
        <v>——</v>
      </c>
      <c r="G31" s="1538"/>
      <c r="H31" s="3008" t="s">
        <v>2994</v>
      </c>
      <c r="I31" s="1552"/>
      <c r="J31" s="1553"/>
      <c r="K31" s="2670"/>
      <c r="L31" s="2896"/>
      <c r="M31" s="2897"/>
    </row>
    <row r="32" spans="1:37" ht="18" customHeight="1">
      <c r="A32" s="1113" t="s">
        <v>1002</v>
      </c>
      <c r="B32" s="308" t="s">
        <v>1338</v>
      </c>
      <c r="C32" s="24">
        <f ca="1">IF(项目基本情况!B11="自然人","——",ROUND(C6*F32/(1+'数据-取费表'!C42),0))</f>
        <v>136</v>
      </c>
      <c r="D32" s="1498" t="s">
        <v>1339</v>
      </c>
      <c r="E32" s="308" t="s">
        <v>1327</v>
      </c>
      <c r="F32" s="337">
        <f>'数据-取费表'!B41</f>
        <v>5.6000000000000001E-2</v>
      </c>
      <c r="G32" s="1538"/>
      <c r="H32" s="2895"/>
      <c r="I32" s="1552"/>
      <c r="J32" s="1553"/>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291</v>
      </c>
      <c r="D33" s="1524" t="s">
        <v>3212</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f ca="1">IF(项目基本情况!B11="自然人","——",ROUND(F34*F35,))</f>
        <v>25</v>
      </c>
      <c r="D34" s="330" t="s">
        <v>1347</v>
      </c>
      <c r="E34" s="308" t="s">
        <v>1348</v>
      </c>
      <c r="F34" s="331">
        <f>'数据-取费表'!B52</f>
        <v>3</v>
      </c>
      <c r="G34" s="1538"/>
      <c r="H34" s="2895"/>
      <c r="I34" s="1552"/>
      <c r="J34" s="1553"/>
      <c r="K34" s="2900"/>
      <c r="L34" s="2901"/>
      <c r="M34" s="2901"/>
    </row>
    <row r="35" spans="1:18" ht="18" customHeight="1">
      <c r="A35" s="1235"/>
      <c r="B35" s="1233"/>
      <c r="C35" s="29"/>
      <c r="D35" s="333"/>
      <c r="E35" s="308" t="s">
        <v>1352</v>
      </c>
      <c r="F35" s="309">
        <f ca="1">INDIRECT("'数据-取费表'!r"&amp;$G$1)</f>
        <v>8.27</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v>0</v>
      </c>
      <c r="G38" s="1538"/>
      <c r="H38" s="2898"/>
      <c r="I38" s="1552"/>
      <c r="J38" s="1553"/>
      <c r="K38" s="2902"/>
      <c r="L38" s="2898"/>
      <c r="M38" s="2898"/>
    </row>
    <row r="39" spans="1:18" ht="24.6" customHeight="1" thickTop="1">
      <c r="A39" s="1211" t="s">
        <v>999</v>
      </c>
      <c r="B39" s="1226" t="s">
        <v>1388</v>
      </c>
      <c r="C39" s="316">
        <f ca="1">C5-C30</f>
        <v>2092</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5697</v>
      </c>
      <c r="D40" s="330" t="s">
        <v>1374</v>
      </c>
      <c r="E40" s="308" t="s">
        <v>1375</v>
      </c>
      <c r="F40" s="318">
        <f ca="1">INDIRECT("'数据-取费表'!I"&amp;$G$1)</f>
        <v>0.05</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3</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f ca="1">ROUND(C40/F43,0)</f>
        <v>168</v>
      </c>
      <c r="D43" s="343" t="s">
        <v>1393</v>
      </c>
      <c r="E43" s="344" t="s">
        <v>1394</v>
      </c>
      <c r="F43" s="345">
        <f ca="1">INDIRECT("'数据-取费表'!k"&amp;$G$1)</f>
        <v>33.93</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4875</v>
      </c>
      <c r="D45" s="1627" t="s">
        <v>1509</v>
      </c>
      <c r="E45" s="1554"/>
      <c r="F45" s="1554"/>
      <c r="O45" s="1557" t="s">
        <v>1424</v>
      </c>
      <c r="P45" s="1615"/>
      <c r="Q45" s="1615"/>
      <c r="R45" s="1615"/>
    </row>
    <row r="46" spans="1:18" s="1538" customFormat="1" ht="13.5" thickBot="1">
      <c r="A46" s="1558" t="s">
        <v>1425</v>
      </c>
      <c r="C46" s="1559">
        <f ca="1">ROUND(C45/10000,0)</f>
        <v>0</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3207</v>
      </c>
      <c r="K47" s="1570" t="s">
        <v>1432</v>
      </c>
      <c r="L47" s="1571">
        <f ca="1">INDIRECT("'数据-取费表'!d"&amp;$G$1)</f>
        <v>50</v>
      </c>
      <c r="M47" s="1534" t="str">
        <f>IF(ISNUMBER(FIND("住宅",C1)),"住宅","非住宅")</f>
        <v>非住宅</v>
      </c>
      <c r="O47" s="1572" t="s">
        <v>1008</v>
      </c>
      <c r="P47" s="1573" t="s">
        <v>1433</v>
      </c>
      <c r="Q47" s="1574">
        <f ca="1">C40+J29</f>
        <v>68540</v>
      </c>
      <c r="R47" s="1574" t="s">
        <v>1434</v>
      </c>
    </row>
    <row r="48" spans="1:18" s="1538" customFormat="1" ht="28.5" thickBot="1">
      <c r="A48" s="1242" t="s">
        <v>1044</v>
      </c>
      <c r="B48" s="306" t="s">
        <v>1306</v>
      </c>
      <c r="C48" s="1513">
        <f ca="1">C49+C53+C55</f>
        <v>5760</v>
      </c>
      <c r="D48" s="1244"/>
      <c r="E48" s="1245"/>
      <c r="F48" s="1093"/>
      <c r="G48" s="731"/>
      <c r="H48" s="732"/>
      <c r="I48" s="1575" t="s">
        <v>1435</v>
      </c>
      <c r="J48" s="1576" t="s">
        <v>3208</v>
      </c>
      <c r="K48" s="1577" t="s">
        <v>1436</v>
      </c>
      <c r="L48" s="1578">
        <f ca="1">INDIRECT("'数据-取费表'!f"&amp;$G$1)</f>
        <v>32.270000000000003</v>
      </c>
      <c r="O48" s="1572" t="s">
        <v>1009</v>
      </c>
      <c r="P48" s="1573" t="s">
        <v>1437</v>
      </c>
      <c r="Q48" s="1574" t="str">
        <f ca="1">J60</f>
        <v>0</v>
      </c>
      <c r="R48" s="1574" t="s">
        <v>1438</v>
      </c>
    </row>
    <row r="49" spans="1:18" s="1538" customFormat="1" ht="13.5" thickBot="1">
      <c r="A49" s="1106" t="s">
        <v>1045</v>
      </c>
      <c r="B49" s="1525" t="s">
        <v>1395</v>
      </c>
      <c r="C49" s="1246">
        <f ca="1">ROUND(F49*F51*F50*(1-F52),0)</f>
        <v>5760</v>
      </c>
      <c r="D49" s="1186" t="s">
        <v>1309</v>
      </c>
      <c r="E49" s="1526" t="s">
        <v>1396</v>
      </c>
      <c r="F49" s="1191">
        <v>600</v>
      </c>
      <c r="G49" s="1579"/>
      <c r="H49" s="732"/>
      <c r="I49" s="1575" t="s">
        <v>1439</v>
      </c>
      <c r="J49" s="1580">
        <v>2006</v>
      </c>
      <c r="K49" s="1577" t="s">
        <v>1440</v>
      </c>
      <c r="L49" s="1581"/>
      <c r="O49" s="1582" t="s">
        <v>1010</v>
      </c>
      <c r="P49" s="1573" t="s">
        <v>1441</v>
      </c>
      <c r="Q49" s="1574">
        <f ca="1">C29</f>
        <v>157784</v>
      </c>
      <c r="R49" s="1574" t="s">
        <v>1434</v>
      </c>
    </row>
    <row r="50" spans="1:18" s="1538" customFormat="1" ht="13.5" thickBot="1">
      <c r="A50" s="1107"/>
      <c r="B50" s="1110"/>
      <c r="C50" s="1111"/>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44</v>
      </c>
      <c r="K51" s="1588" t="s">
        <v>1446</v>
      </c>
      <c r="L51" s="1589">
        <f ca="1">ROUND(-PV(INDIRECT("'数据-取费表'!h"&amp;$G$1),J51,(C39-C13*C76),0),0)</f>
        <v>-102601</v>
      </c>
      <c r="M51" s="1590"/>
      <c r="O51" s="1582" t="s">
        <v>1012</v>
      </c>
      <c r="P51" s="1573" t="s">
        <v>1447</v>
      </c>
      <c r="Q51" s="1585">
        <f>J52</f>
        <v>7.0000000000000007E-2</v>
      </c>
      <c r="R51" s="1574"/>
    </row>
    <row r="52" spans="1:18" s="1538" customFormat="1" ht="13.5" thickBot="1">
      <c r="A52" s="1108"/>
      <c r="B52" s="1110"/>
      <c r="C52" s="1111"/>
      <c r="D52" s="1084"/>
      <c r="E52" s="1112" t="s">
        <v>1313</v>
      </c>
      <c r="F52" s="1185">
        <v>0.2</v>
      </c>
      <c r="I52" s="1591" t="s">
        <v>1448</v>
      </c>
      <c r="J52" s="1592">
        <v>7.0000000000000007E-2</v>
      </c>
      <c r="K52" s="1591" t="s">
        <v>1449</v>
      </c>
      <c r="L52" s="1592"/>
      <c r="O52" s="1582" t="s">
        <v>1013</v>
      </c>
      <c r="P52" s="1573" t="s">
        <v>1450</v>
      </c>
      <c r="Q52" s="1574">
        <f ca="1">J53</f>
        <v>32.270000000000003</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32.270000000000003</v>
      </c>
      <c r="K53" s="3495" t="s">
        <v>1453</v>
      </c>
      <c r="L53" s="3496"/>
      <c r="O53" s="1572" t="s">
        <v>1014</v>
      </c>
      <c r="P53" s="1573" t="s">
        <v>1454</v>
      </c>
      <c r="Q53" s="1574">
        <f ca="1">Q47+Q48</f>
        <v>68540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115182</v>
      </c>
      <c r="D56" s="1601"/>
      <c r="E56" s="1602"/>
      <c r="F56" s="1594"/>
      <c r="I56" s="1603" t="s">
        <v>1459</v>
      </c>
      <c r="J56" s="3244" t="s">
        <v>3222</v>
      </c>
      <c r="K56" s="1575" t="s">
        <v>1460</v>
      </c>
      <c r="L56" s="1578" t="str">
        <f ca="1">IF(L48&lt;J51,"——",L48-J51)</f>
        <v>——</v>
      </c>
      <c r="O56" s="1572" t="s">
        <v>1008</v>
      </c>
      <c r="P56" s="1573" t="s">
        <v>1433</v>
      </c>
      <c r="Q56" s="1574">
        <f ca="1">C40+J29</f>
        <v>68540</v>
      </c>
      <c r="R56" s="1574" t="s">
        <v>1434</v>
      </c>
    </row>
    <row r="57" spans="1:18" s="1538" customFormat="1" ht="24.75" thickBot="1">
      <c r="A57" s="1605"/>
      <c r="B57" s="1081" t="s">
        <v>1383</v>
      </c>
      <c r="C57" s="244">
        <f ca="1">C29</f>
        <v>157784</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1952</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990</v>
      </c>
      <c r="D59" s="1094" t="s">
        <v>1335</v>
      </c>
      <c r="E59" s="1095" t="s">
        <v>1336</v>
      </c>
      <c r="F59" s="2502"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307</v>
      </c>
      <c r="D60" s="1095" t="s">
        <v>1339</v>
      </c>
      <c r="E60" s="1081" t="s">
        <v>1327</v>
      </c>
      <c r="F60" s="337">
        <f t="shared" ref="F60:F63"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658</v>
      </c>
      <c r="D61" s="1524" t="s">
        <v>3212</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25</v>
      </c>
      <c r="D62" s="1096" t="s">
        <v>1402</v>
      </c>
      <c r="E62" s="1081" t="s">
        <v>1403</v>
      </c>
      <c r="F62" s="331">
        <f t="shared" si="0"/>
        <v>3</v>
      </c>
      <c r="I62" s="1616" t="s">
        <v>1475</v>
      </c>
      <c r="J62" s="1617" t="s">
        <v>1476</v>
      </c>
      <c r="K62" s="1617" t="s">
        <v>1477</v>
      </c>
      <c r="L62" s="1617" t="s">
        <v>1478</v>
      </c>
      <c r="M62" s="1618" t="s">
        <v>1479</v>
      </c>
      <c r="O62" s="1572" t="s">
        <v>1014</v>
      </c>
      <c r="P62" s="1573" t="s">
        <v>1480</v>
      </c>
      <c r="Q62" s="1574">
        <f ca="1">Q56+Q57</f>
        <v>68540</v>
      </c>
      <c r="R62" s="1574" t="s">
        <v>1015</v>
      </c>
    </row>
    <row r="63" spans="1:18" s="1538" customFormat="1" ht="13.5" thickBot="1">
      <c r="A63" s="332"/>
      <c r="B63" s="1087"/>
      <c r="C63" s="29"/>
      <c r="D63" s="1097"/>
      <c r="E63" s="1081" t="s">
        <v>1404</v>
      </c>
      <c r="F63" s="309">
        <f t="shared" ca="1" si="0"/>
        <v>8.27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789</v>
      </c>
      <c r="D64" s="1095" t="s">
        <v>1407</v>
      </c>
      <c r="E64" s="1081" t="s">
        <v>1399</v>
      </c>
      <c r="F64" s="334">
        <f ca="1">M22</f>
        <v>5.0000000000000001E-3</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115</v>
      </c>
      <c r="D65" s="1095" t="s">
        <v>1359</v>
      </c>
      <c r="E65" s="1081" t="s">
        <v>1360</v>
      </c>
      <c r="F65" s="336">
        <f ca="1">M23</f>
        <v>1E-3</v>
      </c>
      <c r="I65" s="1616" t="s">
        <v>1484</v>
      </c>
      <c r="J65" s="1617">
        <v>40</v>
      </c>
      <c r="K65" s="1617">
        <v>30</v>
      </c>
      <c r="L65" s="1617">
        <v>50</v>
      </c>
      <c r="M65" s="1619">
        <v>0.02</v>
      </c>
      <c r="O65" s="1572" t="s">
        <v>1008</v>
      </c>
      <c r="P65" s="1573" t="s">
        <v>1485</v>
      </c>
      <c r="Q65" s="1574">
        <f ca="1">C40+J29</f>
        <v>68540</v>
      </c>
      <c r="R65" s="1574" t="s">
        <v>1434</v>
      </c>
    </row>
    <row r="66" spans="1:18" s="1538" customFormat="1" ht="16.5" thickBot="1">
      <c r="A66" s="1113" t="s">
        <v>1409</v>
      </c>
      <c r="B66" s="1081" t="s">
        <v>1344</v>
      </c>
      <c r="C66" s="24">
        <f ca="1">ROUND(C48*F66,0)</f>
        <v>58</v>
      </c>
      <c r="D66" s="1095" t="s">
        <v>1410</v>
      </c>
      <c r="E66" s="1081" t="s">
        <v>1327</v>
      </c>
      <c r="F66" s="318">
        <f ca="1">M24</f>
        <v>0.01</v>
      </c>
      <c r="O66" s="1572" t="s">
        <v>1009</v>
      </c>
      <c r="P66" s="1573" t="s">
        <v>1463</v>
      </c>
      <c r="Q66" s="1574">
        <f ca="1">L60</f>
        <v>0</v>
      </c>
      <c r="R66" s="1574" t="s">
        <v>1486</v>
      </c>
    </row>
    <row r="67" spans="1:18" s="1538" customFormat="1" ht="16.5" thickBot="1">
      <c r="A67" s="1088" t="s">
        <v>999</v>
      </c>
      <c r="B67" s="1098" t="s">
        <v>1368</v>
      </c>
      <c r="C67" s="322">
        <f ca="1">C48-C58</f>
        <v>3808</v>
      </c>
      <c r="D67" s="1094" t="s">
        <v>1369</v>
      </c>
      <c r="E67" s="1099"/>
      <c r="F67" s="1100"/>
      <c r="O67" s="1582" t="s">
        <v>1010</v>
      </c>
      <c r="P67" s="1573" t="s">
        <v>1467</v>
      </c>
      <c r="Q67" s="1620">
        <f ca="1">L51</f>
        <v>-102601</v>
      </c>
      <c r="R67" s="1574" t="s">
        <v>1487</v>
      </c>
    </row>
    <row r="68" spans="1:18" s="1538" customFormat="1" ht="16.5" thickBot="1">
      <c r="A68" s="1078" t="s">
        <v>1000</v>
      </c>
      <c r="B68" s="1079" t="s">
        <v>1390</v>
      </c>
      <c r="C68" s="307">
        <f ca="1">ROUND(C67*(1-((1+F70)/(1+F68))^F69)/(F68-F70),0)</f>
        <v>10572</v>
      </c>
      <c r="D68" s="1096" t="s">
        <v>1374</v>
      </c>
      <c r="E68" s="1081" t="s">
        <v>1375</v>
      </c>
      <c r="F68" s="318">
        <f ca="1">F40</f>
        <v>0.05</v>
      </c>
      <c r="O68" s="1582" t="s">
        <v>1011</v>
      </c>
      <c r="P68" s="1621" t="s">
        <v>1488</v>
      </c>
      <c r="Q68" s="1574">
        <f ca="1">ROUND(Q69-Q70*Q71,0)</f>
        <v>-5395</v>
      </c>
      <c r="R68" s="1574" t="s">
        <v>1019</v>
      </c>
    </row>
    <row r="69" spans="1:18" s="1538" customFormat="1" ht="13.5" thickBot="1">
      <c r="A69" s="1082"/>
      <c r="B69" s="1083"/>
      <c r="C69" s="312"/>
      <c r="D69" s="1101" t="s">
        <v>1378</v>
      </c>
      <c r="E69" s="1081" t="s">
        <v>1379</v>
      </c>
      <c r="F69" s="339">
        <f ca="1">F41</f>
        <v>3</v>
      </c>
      <c r="O69" s="1582" t="s">
        <v>1016</v>
      </c>
      <c r="P69" s="1621" t="s">
        <v>1489</v>
      </c>
      <c r="Q69" s="1574">
        <f ca="1">C39</f>
        <v>2092</v>
      </c>
      <c r="R69" s="1574" t="s">
        <v>1434</v>
      </c>
    </row>
    <row r="70" spans="1:18" s="1538" customFormat="1" ht="13.5" thickBot="1">
      <c r="A70" s="1085"/>
      <c r="B70" s="1086"/>
      <c r="C70" s="316"/>
      <c r="D70" s="1097"/>
      <c r="E70" s="1081" t="s">
        <v>1382</v>
      </c>
      <c r="F70" s="1185">
        <f ca="1">M28</f>
        <v>0.02</v>
      </c>
      <c r="O70" s="1582" t="s">
        <v>1017</v>
      </c>
      <c r="P70" s="1621" t="s">
        <v>1490</v>
      </c>
      <c r="Q70" s="1574">
        <f ca="1">C13</f>
        <v>115182</v>
      </c>
      <c r="R70" s="1574" t="s">
        <v>1434</v>
      </c>
    </row>
    <row r="71" spans="1:18" s="1538" customFormat="1" ht="13.5" thickBot="1">
      <c r="A71" s="1102" t="s">
        <v>1001</v>
      </c>
      <c r="B71" s="1103" t="s">
        <v>1392</v>
      </c>
      <c r="C71" s="342">
        <f ca="1">ROUND(C68/F71,0)</f>
        <v>312</v>
      </c>
      <c r="D71" s="1104" t="s">
        <v>1393</v>
      </c>
      <c r="E71" s="1105" t="s">
        <v>1394</v>
      </c>
      <c r="F71" s="345">
        <f ca="1">F43</f>
        <v>33.93</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7487</v>
      </c>
      <c r="D75" s="1538"/>
      <c r="E75" s="1538"/>
      <c r="F75" s="1538"/>
      <c r="K75" s="1556"/>
      <c r="L75" s="1538"/>
      <c r="O75" s="1572" t="s">
        <v>1014</v>
      </c>
      <c r="P75" s="1573" t="s">
        <v>1454</v>
      </c>
      <c r="Q75" s="1574">
        <f ca="1">Q65+Q66</f>
        <v>68540</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-2.5790000000000002</v>
      </c>
    </row>
    <row r="80" spans="1:18">
      <c r="B80" s="346" t="s">
        <v>1416</v>
      </c>
      <c r="C80" s="280">
        <f ca="1">ROUND(C75/C39,3)</f>
        <v>3.5790000000000002</v>
      </c>
    </row>
    <row r="81" spans="2:3">
      <c r="B81" s="276" t="s">
        <v>1417</v>
      </c>
      <c r="C81" s="244"/>
    </row>
    <row r="82" spans="2:3">
      <c r="B82" s="279" t="s">
        <v>1418</v>
      </c>
      <c r="C82" s="281">
        <f ca="1">1-C83</f>
        <v>-19.218</v>
      </c>
    </row>
    <row r="83" spans="2:3">
      <c r="B83" s="279" t="s">
        <v>1419</v>
      </c>
      <c r="C83" s="280">
        <f ca="1">ROUND(C13/C40,3)</f>
        <v>20.218</v>
      </c>
    </row>
  </sheetData>
  <sheetProtection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3122</v>
      </c>
      <c r="B1" s="3032"/>
      <c r="C1" s="3044"/>
      <c r="D1" s="3044"/>
      <c r="E1" s="3033"/>
      <c r="F1" s="3034"/>
      <c r="G1" s="3035"/>
      <c r="J1" s="3038" t="s">
        <v>3001</v>
      </c>
      <c r="K1" s="3039"/>
      <c r="L1" s="3039"/>
      <c r="M1" s="3039"/>
      <c r="N1" s="3039"/>
      <c r="O1" s="3039"/>
      <c r="P1" s="3039"/>
      <c r="Q1" s="3039"/>
      <c r="R1" s="3040"/>
      <c r="S1" s="3041"/>
      <c r="T1" s="3041"/>
      <c r="U1" s="3041"/>
    </row>
    <row r="2" spans="1:22" s="3053" customFormat="1" ht="13.15" customHeight="1">
      <c r="A2" s="1539" t="s">
        <v>3002</v>
      </c>
      <c r="B2" s="3043" t="e">
        <f>C40</f>
        <v>#DIV/0!</v>
      </c>
      <c r="C2" s="3044" t="s">
        <v>3003</v>
      </c>
      <c r="D2" s="3044"/>
      <c r="E2" s="3045"/>
      <c r="F2" s="3046"/>
      <c r="G2" s="3047"/>
      <c r="H2" s="3048"/>
      <c r="I2" s="3049"/>
      <c r="J2" s="3500" t="s">
        <v>3004</v>
      </c>
      <c r="K2" s="3501"/>
      <c r="L2" s="3050" t="s">
        <v>3005</v>
      </c>
      <c r="M2" s="3050" t="s">
        <v>3006</v>
      </c>
      <c r="N2" s="3050" t="s">
        <v>3007</v>
      </c>
      <c r="O2" s="3050" t="s">
        <v>3008</v>
      </c>
      <c r="P2" s="3050" t="s">
        <v>3009</v>
      </c>
      <c r="Q2" s="3051" t="s">
        <v>3010</v>
      </c>
      <c r="R2" s="3052" t="s">
        <v>3011</v>
      </c>
      <c r="S2" s="3041"/>
      <c r="T2" s="3041"/>
      <c r="U2" s="3041"/>
      <c r="V2" s="3049"/>
    </row>
    <row r="3" spans="1:22" s="3053" customFormat="1" ht="13.15" customHeight="1">
      <c r="A3" s="3054" t="s">
        <v>3012</v>
      </c>
      <c r="B3" s="3055" t="e">
        <f>ROUND(B2*10000/B4,0)</f>
        <v>#DIV/0!</v>
      </c>
      <c r="C3" s="3044" t="s">
        <v>3013</v>
      </c>
      <c r="D3" s="3044"/>
      <c r="E3" s="3045"/>
      <c r="F3" s="3046"/>
      <c r="G3" s="3047"/>
      <c r="H3" s="3048"/>
      <c r="I3" s="3049"/>
      <c r="J3" s="3502" t="s">
        <v>3014</v>
      </c>
      <c r="K3" s="3503"/>
      <c r="L3" s="3056"/>
      <c r="M3" s="3056"/>
      <c r="N3" s="3056"/>
      <c r="O3" s="3056"/>
      <c r="P3" s="3056"/>
      <c r="Q3" s="3057"/>
      <c r="R3" s="3058">
        <f>SUM(L3:Q3)</f>
        <v>0</v>
      </c>
      <c r="S3" s="3041"/>
      <c r="T3" s="3041"/>
      <c r="U3" s="3041"/>
      <c r="V3" s="3049"/>
    </row>
    <row r="4" spans="1:22" s="3053" customFormat="1" ht="13.15" customHeight="1">
      <c r="A4" s="3059" t="s">
        <v>3015</v>
      </c>
      <c r="B4" s="3060"/>
      <c r="C4" s="3044"/>
      <c r="D4" s="3044"/>
      <c r="E4" s="3045"/>
      <c r="F4" s="3046"/>
      <c r="G4" s="3047"/>
      <c r="H4" s="3048"/>
      <c r="I4" s="3049"/>
      <c r="J4" s="3502" t="s">
        <v>3016</v>
      </c>
      <c r="K4" s="3503"/>
      <c r="L4" s="3061"/>
      <c r="M4" s="3061"/>
      <c r="N4" s="3061"/>
      <c r="O4" s="3061"/>
      <c r="P4" s="3061"/>
      <c r="Q4" s="3062"/>
      <c r="R4" s="3063">
        <f>SUM(L4:Q4)</f>
        <v>0</v>
      </c>
      <c r="S4" s="3041"/>
      <c r="T4" s="3041"/>
      <c r="U4" s="3041"/>
      <c r="V4" s="3049"/>
    </row>
    <row r="5" spans="1:22" s="3053" customFormat="1" ht="13.15" customHeight="1" thickBot="1">
      <c r="A5" s="3064" t="s">
        <v>3017</v>
      </c>
      <c r="B5" s="3065"/>
      <c r="C5" s="3044"/>
      <c r="D5" s="3066"/>
      <c r="E5" s="3046"/>
      <c r="F5" s="3046"/>
      <c r="G5" s="3047"/>
      <c r="H5" s="3048"/>
      <c r="I5" s="3049"/>
      <c r="J5" s="3067" t="s">
        <v>3018</v>
      </c>
      <c r="K5" s="3068"/>
      <c r="L5" s="3068"/>
      <c r="M5" s="3069"/>
      <c r="N5" s="3069"/>
      <c r="O5" s="3069"/>
      <c r="P5" s="3069"/>
      <c r="Q5" s="3069"/>
      <c r="R5" s="3052">
        <f>SUM(R14,R19,R24,R25,R27,R28)</f>
        <v>0</v>
      </c>
      <c r="S5" s="3041"/>
      <c r="T5" s="3041" t="s">
        <v>3019</v>
      </c>
      <c r="U5" s="3041" t="e">
        <f>ROUND(R5*10000/365/R3,1)</f>
        <v>#DIV/0!</v>
      </c>
      <c r="V5" s="3049"/>
    </row>
    <row r="6" spans="1:22" s="3053" customFormat="1" ht="13.15" customHeight="1" thickBot="1">
      <c r="A6" s="3504" t="s">
        <v>3020</v>
      </c>
      <c r="B6" s="3505"/>
      <c r="C6" s="3506"/>
      <c r="D6" s="3070"/>
      <c r="E6" s="3071"/>
      <c r="F6" s="3072"/>
      <c r="G6" s="3073"/>
      <c r="H6" s="3048"/>
      <c r="I6" s="3049"/>
      <c r="J6" s="3507">
        <v>1</v>
      </c>
      <c r="K6" s="3508" t="s">
        <v>3021</v>
      </c>
      <c r="L6" s="3074" t="s">
        <v>3022</v>
      </c>
      <c r="M6" s="3075" t="s">
        <v>3023</v>
      </c>
      <c r="N6" s="3075" t="s">
        <v>3024</v>
      </c>
      <c r="O6" s="3075" t="s">
        <v>3025</v>
      </c>
      <c r="P6" s="3075" t="s">
        <v>3026</v>
      </c>
      <c r="Q6" s="3075" t="s">
        <v>3027</v>
      </c>
      <c r="R6" s="3058" t="s">
        <v>3028</v>
      </c>
      <c r="S6" s="3041"/>
      <c r="T6" s="3041" t="s">
        <v>3029</v>
      </c>
      <c r="U6" s="3041"/>
      <c r="V6" s="3049"/>
    </row>
    <row r="7" spans="1:22" s="3053" customFormat="1" ht="13.15" customHeight="1">
      <c r="A7" s="3076" t="s">
        <v>3030</v>
      </c>
      <c r="B7" s="3077"/>
      <c r="C7" s="3078"/>
      <c r="D7" s="3079">
        <f>SUM(D9,D10,D11,D17,0)</f>
        <v>0</v>
      </c>
      <c r="E7" s="3080" t="e">
        <f>E9+E10+E11+E17</f>
        <v>#DIV/0!</v>
      </c>
      <c r="F7" s="3081"/>
      <c r="G7" s="3082"/>
      <c r="H7" s="3048"/>
      <c r="I7" s="3049"/>
      <c r="J7" s="3507"/>
      <c r="K7" s="3509"/>
      <c r="L7" s="3083" t="s">
        <v>3031</v>
      </c>
      <c r="M7" s="3084"/>
      <c r="N7" s="3060"/>
      <c r="O7" s="3085"/>
      <c r="P7" s="3085"/>
      <c r="Q7" s="3086">
        <v>365</v>
      </c>
      <c r="R7" s="3087">
        <f>ROUND(M7*N7*O7*P7*Q7/10000,0)</f>
        <v>0</v>
      </c>
      <c r="S7" s="3041"/>
      <c r="T7" s="3041" t="s">
        <v>3032</v>
      </c>
      <c r="U7" s="3041"/>
      <c r="V7" s="3049"/>
    </row>
    <row r="8" spans="1:22" s="3053" customFormat="1" ht="13.15" customHeight="1">
      <c r="A8" s="3088" t="s">
        <v>3033</v>
      </c>
      <c r="B8" s="3511" t="s">
        <v>3034</v>
      </c>
      <c r="C8" s="3512"/>
      <c r="D8" s="3089" t="s">
        <v>3035</v>
      </c>
      <c r="E8" s="3090" t="s">
        <v>3036</v>
      </c>
      <c r="F8" s="3091" t="s">
        <v>3037</v>
      </c>
      <c r="G8" s="3092"/>
      <c r="H8" s="3048"/>
      <c r="I8" s="3049"/>
      <c r="J8" s="3507"/>
      <c r="K8" s="3509"/>
      <c r="L8" s="3083" t="s">
        <v>3038</v>
      </c>
      <c r="M8" s="3084"/>
      <c r="N8" s="3060"/>
      <c r="O8" s="3085"/>
      <c r="P8" s="3085"/>
      <c r="Q8" s="3086">
        <v>365</v>
      </c>
      <c r="R8" s="3087">
        <f t="shared" ref="R8:R13" si="0">ROUND(M8*N8*O8*P8*Q8/10000,0)</f>
        <v>0</v>
      </c>
      <c r="S8" s="3041"/>
      <c r="T8" s="3041" t="s">
        <v>3039</v>
      </c>
      <c r="U8" s="3041"/>
      <c r="V8" s="3049"/>
    </row>
    <row r="9" spans="1:22" s="3053" customFormat="1" ht="13.15" customHeight="1">
      <c r="A9" s="3088">
        <v>1</v>
      </c>
      <c r="B9" s="3511" t="s">
        <v>3040</v>
      </c>
      <c r="C9" s="3512"/>
      <c r="D9" s="3089">
        <f>ROUND(D6*E9,0)</f>
        <v>0</v>
      </c>
      <c r="E9" s="3093"/>
      <c r="F9" s="3094" t="s">
        <v>3041</v>
      </c>
      <c r="G9" s="3073"/>
      <c r="H9" s="3048"/>
      <c r="I9" s="3049"/>
      <c r="J9" s="3507"/>
      <c r="K9" s="3509"/>
      <c r="L9" s="3083" t="s">
        <v>3042</v>
      </c>
      <c r="M9" s="3084"/>
      <c r="N9" s="3060"/>
      <c r="O9" s="3085"/>
      <c r="P9" s="3085"/>
      <c r="Q9" s="3086">
        <v>365</v>
      </c>
      <c r="R9" s="3087">
        <f t="shared" si="0"/>
        <v>0</v>
      </c>
      <c r="S9" s="3041"/>
      <c r="T9" s="3041"/>
      <c r="U9" s="3041"/>
      <c r="V9" s="3049"/>
    </row>
    <row r="10" spans="1:22" s="3053" customFormat="1" ht="13.15" customHeight="1">
      <c r="A10" s="3088">
        <v>2</v>
      </c>
      <c r="B10" s="3511" t="s">
        <v>3043</v>
      </c>
      <c r="C10" s="3512"/>
      <c r="D10" s="3089">
        <f>ROUND(D6*E10,0)</f>
        <v>0</v>
      </c>
      <c r="E10" s="3093"/>
      <c r="F10" s="3094" t="s">
        <v>3044</v>
      </c>
      <c r="G10" s="3073"/>
      <c r="H10" s="3048"/>
      <c r="I10" s="3049"/>
      <c r="J10" s="3507"/>
      <c r="K10" s="3509"/>
      <c r="L10" s="3083" t="s">
        <v>3045</v>
      </c>
      <c r="M10" s="3084"/>
      <c r="N10" s="3060"/>
      <c r="O10" s="3085"/>
      <c r="P10" s="3085"/>
      <c r="Q10" s="3086">
        <v>365</v>
      </c>
      <c r="R10" s="3087">
        <f t="shared" si="0"/>
        <v>0</v>
      </c>
      <c r="S10" s="3041"/>
      <c r="T10" s="3041"/>
      <c r="U10" s="3041"/>
      <c r="V10" s="3049"/>
    </row>
    <row r="11" spans="1:22" s="3053" customFormat="1" ht="13.15" customHeight="1">
      <c r="A11" s="3088">
        <v>3</v>
      </c>
      <c r="B11" s="3511" t="s">
        <v>3046</v>
      </c>
      <c r="C11" s="3512"/>
      <c r="D11" s="3089">
        <f>D12+D14+D15+D16</f>
        <v>0</v>
      </c>
      <c r="E11" s="3095" t="e">
        <f>D11/D6</f>
        <v>#DIV/0!</v>
      </c>
      <c r="F11" s="3091"/>
      <c r="G11" s="3092"/>
      <c r="H11" s="3048"/>
      <c r="I11" s="3049"/>
      <c r="J11" s="3507"/>
      <c r="K11" s="3509"/>
      <c r="L11" s="3083" t="s">
        <v>3047</v>
      </c>
      <c r="M11" s="3084"/>
      <c r="N11" s="3060"/>
      <c r="O11" s="3085"/>
      <c r="P11" s="3085"/>
      <c r="Q11" s="3086">
        <v>365</v>
      </c>
      <c r="R11" s="3087">
        <f t="shared" si="0"/>
        <v>0</v>
      </c>
      <c r="S11" s="3041"/>
      <c r="T11" s="3041"/>
      <c r="U11" s="3041"/>
      <c r="V11" s="3049"/>
    </row>
    <row r="12" spans="1:22" s="3053" customFormat="1" ht="13.15" customHeight="1">
      <c r="A12" s="3096" t="s">
        <v>3048</v>
      </c>
      <c r="B12" s="3513" t="s">
        <v>3049</v>
      </c>
      <c r="C12" s="3514"/>
      <c r="D12" s="3097">
        <f>ROUND(D13*1.2%*(1-30%),0)</f>
        <v>0</v>
      </c>
      <c r="E12" s="3098">
        <v>1.2E-2</v>
      </c>
      <c r="F12" s="3091" t="s">
        <v>3050</v>
      </c>
      <c r="G12" s="3092"/>
      <c r="H12" s="3048"/>
      <c r="I12" s="3049"/>
      <c r="J12" s="3507"/>
      <c r="K12" s="3509"/>
      <c r="L12" s="3083" t="s">
        <v>3051</v>
      </c>
      <c r="M12" s="3084"/>
      <c r="N12" s="3060"/>
      <c r="O12" s="3085"/>
      <c r="P12" s="3085"/>
      <c r="Q12" s="3086">
        <v>365</v>
      </c>
      <c r="R12" s="3087">
        <f t="shared" si="0"/>
        <v>0</v>
      </c>
      <c r="S12" s="3041"/>
      <c r="T12" s="3041"/>
      <c r="U12" s="3041"/>
      <c r="V12" s="3049"/>
    </row>
    <row r="13" spans="1:22" s="3053" customFormat="1" ht="13.15" customHeight="1">
      <c r="A13" s="3096"/>
      <c r="B13" s="3099"/>
      <c r="C13" s="3100" t="s">
        <v>3052</v>
      </c>
      <c r="D13" s="3101"/>
      <c r="E13" s="3102"/>
      <c r="F13" s="3091"/>
      <c r="G13" s="3092"/>
      <c r="H13" s="3048"/>
      <c r="I13" s="3049"/>
      <c r="J13" s="3507"/>
      <c r="K13" s="3509"/>
      <c r="L13" s="3083" t="s">
        <v>3053</v>
      </c>
      <c r="M13" s="3084"/>
      <c r="N13" s="3060"/>
      <c r="O13" s="3085"/>
      <c r="P13" s="3085"/>
      <c r="Q13" s="3086">
        <v>365</v>
      </c>
      <c r="R13" s="3087">
        <f t="shared" si="0"/>
        <v>0</v>
      </c>
      <c r="S13" s="3041"/>
      <c r="T13" s="3041"/>
      <c r="U13" s="3041"/>
      <c r="V13" s="3049"/>
    </row>
    <row r="14" spans="1:22" s="3053" customFormat="1" ht="13.15" customHeight="1">
      <c r="A14" s="3096" t="s">
        <v>3054</v>
      </c>
      <c r="B14" s="3513" t="s">
        <v>3055</v>
      </c>
      <c r="C14" s="3514"/>
      <c r="D14" s="3097">
        <f>ROUND(E14*B5/10000,0)</f>
        <v>0</v>
      </c>
      <c r="E14" s="3086"/>
      <c r="F14" s="3091" t="s">
        <v>3056</v>
      </c>
      <c r="G14" s="3092"/>
      <c r="H14" s="3048"/>
      <c r="I14" s="3049"/>
      <c r="J14" s="3507"/>
      <c r="K14" s="3510"/>
      <c r="L14" s="3103" t="s">
        <v>3057</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3058</v>
      </c>
      <c r="B15" s="3513" t="s">
        <v>3059</v>
      </c>
      <c r="C15" s="3514"/>
      <c r="D15" s="3097">
        <f>ROUND(D6*E15,0)</f>
        <v>0</v>
      </c>
      <c r="E15" s="3098">
        <v>5.5E-2</v>
      </c>
      <c r="F15" s="3091" t="s">
        <v>3060</v>
      </c>
      <c r="G15" s="3073"/>
      <c r="H15" s="3048"/>
      <c r="I15" s="3049"/>
      <c r="J15" s="3507">
        <v>2</v>
      </c>
      <c r="K15" s="3508" t="s">
        <v>3061</v>
      </c>
      <c r="L15" s="3083" t="s">
        <v>3062</v>
      </c>
      <c r="M15" s="3084" t="s">
        <v>3063</v>
      </c>
      <c r="N15" s="3084" t="s">
        <v>3064</v>
      </c>
      <c r="O15" s="3085" t="s">
        <v>3065</v>
      </c>
      <c r="P15" s="3085" t="s">
        <v>3027</v>
      </c>
      <c r="Q15" s="3060" t="s">
        <v>3066</v>
      </c>
      <c r="R15" s="3107" t="s">
        <v>3028</v>
      </c>
      <c r="S15" s="3041"/>
      <c r="T15" s="3041"/>
      <c r="U15" s="3041"/>
      <c r="V15" s="3049"/>
    </row>
    <row r="16" spans="1:22" s="3053" customFormat="1" ht="13.15" customHeight="1">
      <c r="A16" s="3096" t="s">
        <v>3067</v>
      </c>
      <c r="B16" s="3513" t="s">
        <v>3068</v>
      </c>
      <c r="C16" s="3514"/>
      <c r="D16" s="3108">
        <f>D6*E16</f>
        <v>0</v>
      </c>
      <c r="E16" s="3109"/>
      <c r="F16" s="3094" t="s">
        <v>3069</v>
      </c>
      <c r="G16" s="3073"/>
      <c r="H16" s="3048"/>
      <c r="I16" s="3049"/>
      <c r="J16" s="3507"/>
      <c r="K16" s="3509"/>
      <c r="L16" s="3083" t="s">
        <v>3070</v>
      </c>
      <c r="M16" s="3084"/>
      <c r="N16" s="3084"/>
      <c r="O16" s="3085"/>
      <c r="P16" s="3086">
        <v>365</v>
      </c>
      <c r="Q16" s="3060"/>
      <c r="R16" s="3107">
        <f>ROUND(M16*N16*O16*P16/10000,0)</f>
        <v>0</v>
      </c>
      <c r="S16" s="3041"/>
      <c r="T16" s="3041"/>
      <c r="U16" s="3041"/>
      <c r="V16" s="3049"/>
    </row>
    <row r="17" spans="1:22" s="3053" customFormat="1" ht="13.15" customHeight="1" thickBot="1">
      <c r="A17" s="3110">
        <v>4</v>
      </c>
      <c r="B17" s="3515" t="s">
        <v>3071</v>
      </c>
      <c r="C17" s="3516"/>
      <c r="D17" s="3111">
        <f>ROUND(D6*E17,0)</f>
        <v>0</v>
      </c>
      <c r="E17" s="3112"/>
      <c r="F17" s="3113" t="s">
        <v>3072</v>
      </c>
      <c r="G17" s="3073"/>
      <c r="H17" s="3048"/>
      <c r="I17" s="3049"/>
      <c r="J17" s="3507"/>
      <c r="K17" s="3509"/>
      <c r="L17" s="3083" t="s">
        <v>3073</v>
      </c>
      <c r="M17" s="3084"/>
      <c r="N17" s="3084"/>
      <c r="O17" s="3085"/>
      <c r="P17" s="3086">
        <v>365</v>
      </c>
      <c r="Q17" s="3060"/>
      <c r="R17" s="3107">
        <f>ROUND(M17*N17*O17*P17/10000,0)</f>
        <v>0</v>
      </c>
      <c r="S17" s="3041"/>
      <c r="T17" s="3041"/>
      <c r="U17" s="3041"/>
      <c r="V17" s="3049"/>
    </row>
    <row r="18" spans="1:22" s="3053" customFormat="1" ht="13.15" customHeight="1" thickBot="1">
      <c r="A18" s="3076" t="s">
        <v>3074</v>
      </c>
      <c r="B18" s="3077"/>
      <c r="C18" s="3077"/>
      <c r="D18" s="3114">
        <f>ROUND(D6*E18,0)</f>
        <v>0</v>
      </c>
      <c r="E18" s="3115"/>
      <c r="F18" s="3116" t="s">
        <v>3075</v>
      </c>
      <c r="G18" s="3073"/>
      <c r="H18" s="3048"/>
      <c r="I18" s="3049"/>
      <c r="J18" s="3507"/>
      <c r="K18" s="3509"/>
      <c r="L18" s="3083" t="s">
        <v>3076</v>
      </c>
      <c r="M18" s="3084"/>
      <c r="N18" s="3084"/>
      <c r="O18" s="3085"/>
      <c r="P18" s="3086">
        <v>365</v>
      </c>
      <c r="Q18" s="3060"/>
      <c r="R18" s="3107">
        <f>ROUND(M18*N18*O18*P18/10000,0)</f>
        <v>0</v>
      </c>
      <c r="S18" s="3041"/>
      <c r="T18" s="3041"/>
      <c r="U18" s="3041"/>
      <c r="V18" s="3049"/>
    </row>
    <row r="19" spans="1:22" s="3053" customFormat="1" ht="13.15" customHeight="1" thickBot="1">
      <c r="A19" s="3117" t="s">
        <v>3077</v>
      </c>
      <c r="B19" s="3071"/>
      <c r="C19" s="3071"/>
      <c r="D19" s="3071"/>
      <c r="E19" s="3071"/>
      <c r="F19" s="3072"/>
      <c r="G19" s="3092"/>
      <c r="H19" s="3048"/>
      <c r="I19" s="3049"/>
      <c r="J19" s="3507"/>
      <c r="K19" s="3510"/>
      <c r="L19" s="3103" t="s">
        <v>3057</v>
      </c>
      <c r="M19" s="3104"/>
      <c r="N19" s="3104">
        <f>SUM(N16:N18)</f>
        <v>0</v>
      </c>
      <c r="O19" s="3105"/>
      <c r="P19" s="3118" t="s">
        <v>3121</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7">
        <v>3</v>
      </c>
      <c r="K20" s="3508" t="s">
        <v>3078</v>
      </c>
      <c r="L20" s="3083" t="s">
        <v>3079</v>
      </c>
      <c r="M20" s="3084" t="s">
        <v>3080</v>
      </c>
      <c r="N20" s="3121" t="s">
        <v>3081</v>
      </c>
      <c r="O20" s="3085" t="s">
        <v>3082</v>
      </c>
      <c r="P20" s="3086" t="s">
        <v>3083</v>
      </c>
      <c r="Q20" s="3060" t="s">
        <v>3084</v>
      </c>
      <c r="R20" s="3107" t="s">
        <v>3085</v>
      </c>
      <c r="S20" s="3122"/>
      <c r="T20" s="3122"/>
      <c r="U20" s="3122"/>
      <c r="V20" s="3049"/>
    </row>
    <row r="21" spans="1:22" s="3053" customFormat="1" ht="13.15" customHeight="1">
      <c r="A21" s="3076"/>
      <c r="B21" s="3077"/>
      <c r="C21" s="3123" t="s">
        <v>3086</v>
      </c>
      <c r="D21" s="3124" t="s">
        <v>3087</v>
      </c>
      <c r="E21" s="3125" t="s">
        <v>3088</v>
      </c>
      <c r="F21" s="3120"/>
      <c r="G21" s="3092"/>
      <c r="H21" s="3048"/>
      <c r="I21" s="3049"/>
      <c r="J21" s="3507"/>
      <c r="K21" s="3509"/>
      <c r="L21" s="3083" t="s">
        <v>3089</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3090</v>
      </c>
      <c r="D22" s="3128" t="s">
        <v>3091</v>
      </c>
      <c r="E22" s="3129" t="s">
        <v>3092</v>
      </c>
      <c r="F22" s="3120"/>
      <c r="G22" s="3130"/>
      <c r="H22" s="3048"/>
      <c r="I22" s="3049"/>
      <c r="J22" s="3507"/>
      <c r="K22" s="3509"/>
      <c r="L22" s="3083" t="s">
        <v>3093</v>
      </c>
      <c r="M22" s="3084"/>
      <c r="N22" s="3084"/>
      <c r="O22" s="3085"/>
      <c r="P22" s="3086">
        <v>365</v>
      </c>
      <c r="Q22" s="3060"/>
      <c r="R22" s="3126">
        <f>ROUND(M22*N22*O22*P22/10000,0)</f>
        <v>0</v>
      </c>
      <c r="S22" s="3122"/>
      <c r="T22" s="3122"/>
      <c r="U22" s="3122"/>
      <c r="V22" s="3049"/>
    </row>
    <row r="23" spans="1:22" s="3053" customFormat="1" ht="13.15" customHeight="1">
      <c r="A23" s="3131">
        <v>1</v>
      </c>
      <c r="B23" s="3132" t="s">
        <v>3094</v>
      </c>
      <c r="C23" s="3133">
        <f>D6</f>
        <v>0</v>
      </c>
      <c r="D23" s="3134">
        <f>C23*(1+D24)</f>
        <v>0</v>
      </c>
      <c r="E23" s="3135">
        <f>D23*(1+E24)</f>
        <v>0</v>
      </c>
      <c r="F23" s="3136"/>
      <c r="G23" s="3137"/>
      <c r="H23" s="3048"/>
      <c r="I23" s="3049"/>
      <c r="J23" s="3507"/>
      <c r="K23" s="3509"/>
      <c r="L23" s="3083" t="s">
        <v>3095</v>
      </c>
      <c r="M23" s="3084"/>
      <c r="N23" s="3084"/>
      <c r="O23" s="3085"/>
      <c r="P23" s="3086">
        <v>365</v>
      </c>
      <c r="Q23" s="3060"/>
      <c r="R23" s="3126">
        <f>ROUND(M23*N23*O23*P23/10000,0)</f>
        <v>0</v>
      </c>
      <c r="S23" s="3041"/>
      <c r="T23" s="3041"/>
      <c r="U23" s="3041"/>
      <c r="V23" s="3049"/>
    </row>
    <row r="24" spans="1:22" s="3053" customFormat="1" ht="13.15" customHeight="1">
      <c r="A24" s="3138"/>
      <c r="B24" s="3139" t="s">
        <v>3096</v>
      </c>
      <c r="C24" s="3140"/>
      <c r="D24" s="3141"/>
      <c r="E24" s="3142"/>
      <c r="F24" s="3143"/>
      <c r="G24" s="3137"/>
      <c r="H24" s="3048"/>
      <c r="I24" s="3049"/>
      <c r="J24" s="3507"/>
      <c r="K24" s="3510"/>
      <c r="L24" s="3103" t="s">
        <v>3057</v>
      </c>
      <c r="M24" s="3104">
        <f>SUM(M21:M23)</f>
        <v>0</v>
      </c>
      <c r="N24" s="3104"/>
      <c r="O24" s="3105"/>
      <c r="P24" s="3118" t="s">
        <v>3121</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3097</v>
      </c>
      <c r="L25" s="3146"/>
      <c r="M25" s="3146"/>
      <c r="N25" s="3146"/>
      <c r="O25" s="3146"/>
      <c r="P25" s="3147"/>
      <c r="Q25" s="3148">
        <v>0</v>
      </c>
      <c r="R25" s="3119">
        <f>ROUND(R14*Q25,0)</f>
        <v>0</v>
      </c>
      <c r="S25" s="3041"/>
      <c r="T25" s="3041"/>
      <c r="U25" s="3041"/>
      <c r="V25" s="3149"/>
    </row>
    <row r="26" spans="1:22" s="3150" customFormat="1" ht="13.15" customHeight="1">
      <c r="A26" s="3131">
        <v>2</v>
      </c>
      <c r="B26" s="3132" t="s">
        <v>3098</v>
      </c>
      <c r="C26" s="3133">
        <f>D7</f>
        <v>0</v>
      </c>
      <c r="D26" s="3134">
        <f>D23*D27</f>
        <v>0</v>
      </c>
      <c r="E26" s="3135">
        <f>E23*E27</f>
        <v>0</v>
      </c>
      <c r="F26" s="3136"/>
      <c r="G26" s="3137"/>
      <c r="H26" s="3048"/>
      <c r="I26" s="3049"/>
      <c r="J26" s="3517">
        <v>5</v>
      </c>
      <c r="K26" s="3151" t="s">
        <v>3099</v>
      </c>
      <c r="L26" s="3152"/>
      <c r="M26" s="3153"/>
      <c r="N26" s="3154" t="s">
        <v>3100</v>
      </c>
      <c r="O26" s="3154" t="s">
        <v>3101</v>
      </c>
      <c r="P26" s="3155" t="s">
        <v>3102</v>
      </c>
      <c r="Q26" s="3155" t="s">
        <v>3103</v>
      </c>
      <c r="R26" s="3058" t="s">
        <v>3028</v>
      </c>
      <c r="S26" s="3156"/>
      <c r="T26" s="3156"/>
      <c r="U26" s="3156"/>
      <c r="V26" s="3149"/>
    </row>
    <row r="27" spans="1:22" s="3053" customFormat="1" ht="13.15" customHeight="1">
      <c r="A27" s="3138"/>
      <c r="B27" s="3139" t="s">
        <v>3104</v>
      </c>
      <c r="C27" s="3157" t="e">
        <f>E7</f>
        <v>#DIV/0!</v>
      </c>
      <c r="D27" s="3141"/>
      <c r="E27" s="3142"/>
      <c r="F27" s="3143"/>
      <c r="G27" s="3137"/>
      <c r="H27" s="3158"/>
      <c r="I27" s="3149"/>
      <c r="J27" s="351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3105</v>
      </c>
      <c r="F28" s="3143"/>
      <c r="G28" s="3130"/>
      <c r="H28" s="3158"/>
      <c r="I28" s="3149"/>
      <c r="J28" s="3164">
        <v>6</v>
      </c>
      <c r="K28" s="3165" t="s">
        <v>3106</v>
      </c>
      <c r="L28" s="3166" t="s">
        <v>3107</v>
      </c>
      <c r="M28" s="3167"/>
      <c r="N28" s="3166" t="s">
        <v>3108</v>
      </c>
      <c r="O28" s="3168"/>
      <c r="P28" s="3166" t="s">
        <v>3109</v>
      </c>
      <c r="Q28" s="3169">
        <v>1.4999999999999999E-2</v>
      </c>
      <c r="R28" s="3170"/>
      <c r="S28" s="3122"/>
      <c r="T28" s="3122"/>
      <c r="U28" s="3122"/>
      <c r="V28" s="3149"/>
    </row>
    <row r="29" spans="1:22" s="3150" customFormat="1" ht="13.15" customHeight="1">
      <c r="A29" s="3131">
        <v>3</v>
      </c>
      <c r="B29" s="3132" t="s">
        <v>3110</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3104</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3111</v>
      </c>
      <c r="K31" s="3039"/>
      <c r="L31" s="3039"/>
      <c r="M31" s="3039"/>
      <c r="N31" s="3039"/>
      <c r="O31" s="3039"/>
      <c r="P31" s="3039"/>
      <c r="Q31" s="3039"/>
      <c r="R31" s="3040"/>
      <c r="S31" s="3122"/>
      <c r="T31" s="3041"/>
      <c r="U31" s="3041"/>
      <c r="V31" s="3149"/>
    </row>
    <row r="32" spans="1:22" s="3150" customFormat="1" ht="13.15" customHeight="1">
      <c r="A32" s="3131">
        <v>4</v>
      </c>
      <c r="B32" s="3132" t="s">
        <v>3112</v>
      </c>
      <c r="C32" s="3133">
        <f>C23-C26-C29</f>
        <v>0</v>
      </c>
      <c r="D32" s="3134">
        <f>D23-D26-D29</f>
        <v>0</v>
      </c>
      <c r="E32" s="3135">
        <f>E23-E26-E29</f>
        <v>0</v>
      </c>
      <c r="F32" s="3136"/>
      <c r="G32" s="3130"/>
      <c r="H32" s="3048"/>
      <c r="I32" s="3049"/>
      <c r="J32" s="3500" t="s">
        <v>3004</v>
      </c>
      <c r="K32" s="3501"/>
      <c r="L32" s="3050" t="s">
        <v>3005</v>
      </c>
      <c r="M32" s="3050" t="s">
        <v>3006</v>
      </c>
      <c r="N32" s="3050" t="s">
        <v>3007</v>
      </c>
      <c r="O32" s="3050" t="s">
        <v>3008</v>
      </c>
      <c r="P32" s="3050" t="s">
        <v>3009</v>
      </c>
      <c r="Q32" s="3051" t="s">
        <v>3010</v>
      </c>
      <c r="R32" s="3173" t="s">
        <v>3011</v>
      </c>
      <c r="S32" s="3122"/>
      <c r="T32" s="3041"/>
      <c r="U32" s="3041"/>
      <c r="V32" s="3149"/>
    </row>
    <row r="33" spans="1:23" s="3053" customFormat="1" ht="13.15" customHeight="1">
      <c r="A33" s="3131"/>
      <c r="B33" s="3132"/>
      <c r="C33" s="3133"/>
      <c r="D33" s="3174"/>
      <c r="E33" s="3175"/>
      <c r="F33" s="3136"/>
      <c r="G33" s="3130"/>
      <c r="H33" s="3158"/>
      <c r="I33" s="3149"/>
      <c r="J33" s="3502" t="s">
        <v>3014</v>
      </c>
      <c r="K33" s="3503"/>
      <c r="L33" s="3056"/>
      <c r="M33" s="3056"/>
      <c r="N33" s="3056"/>
      <c r="O33" s="3056"/>
      <c r="P33" s="3056"/>
      <c r="Q33" s="3057"/>
      <c r="R33" s="3176">
        <f>SUM(L33:Q33)</f>
        <v>0</v>
      </c>
      <c r="S33" s="3122"/>
      <c r="T33" s="3041"/>
      <c r="U33" s="3041"/>
      <c r="V33" s="3049"/>
    </row>
    <row r="34" spans="1:23" s="3053" customFormat="1" ht="13.15" customHeight="1">
      <c r="A34" s="3131">
        <v>5</v>
      </c>
      <c r="B34" s="3132" t="s">
        <v>3113</v>
      </c>
      <c r="C34" s="3177"/>
      <c r="D34" s="3178"/>
      <c r="E34" s="3179"/>
      <c r="F34" s="3136"/>
      <c r="G34" s="3130"/>
      <c r="H34" s="3158"/>
      <c r="I34" s="3149"/>
      <c r="J34" s="3502" t="s">
        <v>3016</v>
      </c>
      <c r="K34" s="3503"/>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3114</v>
      </c>
      <c r="C35" s="3181"/>
      <c r="D35" s="3182"/>
      <c r="E35" s="3183"/>
      <c r="F35" s="3136"/>
      <c r="G35" s="3184"/>
      <c r="H35" s="3048"/>
      <c r="I35" s="3149"/>
      <c r="J35" s="3067" t="s">
        <v>3018</v>
      </c>
      <c r="K35" s="3068"/>
      <c r="L35" s="3068"/>
      <c r="M35" s="3069"/>
      <c r="N35" s="3069"/>
      <c r="O35" s="3069"/>
      <c r="P35" s="3069"/>
      <c r="Q35" s="3069"/>
      <c r="R35" s="3185">
        <f>R40+R41+R43</f>
        <v>0</v>
      </c>
      <c r="S35" s="3122"/>
      <c r="T35" s="3041" t="s">
        <v>3019</v>
      </c>
      <c r="U35" s="3041"/>
      <c r="V35" s="3049"/>
    </row>
    <row r="36" spans="1:23" s="3053" customFormat="1" ht="13.15" customHeight="1" thickBot="1">
      <c r="A36" s="3131">
        <v>7</v>
      </c>
      <c r="B36" s="3186" t="s">
        <v>3115</v>
      </c>
      <c r="C36" s="3187"/>
      <c r="D36" s="3188"/>
      <c r="E36" s="3189"/>
      <c r="F36" s="3190">
        <f>C36+D36+E36</f>
        <v>0</v>
      </c>
      <c r="G36" s="3130"/>
      <c r="H36" s="3048"/>
      <c r="I36" s="3049"/>
      <c r="J36" s="3507">
        <v>1</v>
      </c>
      <c r="K36" s="3508" t="s">
        <v>3116</v>
      </c>
      <c r="L36" s="3074"/>
      <c r="M36" s="3075"/>
      <c r="N36" s="3075"/>
      <c r="O36" s="3075"/>
      <c r="P36" s="3075"/>
      <c r="Q36" s="3075"/>
      <c r="R36" s="3058" t="s">
        <v>3028</v>
      </c>
      <c r="S36" s="3122"/>
      <c r="T36" s="3041" t="s">
        <v>3029</v>
      </c>
      <c r="U36" s="3041"/>
      <c r="V36" s="3049"/>
    </row>
    <row r="37" spans="1:23" s="3053" customFormat="1" ht="13.15" customHeight="1">
      <c r="A37" s="3131"/>
      <c r="B37" s="3132"/>
      <c r="C37" s="3132"/>
      <c r="D37" s="3132"/>
      <c r="E37" s="3132"/>
      <c r="F37" s="3136"/>
      <c r="G37" s="3130"/>
      <c r="H37" s="3048"/>
      <c r="I37" s="3049"/>
      <c r="J37" s="3507"/>
      <c r="K37" s="3509"/>
      <c r="L37" s="3083"/>
      <c r="M37" s="3084"/>
      <c r="N37" s="3060"/>
      <c r="O37" s="3085"/>
      <c r="P37" s="3085"/>
      <c r="Q37" s="3086"/>
      <c r="R37" s="3087"/>
      <c r="S37" s="3122"/>
      <c r="T37" s="3041" t="s">
        <v>3032</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7"/>
      <c r="K38" s="3509"/>
      <c r="L38" s="3083"/>
      <c r="M38" s="3084"/>
      <c r="N38" s="3060"/>
      <c r="O38" s="3085"/>
      <c r="P38" s="3085"/>
      <c r="Q38" s="3086"/>
      <c r="R38" s="3087"/>
      <c r="S38" s="3122"/>
      <c r="T38" s="3041" t="s">
        <v>3039</v>
      </c>
      <c r="U38" s="3041"/>
      <c r="V38" s="3049"/>
    </row>
    <row r="39" spans="1:23" s="3053" customFormat="1" ht="13.15" customHeight="1">
      <c r="A39" s="3131">
        <v>9</v>
      </c>
      <c r="B39" s="3132" t="s">
        <v>3117</v>
      </c>
      <c r="C39" s="3097" t="e">
        <f>C38</f>
        <v>#DIV/0!</v>
      </c>
      <c r="D39" s="3132">
        <f>D38/(1+D34)^C36</f>
        <v>0</v>
      </c>
      <c r="E39" s="3132">
        <f>E38/(1+E34)^(C36+D36)</f>
        <v>0</v>
      </c>
      <c r="F39" s="3136"/>
      <c r="G39" s="3191"/>
      <c r="H39" s="3048"/>
      <c r="I39" s="3049"/>
      <c r="J39" s="3507"/>
      <c r="K39" s="3509"/>
      <c r="L39" s="3083"/>
      <c r="M39" s="3084"/>
      <c r="N39" s="3060"/>
      <c r="O39" s="3085"/>
      <c r="P39" s="3085"/>
      <c r="Q39" s="3086"/>
      <c r="R39" s="3087"/>
      <c r="S39" s="3122"/>
      <c r="T39" s="3041"/>
      <c r="U39" s="3041"/>
      <c r="V39" s="3049"/>
    </row>
    <row r="40" spans="1:23" s="3053" customFormat="1" ht="13.15" customHeight="1">
      <c r="A40" s="3192">
        <v>10</v>
      </c>
      <c r="B40" s="3132" t="s">
        <v>3118</v>
      </c>
      <c r="C40" s="3193" t="e">
        <f>C39+D39+E39</f>
        <v>#DIV/0!</v>
      </c>
      <c r="D40" s="3194"/>
      <c r="E40" s="3194"/>
      <c r="F40" s="3195"/>
      <c r="G40" s="3130"/>
      <c r="H40" s="3048"/>
      <c r="I40" s="3049"/>
      <c r="J40" s="3507"/>
      <c r="K40" s="3510"/>
      <c r="L40" s="3103" t="s">
        <v>3057</v>
      </c>
      <c r="M40" s="3104"/>
      <c r="N40" s="3104"/>
      <c r="O40" s="3105"/>
      <c r="P40" s="3105"/>
      <c r="Q40" s="3106"/>
      <c r="R40" s="3052">
        <f>SUM(R37:R39)</f>
        <v>0</v>
      </c>
      <c r="S40" s="3122"/>
      <c r="T40" s="3041"/>
      <c r="U40" s="3041"/>
      <c r="V40" s="3049"/>
    </row>
    <row r="41" spans="1:23" s="3053" customFormat="1" ht="13.15" customHeight="1" thickBot="1">
      <c r="A41" s="3196">
        <v>11</v>
      </c>
      <c r="B41" s="3197" t="s">
        <v>3119</v>
      </c>
      <c r="C41" s="3197" t="e">
        <f>ROUND(C40*10000/B4,0)</f>
        <v>#DIV/0!</v>
      </c>
      <c r="D41" s="3198"/>
      <c r="E41" s="3198"/>
      <c r="F41" s="3199"/>
      <c r="G41" s="3200"/>
      <c r="H41" s="3048"/>
      <c r="I41" s="3049"/>
      <c r="J41" s="3144">
        <v>2</v>
      </c>
      <c r="K41" s="3145" t="s">
        <v>3097</v>
      </c>
      <c r="L41" s="3146"/>
      <c r="M41" s="3146"/>
      <c r="N41" s="3146"/>
      <c r="O41" s="3146"/>
      <c r="P41" s="3147"/>
      <c r="Q41" s="3148"/>
      <c r="R41" s="3119">
        <f>ROUND(R40*Q41,0)</f>
        <v>0</v>
      </c>
      <c r="S41" s="3122"/>
      <c r="T41" s="3041"/>
      <c r="U41" s="3156"/>
      <c r="V41" s="3049"/>
    </row>
    <row r="42" spans="1:23" s="3053" customFormat="1" ht="13.15" customHeight="1">
      <c r="G42" s="3200"/>
      <c r="H42" s="3048"/>
      <c r="I42" s="3049"/>
      <c r="J42" s="3517">
        <v>3</v>
      </c>
      <c r="K42" s="3151" t="s">
        <v>3099</v>
      </c>
      <c r="L42" s="3152"/>
      <c r="M42" s="3153"/>
      <c r="N42" s="3154" t="s">
        <v>3100</v>
      </c>
      <c r="O42" s="3154" t="s">
        <v>3101</v>
      </c>
      <c r="P42" s="3155" t="s">
        <v>3102</v>
      </c>
      <c r="Q42" s="3155" t="s">
        <v>3103</v>
      </c>
      <c r="R42" s="3058" t="s">
        <v>3028</v>
      </c>
      <c r="S42" s="3156"/>
      <c r="T42" s="3156"/>
      <c r="U42" s="3041"/>
      <c r="V42" s="3049"/>
    </row>
    <row r="43" spans="1:23" ht="13.15" customHeight="1">
      <c r="A43" s="3053"/>
      <c r="B43" s="3053"/>
      <c r="C43" s="3053"/>
      <c r="D43" s="3053"/>
      <c r="E43" s="3053"/>
      <c r="F43" s="3053"/>
      <c r="I43" s="3036"/>
      <c r="J43" s="351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3106</v>
      </c>
      <c r="L44" s="3204" t="s">
        <v>3107</v>
      </c>
      <c r="M44" s="3167"/>
      <c r="N44" s="3204" t="s">
        <v>3108</v>
      </c>
      <c r="O44" s="3167"/>
      <c r="P44" s="3204" t="s">
        <v>3109</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2" t="s">
        <v>2287</v>
      </c>
      <c r="B1" s="2023"/>
      <c r="C1" s="2023"/>
      <c r="D1" s="2023"/>
      <c r="E1" s="2024"/>
      <c r="F1" s="2905"/>
      <c r="G1" s="1644"/>
      <c r="H1" s="1644"/>
      <c r="I1" s="1644"/>
      <c r="J1" s="1644"/>
      <c r="K1" s="1644"/>
      <c r="L1" s="1644"/>
      <c r="M1" s="1644"/>
      <c r="N1" s="1644"/>
      <c r="O1" s="1644"/>
      <c r="P1" s="1644"/>
      <c r="Q1" s="1644"/>
      <c r="R1" s="1644"/>
      <c r="S1" s="1644"/>
    </row>
    <row r="2" spans="1:22" ht="15.75">
      <c r="A2" s="2025" t="s">
        <v>2088</v>
      </c>
      <c r="B2" s="2026">
        <f ca="1">SUMIF(B6:B13,"&lt;&gt;#ref!",B6:B13)</f>
        <v>7</v>
      </c>
      <c r="C2" s="2027" t="s">
        <v>2280</v>
      </c>
      <c r="D2" s="2028" t="s">
        <v>2281</v>
      </c>
      <c r="E2" s="2802">
        <f>SUM(E6:E13)</f>
        <v>33.93</v>
      </c>
      <c r="F2" s="2905"/>
      <c r="G2" s="1644"/>
      <c r="H2" s="1644"/>
      <c r="I2" s="1644"/>
      <c r="J2" s="1644"/>
      <c r="K2" s="1644"/>
      <c r="L2" s="1644"/>
      <c r="M2" s="1644"/>
      <c r="N2" s="1644"/>
      <c r="O2" s="1644"/>
      <c r="P2" s="1644"/>
      <c r="Q2" s="1644"/>
      <c r="R2" s="1644"/>
      <c r="S2" s="1644"/>
    </row>
    <row r="3" spans="1:22" ht="15.75">
      <c r="A3" s="2025" t="s">
        <v>1300</v>
      </c>
      <c r="B3" s="2796">
        <f ca="1">ROUND(B2*10000/E2,0)</f>
        <v>2063</v>
      </c>
      <c r="C3" s="2027"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519" t="s">
        <v>2283</v>
      </c>
      <c r="C5" s="3520"/>
      <c r="D5" s="2906"/>
      <c r="E5" s="2029" t="s">
        <v>2284</v>
      </c>
      <c r="F5" s="2030" t="s">
        <v>2285</v>
      </c>
      <c r="G5" s="1644"/>
      <c r="H5" s="1644"/>
      <c r="I5" s="1644"/>
      <c r="J5" s="1644"/>
      <c r="K5" s="1644"/>
      <c r="L5" s="1644"/>
      <c r="M5" s="1644"/>
      <c r="N5" s="1644"/>
      <c r="O5" s="1644"/>
      <c r="P5" s="1644"/>
      <c r="Q5" s="1644"/>
      <c r="R5" s="1644"/>
      <c r="S5" s="1644"/>
    </row>
    <row r="6" spans="1:22">
      <c r="A6" s="2799" t="str">
        <f>'数据-取费表'!AN6</f>
        <v>收益法 (元)</v>
      </c>
      <c r="B6" s="2797">
        <f ca="1">IF(F6="是",'数据-取费表'!AO6,0)</f>
        <v>7</v>
      </c>
      <c r="C6" s="2027" t="s">
        <v>2280</v>
      </c>
      <c r="D6" s="2907"/>
      <c r="E6" s="2801">
        <f>IF(OR(A6=0,F6="否"),0,'数据-取费表'!K6+'数据-取费表'!S6)</f>
        <v>33.93</v>
      </c>
      <c r="F6" s="2031"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7" t="s">
        <v>2280</v>
      </c>
      <c r="D7" s="2907"/>
      <c r="E7" s="2801">
        <f>IF(OR(A7=0,F7="否"),0,'数据-取费表'!K7+'数据-取费表'!S7)</f>
        <v>0</v>
      </c>
      <c r="F7" s="2031"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7" t="s">
        <v>2280</v>
      </c>
      <c r="D8" s="2907"/>
      <c r="E8" s="2801">
        <f>IF(OR(A8=0,F8="否"),0,'数据-取费表'!K8+'数据-取费表'!S8)</f>
        <v>0</v>
      </c>
      <c r="F8" s="2031"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7" t="s">
        <v>2280</v>
      </c>
      <c r="D9" s="2907"/>
      <c r="E9" s="2801">
        <f>IF(OR(A9=0,F9="否"),0,'数据-取费表'!K9+'数据-取费表'!S9)</f>
        <v>0</v>
      </c>
      <c r="F9" s="2031"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7" t="s">
        <v>2280</v>
      </c>
      <c r="D10" s="2907"/>
      <c r="E10" s="2801">
        <f>IF(OR(A10=0,F10="否"),0,'数据-取费表'!K10+'数据-取费表'!S10)</f>
        <v>0</v>
      </c>
      <c r="F10" s="2031"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7" t="s">
        <v>2280</v>
      </c>
      <c r="D11" s="2907"/>
      <c r="E11" s="2801">
        <f>IF(OR(A11=0,F11="否"),0,'数据-取费表'!K11+'数据-取费表'!S11)</f>
        <v>0</v>
      </c>
      <c r="F11" s="2031"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7" t="s">
        <v>2280</v>
      </c>
      <c r="D12" s="2907"/>
      <c r="E12" s="2801">
        <f>IF(OR(A12=0,F12="否"),0,'数据-取费表'!K12+'数据-取费表'!S12)</f>
        <v>0</v>
      </c>
      <c r="F12" s="2031"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2290</v>
      </c>
      <c r="C1" s="1378" t="s">
        <v>2291</v>
      </c>
      <c r="D1" s="1365"/>
      <c r="E1" s="2513"/>
      <c r="F1" s="2034" t="s">
        <v>2292</v>
      </c>
      <c r="G1" s="1375" t="s">
        <v>2293</v>
      </c>
      <c r="H1" s="1374"/>
      <c r="I1" s="1374"/>
      <c r="J1" s="1374"/>
      <c r="K1" s="1376"/>
      <c r="L1" s="1377"/>
      <c r="M1" s="1378"/>
      <c r="N1" s="1378"/>
      <c r="O1" s="1378"/>
      <c r="P1" s="2035"/>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32206.89000000029</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73" t="s">
        <v>2297</v>
      </c>
      <c r="D4" s="3474"/>
      <c r="E4" s="3475" t="s">
        <v>2298</v>
      </c>
      <c r="F4" s="3476"/>
      <c r="G4" s="3473" t="s">
        <v>2299</v>
      </c>
      <c r="H4" s="3474"/>
      <c r="I4" s="3473" t="s">
        <v>2300</v>
      </c>
      <c r="J4" s="3474"/>
      <c r="K4" s="2044" t="s">
        <v>2301</v>
      </c>
      <c r="L4" s="2913"/>
      <c r="M4" s="2914"/>
      <c r="N4" s="2914"/>
      <c r="O4" s="2914"/>
      <c r="P4" s="3477" t="s">
        <v>2302</v>
      </c>
      <c r="Q4" s="3478"/>
      <c r="R4" s="3460" t="s">
        <v>2298</v>
      </c>
      <c r="S4" s="3461"/>
      <c r="T4" s="3460" t="s">
        <v>2299</v>
      </c>
      <c r="U4" s="3461"/>
      <c r="V4" s="3485" t="s">
        <v>2300</v>
      </c>
      <c r="W4" s="3485"/>
      <c r="X4" s="1509"/>
      <c r="Y4" s="3460" t="s">
        <v>2302</v>
      </c>
      <c r="Z4" s="3461"/>
      <c r="AA4" s="3455" t="s">
        <v>2298</v>
      </c>
      <c r="AB4" s="3455" t="s">
        <v>2299</v>
      </c>
      <c r="AC4" s="3455" t="s">
        <v>2300</v>
      </c>
    </row>
    <row r="5" spans="1:29" ht="15">
      <c r="A5" s="364"/>
      <c r="B5" s="365"/>
      <c r="C5" s="3466" t="s">
        <v>2303</v>
      </c>
      <c r="D5" s="3467"/>
      <c r="E5" s="3464" t="s">
        <v>2304</v>
      </c>
      <c r="F5" s="3465"/>
      <c r="G5" s="3466" t="s">
        <v>2305</v>
      </c>
      <c r="H5" s="3467"/>
      <c r="I5" s="3466" t="s">
        <v>2306</v>
      </c>
      <c r="J5" s="3467"/>
      <c r="K5" s="2045"/>
      <c r="L5" s="2913"/>
      <c r="M5" s="2914"/>
      <c r="N5" s="2914"/>
      <c r="O5" s="2914"/>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2045" t="s">
        <v>2308</v>
      </c>
      <c r="L6" s="2913"/>
      <c r="M6" s="2914"/>
      <c r="N6" s="2914"/>
      <c r="O6" s="2914"/>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58" t="s">
        <v>2310</v>
      </c>
      <c r="Q7" s="3486"/>
      <c r="R7" s="710" t="s">
        <v>23</v>
      </c>
      <c r="S7" s="711">
        <f t="shared" ref="S7:S15" si="0">F7</f>
        <v>0</v>
      </c>
      <c r="T7" s="710" t="s">
        <v>23</v>
      </c>
      <c r="U7" s="711">
        <f t="shared" ref="U7:U15" si="1">H7</f>
        <v>0</v>
      </c>
      <c r="V7" s="710" t="s">
        <v>23</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58" t="s">
        <v>2313</v>
      </c>
      <c r="Q8" s="3459"/>
      <c r="R8" s="710" t="s">
        <v>23</v>
      </c>
      <c r="S8" s="711">
        <f t="shared" si="0"/>
        <v>0</v>
      </c>
      <c r="T8" s="710" t="s">
        <v>23</v>
      </c>
      <c r="U8" s="711">
        <f t="shared" si="1"/>
        <v>0</v>
      </c>
      <c r="V8" s="710" t="s">
        <v>23</v>
      </c>
      <c r="W8" s="711">
        <f t="shared" si="2"/>
        <v>0</v>
      </c>
      <c r="X8" s="712"/>
      <c r="Y8" s="3458" t="s">
        <v>2313</v>
      </c>
      <c r="Z8" s="345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21" t="s">
        <v>2316</v>
      </c>
      <c r="Q9" s="1497"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21"/>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21"/>
      <c r="Q11" s="1497" t="str">
        <f t="shared" si="6"/>
        <v>容积率</v>
      </c>
      <c r="R11" s="710" t="s">
        <v>21</v>
      </c>
      <c r="S11" s="711" t="e">
        <f t="shared" si="0"/>
        <v>#N/A</v>
      </c>
      <c r="T11" s="710" t="s">
        <v>21</v>
      </c>
      <c r="U11" s="711" t="e">
        <f t="shared" si="1"/>
        <v>#N/A</v>
      </c>
      <c r="V11" s="710" t="s">
        <v>21</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21"/>
      <c r="Q12" s="1497">
        <f t="shared" si="6"/>
        <v>111</v>
      </c>
      <c r="R12" s="710" t="s">
        <v>21</v>
      </c>
      <c r="S12" s="711">
        <f t="shared" si="0"/>
        <v>100</v>
      </c>
      <c r="T12" s="710" t="s">
        <v>21</v>
      </c>
      <c r="U12" s="711">
        <f t="shared" si="1"/>
        <v>100</v>
      </c>
      <c r="V12" s="710" t="s">
        <v>21</v>
      </c>
      <c r="W12" s="711">
        <f t="shared" si="2"/>
        <v>100</v>
      </c>
      <c r="X12" s="712"/>
      <c r="Y12" s="3428"/>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21"/>
      <c r="Q13" s="1497">
        <f t="shared" si="6"/>
        <v>111</v>
      </c>
      <c r="R13" s="710" t="s">
        <v>21</v>
      </c>
      <c r="S13" s="711">
        <f t="shared" si="0"/>
        <v>100</v>
      </c>
      <c r="T13" s="710" t="s">
        <v>21</v>
      </c>
      <c r="U13" s="711">
        <f t="shared" si="1"/>
        <v>100</v>
      </c>
      <c r="V13" s="710" t="s">
        <v>21</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21"/>
      <c r="Q14" s="1497">
        <f t="shared" si="6"/>
        <v>111</v>
      </c>
      <c r="R14" s="710" t="s">
        <v>21</v>
      </c>
      <c r="S14" s="711">
        <f t="shared" si="0"/>
        <v>100</v>
      </c>
      <c r="T14" s="710" t="s">
        <v>21</v>
      </c>
      <c r="U14" s="711">
        <f t="shared" si="1"/>
        <v>100</v>
      </c>
      <c r="V14" s="710" t="s">
        <v>21</v>
      </c>
      <c r="W14" s="711">
        <f t="shared" si="2"/>
        <v>100</v>
      </c>
      <c r="X14" s="712"/>
      <c r="Y14" s="3428"/>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27" t="s">
        <v>2321</v>
      </c>
      <c r="Q15" s="1506" t="str">
        <f t="shared" si="6"/>
        <v>居住社区成熟度</v>
      </c>
      <c r="R15" s="714" t="s">
        <v>21</v>
      </c>
      <c r="S15" s="715">
        <f t="shared" si="0"/>
        <v>100</v>
      </c>
      <c r="T15" s="714" t="s">
        <v>21</v>
      </c>
      <c r="U15" s="715">
        <f t="shared" si="1"/>
        <v>100</v>
      </c>
      <c r="V15" s="714" t="s">
        <v>21</v>
      </c>
      <c r="W15" s="715">
        <f t="shared" si="2"/>
        <v>100</v>
      </c>
      <c r="X15" s="1509"/>
      <c r="Y15" s="3487" t="s">
        <v>2321</v>
      </c>
      <c r="Z15" s="1510" t="str">
        <f t="shared" si="7"/>
        <v>居住社区成熟度</v>
      </c>
      <c r="AA15" s="1507">
        <f t="shared" si="3"/>
        <v>1</v>
      </c>
      <c r="AB15" s="1507">
        <f t="shared" si="4"/>
        <v>1</v>
      </c>
      <c r="AC15" s="1507">
        <f t="shared" si="5"/>
        <v>1</v>
      </c>
    </row>
    <row r="16" spans="1:29" ht="15">
      <c r="A16" s="387"/>
      <c r="B16" s="405"/>
      <c r="C16" s="406"/>
      <c r="D16" s="407"/>
      <c r="E16" s="2052"/>
      <c r="F16" s="407"/>
      <c r="G16" s="2053"/>
      <c r="H16" s="409"/>
      <c r="I16" s="2053"/>
      <c r="J16" s="407"/>
      <c r="K16" s="2054"/>
      <c r="L16" s="2920"/>
      <c r="M16" s="2914"/>
      <c r="N16" s="2914"/>
      <c r="O16" s="2914"/>
      <c r="P16" s="3528"/>
      <c r="Q16" s="1506"/>
      <c r="R16" s="714"/>
      <c r="S16" s="715"/>
      <c r="T16" s="714"/>
      <c r="U16" s="715"/>
      <c r="V16" s="714"/>
      <c r="W16" s="715"/>
      <c r="X16" s="1509"/>
      <c r="Y16" s="3488"/>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28"/>
      <c r="Q17" s="1506" t="str">
        <f>B17</f>
        <v>交通便捷度</v>
      </c>
      <c r="R17" s="714" t="s">
        <v>21</v>
      </c>
      <c r="S17" s="715">
        <f>F17</f>
        <v>100</v>
      </c>
      <c r="T17" s="714" t="s">
        <v>21</v>
      </c>
      <c r="U17" s="715">
        <f>H17</f>
        <v>100</v>
      </c>
      <c r="V17" s="714" t="s">
        <v>21</v>
      </c>
      <c r="W17" s="715">
        <f>J17</f>
        <v>100</v>
      </c>
      <c r="X17" s="1509"/>
      <c r="Y17" s="3488"/>
      <c r="Z17" s="1510" t="str">
        <f>Q17</f>
        <v>交通便捷度</v>
      </c>
      <c r="AA17" s="1507">
        <f t="shared" si="3"/>
        <v>1</v>
      </c>
      <c r="AB17" s="1507">
        <f t="shared" si="4"/>
        <v>1</v>
      </c>
      <c r="AC17" s="1507">
        <f t="shared" si="5"/>
        <v>1</v>
      </c>
    </row>
    <row r="18" spans="1:29" ht="15">
      <c r="A18" s="387"/>
      <c r="B18" s="415"/>
      <c r="C18" s="2056"/>
      <c r="D18" s="409"/>
      <c r="E18" s="2057"/>
      <c r="F18" s="409"/>
      <c r="G18" s="2058"/>
      <c r="H18" s="407"/>
      <c r="I18" s="2058"/>
      <c r="J18" s="407"/>
      <c r="K18" s="2054"/>
      <c r="L18" s="2920"/>
      <c r="M18" s="2914"/>
      <c r="N18" s="2914"/>
      <c r="O18" s="2914"/>
      <c r="P18" s="3528"/>
      <c r="Q18" s="1506"/>
      <c r="R18" s="714"/>
      <c r="S18" s="715"/>
      <c r="T18" s="714"/>
      <c r="U18" s="715"/>
      <c r="V18" s="714"/>
      <c r="W18" s="715"/>
      <c r="X18" s="1509"/>
      <c r="Y18" s="3488"/>
      <c r="Z18" s="1510"/>
      <c r="AA18" s="1507">
        <v>1</v>
      </c>
      <c r="AB18" s="1507">
        <v>1</v>
      </c>
      <c r="AC18" s="1507">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28"/>
      <c r="Q19" s="1506" t="str">
        <f>B19</f>
        <v>公共配套设施</v>
      </c>
      <c r="R19" s="714" t="s">
        <v>21</v>
      </c>
      <c r="S19" s="715">
        <f>F19</f>
        <v>100</v>
      </c>
      <c r="T19" s="714" t="s">
        <v>21</v>
      </c>
      <c r="U19" s="715">
        <f>H19</f>
        <v>100</v>
      </c>
      <c r="V19" s="714" t="s">
        <v>21</v>
      </c>
      <c r="W19" s="715">
        <f>J19</f>
        <v>100</v>
      </c>
      <c r="X19" s="1509"/>
      <c r="Y19" s="3488"/>
      <c r="Z19" s="1510" t="str">
        <f>Q19</f>
        <v>公共配套设施</v>
      </c>
      <c r="AA19" s="1507">
        <f t="shared" si="3"/>
        <v>1</v>
      </c>
      <c r="AB19" s="1507">
        <f t="shared" si="4"/>
        <v>1</v>
      </c>
      <c r="AC19" s="1507">
        <f t="shared" si="5"/>
        <v>1</v>
      </c>
    </row>
    <row r="20" spans="1:29" ht="15">
      <c r="A20" s="387"/>
      <c r="B20" s="415"/>
      <c r="C20" s="406"/>
      <c r="D20" s="407"/>
      <c r="E20" s="2052"/>
      <c r="F20" s="407"/>
      <c r="G20" s="2053"/>
      <c r="H20" s="407"/>
      <c r="I20" s="2053"/>
      <c r="J20" s="407"/>
      <c r="K20" s="2054"/>
      <c r="L20" s="2920"/>
      <c r="M20" s="2914"/>
      <c r="N20" s="2914"/>
      <c r="O20" s="2914"/>
      <c r="P20" s="3528"/>
      <c r="Q20" s="1506"/>
      <c r="R20" s="714"/>
      <c r="S20" s="715"/>
      <c r="T20" s="714"/>
      <c r="U20" s="715"/>
      <c r="V20" s="714"/>
      <c r="W20" s="715"/>
      <c r="X20" s="1509"/>
      <c r="Y20" s="3488"/>
      <c r="Z20" s="1510"/>
      <c r="AA20" s="1507">
        <v>1</v>
      </c>
      <c r="AB20" s="1507">
        <v>1</v>
      </c>
      <c r="AC20" s="1507">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28"/>
      <c r="Q21" s="1506" t="str">
        <f>B21</f>
        <v>基础设施水平</v>
      </c>
      <c r="R21" s="714" t="s">
        <v>17</v>
      </c>
      <c r="S21" s="715">
        <f>F21</f>
        <v>100</v>
      </c>
      <c r="T21" s="714" t="s">
        <v>17</v>
      </c>
      <c r="U21" s="715">
        <f>H21</f>
        <v>100</v>
      </c>
      <c r="V21" s="714" t="s">
        <v>17</v>
      </c>
      <c r="W21" s="715">
        <f>J21</f>
        <v>100</v>
      </c>
      <c r="X21" s="1509"/>
      <c r="Y21" s="3488"/>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7"/>
      <c r="G22" s="2059"/>
      <c r="H22" s="407"/>
      <c r="I22" s="406"/>
      <c r="J22" s="407"/>
      <c r="K22" s="2060"/>
      <c r="L22" s="2920"/>
      <c r="M22" s="2914"/>
      <c r="N22" s="2914"/>
      <c r="O22" s="2914"/>
      <c r="P22" s="3528"/>
      <c r="Q22" s="1506"/>
      <c r="R22" s="714"/>
      <c r="S22" s="715"/>
      <c r="T22" s="714"/>
      <c r="U22" s="715"/>
      <c r="V22" s="714"/>
      <c r="W22" s="715"/>
      <c r="X22" s="1509"/>
      <c r="Y22" s="3488"/>
      <c r="Z22" s="1510"/>
      <c r="AA22" s="1507">
        <v>1</v>
      </c>
      <c r="AB22" s="1507">
        <v>1</v>
      </c>
      <c r="AC22" s="1507">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28"/>
      <c r="Q23" s="1506" t="str">
        <f>B23</f>
        <v>自然及人文环境</v>
      </c>
      <c r="R23" s="714" t="s">
        <v>21</v>
      </c>
      <c r="S23" s="715">
        <f>F23</f>
        <v>100</v>
      </c>
      <c r="T23" s="714" t="s">
        <v>21</v>
      </c>
      <c r="U23" s="715">
        <f>H23</f>
        <v>100</v>
      </c>
      <c r="V23" s="714" t="s">
        <v>21</v>
      </c>
      <c r="W23" s="715">
        <f>J23</f>
        <v>100</v>
      </c>
      <c r="X23" s="1509"/>
      <c r="Y23" s="3488"/>
      <c r="Z23" s="1510" t="str">
        <f>Q23</f>
        <v>自然及人文环境</v>
      </c>
      <c r="AA23" s="1507">
        <f>D23/F23</f>
        <v>1</v>
      </c>
      <c r="AB23" s="1507">
        <f>D23/H23</f>
        <v>1</v>
      </c>
      <c r="AC23" s="1507">
        <f>D23/J23</f>
        <v>1</v>
      </c>
    </row>
    <row r="24" spans="1:29" ht="15">
      <c r="A24" s="387"/>
      <c r="B24" s="415"/>
      <c r="C24" s="406"/>
      <c r="D24" s="407"/>
      <c r="E24" s="2052"/>
      <c r="F24" s="407"/>
      <c r="G24" s="2053"/>
      <c r="H24" s="407"/>
      <c r="I24" s="2053"/>
      <c r="J24" s="407"/>
      <c r="K24" s="2054"/>
      <c r="L24" s="2920"/>
      <c r="M24" s="2914"/>
      <c r="N24" s="2914"/>
      <c r="O24" s="2914"/>
      <c r="P24" s="3528"/>
      <c r="Q24" s="1506"/>
      <c r="R24" s="714"/>
      <c r="S24" s="715"/>
      <c r="T24" s="714"/>
      <c r="U24" s="715"/>
      <c r="V24" s="714"/>
      <c r="W24" s="715"/>
      <c r="X24" s="1509"/>
      <c r="Y24" s="3488"/>
      <c r="Z24" s="1510"/>
      <c r="AA24" s="1507">
        <v>1</v>
      </c>
      <c r="AB24" s="1507">
        <v>1</v>
      </c>
      <c r="AC24" s="1507">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2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8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28"/>
      <c r="Q26" s="1506" t="str">
        <f t="shared" si="11"/>
        <v>朝向</v>
      </c>
      <c r="R26" s="714" t="s">
        <v>21</v>
      </c>
      <c r="S26" s="715">
        <f t="shared" si="12"/>
        <v>100</v>
      </c>
      <c r="T26" s="714" t="s">
        <v>21</v>
      </c>
      <c r="U26" s="715">
        <f t="shared" si="13"/>
        <v>100</v>
      </c>
      <c r="V26" s="714" t="s">
        <v>21</v>
      </c>
      <c r="W26" s="715">
        <f t="shared" si="14"/>
        <v>100</v>
      </c>
      <c r="X26" s="1509"/>
      <c r="Y26" s="348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28"/>
      <c r="Q27" s="1497">
        <f t="shared" si="11"/>
        <v>111</v>
      </c>
      <c r="R27" s="710" t="s">
        <v>21</v>
      </c>
      <c r="S27" s="711">
        <f t="shared" si="12"/>
        <v>100</v>
      </c>
      <c r="T27" s="710" t="s">
        <v>21</v>
      </c>
      <c r="U27" s="711">
        <f t="shared" si="13"/>
        <v>100</v>
      </c>
      <c r="V27" s="710" t="s">
        <v>21</v>
      </c>
      <c r="W27" s="711">
        <f t="shared" si="14"/>
        <v>100</v>
      </c>
      <c r="X27" s="712"/>
      <c r="Y27" s="348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28"/>
      <c r="Q28" s="1506">
        <f t="shared" si="11"/>
        <v>111</v>
      </c>
      <c r="R28" s="714" t="s">
        <v>21</v>
      </c>
      <c r="S28" s="715">
        <f t="shared" si="12"/>
        <v>100</v>
      </c>
      <c r="T28" s="714" t="s">
        <v>21</v>
      </c>
      <c r="U28" s="715">
        <f t="shared" si="13"/>
        <v>100</v>
      </c>
      <c r="V28" s="714" t="s">
        <v>21</v>
      </c>
      <c r="W28" s="715">
        <f t="shared" si="14"/>
        <v>100</v>
      </c>
      <c r="X28" s="1509"/>
      <c r="Y28" s="348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28"/>
      <c r="Q29" s="1506">
        <f t="shared" si="11"/>
        <v>111</v>
      </c>
      <c r="R29" s="714" t="s">
        <v>21</v>
      </c>
      <c r="S29" s="715">
        <f t="shared" si="12"/>
        <v>100</v>
      </c>
      <c r="T29" s="714" t="s">
        <v>21</v>
      </c>
      <c r="U29" s="715">
        <f t="shared" si="13"/>
        <v>100</v>
      </c>
      <c r="V29" s="714" t="s">
        <v>21</v>
      </c>
      <c r="W29" s="715">
        <f t="shared" si="14"/>
        <v>100</v>
      </c>
      <c r="X29" s="1509"/>
      <c r="Y29" s="348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28"/>
      <c r="Q30" s="1506">
        <f t="shared" si="11"/>
        <v>111</v>
      </c>
      <c r="R30" s="714" t="s">
        <v>21</v>
      </c>
      <c r="S30" s="715">
        <f t="shared" si="12"/>
        <v>100</v>
      </c>
      <c r="T30" s="714" t="s">
        <v>21</v>
      </c>
      <c r="U30" s="715">
        <f t="shared" si="13"/>
        <v>100</v>
      </c>
      <c r="V30" s="714" t="s">
        <v>21</v>
      </c>
      <c r="W30" s="715">
        <f t="shared" si="14"/>
        <v>100</v>
      </c>
      <c r="X30" s="1509"/>
      <c r="Y30" s="348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28"/>
      <c r="Q31" s="1506">
        <f t="shared" si="11"/>
        <v>111</v>
      </c>
      <c r="R31" s="714" t="s">
        <v>21</v>
      </c>
      <c r="S31" s="715">
        <f t="shared" si="12"/>
        <v>100</v>
      </c>
      <c r="T31" s="714" t="s">
        <v>21</v>
      </c>
      <c r="U31" s="715">
        <f t="shared" si="13"/>
        <v>100</v>
      </c>
      <c r="V31" s="714" t="s">
        <v>21</v>
      </c>
      <c r="W31" s="715">
        <f t="shared" si="14"/>
        <v>100</v>
      </c>
      <c r="X31" s="1509"/>
      <c r="Y31" s="3488"/>
      <c r="Z31" s="1510">
        <f t="shared" si="18"/>
        <v>111</v>
      </c>
      <c r="AA31" s="1507">
        <f t="shared" si="15"/>
        <v>1</v>
      </c>
      <c r="AB31" s="1507">
        <f t="shared" si="16"/>
        <v>1</v>
      </c>
      <c r="AC31" s="1507">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23" t="s">
        <v>2326</v>
      </c>
      <c r="Q32" s="1506" t="str">
        <f t="shared" si="11"/>
        <v>建筑类型</v>
      </c>
      <c r="R32" s="714" t="s">
        <v>21</v>
      </c>
      <c r="S32" s="715">
        <f t="shared" si="12"/>
        <v>100</v>
      </c>
      <c r="T32" s="714" t="s">
        <v>21</v>
      </c>
      <c r="U32" s="715">
        <f t="shared" si="13"/>
        <v>100</v>
      </c>
      <c r="V32" s="714" t="s">
        <v>21</v>
      </c>
      <c r="W32" s="715">
        <f t="shared" si="14"/>
        <v>100</v>
      </c>
      <c r="X32" s="1509"/>
      <c r="Y32" s="3490"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24"/>
      <c r="Q33" s="716" t="str">
        <f t="shared" si="11"/>
        <v>项目建筑规模</v>
      </c>
      <c r="R33" s="717" t="s">
        <v>21</v>
      </c>
      <c r="S33" s="718" t="e">
        <f t="shared" si="12"/>
        <v>#N/A</v>
      </c>
      <c r="T33" s="717" t="s">
        <v>21</v>
      </c>
      <c r="U33" s="718" t="e">
        <f t="shared" si="13"/>
        <v>#N/A</v>
      </c>
      <c r="V33" s="717" t="s">
        <v>21</v>
      </c>
      <c r="W33" s="718" t="e">
        <f t="shared" si="14"/>
        <v>#N/A</v>
      </c>
      <c r="X33" s="719"/>
      <c r="Y33" s="3490"/>
      <c r="Z33" s="720" t="str">
        <f t="shared" si="18"/>
        <v>项目建筑规模</v>
      </c>
      <c r="AA33" s="1507" t="e">
        <f t="shared" si="15"/>
        <v>#N/A</v>
      </c>
      <c r="AB33" s="1507" t="e">
        <f t="shared" si="16"/>
        <v>#N/A</v>
      </c>
      <c r="AC33" s="1507"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24"/>
      <c r="Q34" s="1506" t="str">
        <f t="shared" si="11"/>
        <v>建筑结构</v>
      </c>
      <c r="R34" s="714" t="s">
        <v>21</v>
      </c>
      <c r="S34" s="715">
        <f t="shared" si="12"/>
        <v>100</v>
      </c>
      <c r="T34" s="714" t="s">
        <v>21</v>
      </c>
      <c r="U34" s="715">
        <f t="shared" si="13"/>
        <v>100</v>
      </c>
      <c r="V34" s="714" t="s">
        <v>21</v>
      </c>
      <c r="W34" s="715">
        <f t="shared" si="14"/>
        <v>100</v>
      </c>
      <c r="X34" s="1509"/>
      <c r="Y34" s="3490"/>
      <c r="Z34" s="1510" t="str">
        <f t="shared" si="18"/>
        <v>建筑结构</v>
      </c>
      <c r="AA34" s="1507">
        <f t="shared" si="15"/>
        <v>1</v>
      </c>
      <c r="AB34" s="1507">
        <f t="shared" si="16"/>
        <v>1</v>
      </c>
      <c r="AC34" s="1507">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24"/>
      <c r="Q35" s="1506" t="str">
        <f t="shared" si="11"/>
        <v>建筑品质</v>
      </c>
      <c r="R35" s="714" t="s">
        <v>21</v>
      </c>
      <c r="S35" s="715">
        <f t="shared" si="12"/>
        <v>100</v>
      </c>
      <c r="T35" s="714" t="s">
        <v>21</v>
      </c>
      <c r="U35" s="715">
        <f t="shared" si="13"/>
        <v>100</v>
      </c>
      <c r="V35" s="714" t="s">
        <v>21</v>
      </c>
      <c r="W35" s="715">
        <f t="shared" si="14"/>
        <v>100</v>
      </c>
      <c r="X35" s="1509"/>
      <c r="Y35" s="3490"/>
      <c r="Z35" s="1510" t="str">
        <f t="shared" si="18"/>
        <v>建筑品质</v>
      </c>
      <c r="AA35" s="1507">
        <f t="shared" si="15"/>
        <v>1</v>
      </c>
      <c r="AB35" s="1507">
        <f t="shared" si="16"/>
        <v>1</v>
      </c>
      <c r="AC35" s="1507">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24"/>
      <c r="Q36" s="1506" t="str">
        <f t="shared" si="11"/>
        <v>公共部分装修</v>
      </c>
      <c r="R36" s="714" t="s">
        <v>21</v>
      </c>
      <c r="S36" s="715">
        <f t="shared" si="12"/>
        <v>100</v>
      </c>
      <c r="T36" s="714" t="s">
        <v>21</v>
      </c>
      <c r="U36" s="715">
        <f t="shared" si="13"/>
        <v>100</v>
      </c>
      <c r="V36" s="714" t="s">
        <v>21</v>
      </c>
      <c r="W36" s="715">
        <f t="shared" si="14"/>
        <v>100</v>
      </c>
      <c r="X36" s="1509"/>
      <c r="Y36" s="3490"/>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24"/>
      <c r="Q37" s="1497" t="str">
        <f t="shared" si="11"/>
        <v>成新度</v>
      </c>
      <c r="R37" s="710" t="s">
        <v>21</v>
      </c>
      <c r="S37" s="711" t="e">
        <f t="shared" si="12"/>
        <v>#N/A</v>
      </c>
      <c r="T37" s="710" t="s">
        <v>21</v>
      </c>
      <c r="U37" s="711" t="e">
        <f t="shared" si="13"/>
        <v>#N/A</v>
      </c>
      <c r="V37" s="710" t="s">
        <v>21</v>
      </c>
      <c r="W37" s="711" t="e">
        <f t="shared" si="14"/>
        <v>#N/A</v>
      </c>
      <c r="X37" s="712"/>
      <c r="Y37" s="3490"/>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24" t="s">
        <v>2326</v>
      </c>
      <c r="Q38" s="1506" t="str">
        <f t="shared" si="11"/>
        <v>物业管理</v>
      </c>
      <c r="R38" s="714" t="s">
        <v>21</v>
      </c>
      <c r="S38" s="715">
        <f t="shared" si="12"/>
        <v>100</v>
      </c>
      <c r="T38" s="714" t="s">
        <v>21</v>
      </c>
      <c r="U38" s="715">
        <f t="shared" si="13"/>
        <v>100</v>
      </c>
      <c r="V38" s="714" t="s">
        <v>21</v>
      </c>
      <c r="W38" s="715">
        <f t="shared" si="14"/>
        <v>100</v>
      </c>
      <c r="X38" s="1509"/>
      <c r="Y38" s="3490" t="s">
        <v>2326</v>
      </c>
      <c r="Z38" s="1510" t="str">
        <f t="shared" si="18"/>
        <v>物业管理</v>
      </c>
      <c r="AA38" s="1507">
        <f t="shared" si="15"/>
        <v>1</v>
      </c>
      <c r="AB38" s="1507">
        <f t="shared" si="16"/>
        <v>1</v>
      </c>
      <c r="AC38" s="1507">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24"/>
      <c r="Q39" s="1506" t="str">
        <f t="shared" si="11"/>
        <v>市政基础设施</v>
      </c>
      <c r="R39" s="714" t="s">
        <v>21</v>
      </c>
      <c r="S39" s="715">
        <f t="shared" si="12"/>
        <v>100</v>
      </c>
      <c r="T39" s="714" t="s">
        <v>21</v>
      </c>
      <c r="U39" s="715">
        <f t="shared" si="13"/>
        <v>100</v>
      </c>
      <c r="V39" s="714" t="s">
        <v>21</v>
      </c>
      <c r="W39" s="715">
        <f t="shared" si="14"/>
        <v>100</v>
      </c>
      <c r="X39" s="1509"/>
      <c r="Y39" s="3490"/>
      <c r="Z39" s="1510" t="str">
        <f t="shared" si="18"/>
        <v>市政基础设施</v>
      </c>
      <c r="AA39" s="1507">
        <f t="shared" si="15"/>
        <v>1</v>
      </c>
      <c r="AB39" s="1507">
        <f t="shared" si="16"/>
        <v>1</v>
      </c>
      <c r="AC39" s="1507">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24"/>
      <c r="Q40" s="1506" t="str">
        <f t="shared" si="11"/>
        <v>房型</v>
      </c>
      <c r="R40" s="714" t="s">
        <v>21</v>
      </c>
      <c r="S40" s="715">
        <f t="shared" si="12"/>
        <v>100</v>
      </c>
      <c r="T40" s="714" t="s">
        <v>21</v>
      </c>
      <c r="U40" s="715">
        <f t="shared" si="13"/>
        <v>100</v>
      </c>
      <c r="V40" s="714" t="s">
        <v>21</v>
      </c>
      <c r="W40" s="715">
        <f t="shared" si="14"/>
        <v>100</v>
      </c>
      <c r="X40" s="1509"/>
      <c r="Y40" s="3490"/>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24"/>
      <c r="Q41" s="716" t="str">
        <f t="shared" si="11"/>
        <v>单套/主力户型建筑面积</v>
      </c>
      <c r="R41" s="717" t="s">
        <v>21</v>
      </c>
      <c r="S41" s="718">
        <f t="shared" si="12"/>
        <v>100</v>
      </c>
      <c r="T41" s="717" t="s">
        <v>21</v>
      </c>
      <c r="U41" s="718">
        <f t="shared" si="13"/>
        <v>100</v>
      </c>
      <c r="V41" s="717" t="s">
        <v>21</v>
      </c>
      <c r="W41" s="718">
        <f t="shared" si="14"/>
        <v>100</v>
      </c>
      <c r="X41" s="719"/>
      <c r="Y41" s="3490"/>
      <c r="Z41" s="720" t="str">
        <f t="shared" si="18"/>
        <v>单套/主力户型建筑面积</v>
      </c>
      <c r="AA41" s="1507">
        <f t="shared" si="15"/>
        <v>1</v>
      </c>
      <c r="AB41" s="1507">
        <f t="shared" si="16"/>
        <v>1</v>
      </c>
      <c r="AC41" s="1507">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24"/>
      <c r="Q42" s="1506" t="str">
        <f t="shared" si="11"/>
        <v>内部装修</v>
      </c>
      <c r="R42" s="714" t="s">
        <v>21</v>
      </c>
      <c r="S42" s="715">
        <f t="shared" si="12"/>
        <v>100</v>
      </c>
      <c r="T42" s="714" t="s">
        <v>21</v>
      </c>
      <c r="U42" s="715">
        <f t="shared" si="13"/>
        <v>100</v>
      </c>
      <c r="V42" s="714" t="s">
        <v>21</v>
      </c>
      <c r="W42" s="715">
        <f t="shared" si="14"/>
        <v>100</v>
      </c>
      <c r="X42" s="1509"/>
      <c r="Y42" s="3490"/>
      <c r="Z42" s="1510" t="str">
        <f t="shared" si="18"/>
        <v>内部装修</v>
      </c>
      <c r="AA42" s="1507">
        <f t="shared" si="15"/>
        <v>1</v>
      </c>
      <c r="AB42" s="1507">
        <f t="shared" si="16"/>
        <v>1</v>
      </c>
      <c r="AC42" s="1507">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24"/>
      <c r="Q43" s="1506" t="str">
        <f t="shared" si="11"/>
        <v>内部装修维护情况</v>
      </c>
      <c r="R43" s="714" t="s">
        <v>21</v>
      </c>
      <c r="S43" s="715">
        <f t="shared" si="12"/>
        <v>100</v>
      </c>
      <c r="T43" s="714" t="s">
        <v>21</v>
      </c>
      <c r="U43" s="715">
        <f t="shared" si="13"/>
        <v>100</v>
      </c>
      <c r="V43" s="714" t="s">
        <v>21</v>
      </c>
      <c r="W43" s="715">
        <f t="shared" si="14"/>
        <v>100</v>
      </c>
      <c r="X43" s="1509"/>
      <c r="Y43" s="349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24"/>
      <c r="Q44" s="1497">
        <f t="shared" si="11"/>
        <v>111</v>
      </c>
      <c r="R44" s="710" t="s">
        <v>21</v>
      </c>
      <c r="S44" s="711">
        <f t="shared" si="12"/>
        <v>100</v>
      </c>
      <c r="T44" s="710" t="s">
        <v>21</v>
      </c>
      <c r="U44" s="711">
        <f t="shared" si="13"/>
        <v>100</v>
      </c>
      <c r="V44" s="710" t="s">
        <v>21</v>
      </c>
      <c r="W44" s="711">
        <f t="shared" si="14"/>
        <v>100</v>
      </c>
      <c r="X44" s="712"/>
      <c r="Y44" s="349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24"/>
      <c r="Q45" s="1506">
        <f t="shared" si="11"/>
        <v>111</v>
      </c>
      <c r="R45" s="714" t="s">
        <v>21</v>
      </c>
      <c r="S45" s="715">
        <f t="shared" si="12"/>
        <v>100</v>
      </c>
      <c r="T45" s="714" t="s">
        <v>21</v>
      </c>
      <c r="U45" s="715">
        <f t="shared" si="13"/>
        <v>100</v>
      </c>
      <c r="V45" s="714" t="s">
        <v>21</v>
      </c>
      <c r="W45" s="715">
        <f t="shared" si="14"/>
        <v>100</v>
      </c>
      <c r="X45" s="1509"/>
      <c r="Y45" s="3490"/>
      <c r="Z45" s="1510">
        <f t="shared" si="18"/>
        <v>111</v>
      </c>
      <c r="AA45" s="1507">
        <f t="shared" si="15"/>
        <v>1</v>
      </c>
      <c r="AB45" s="1507">
        <f t="shared" si="16"/>
        <v>1</v>
      </c>
      <c r="AC45" s="1507">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25"/>
      <c r="Q46" s="1506">
        <f t="shared" si="11"/>
        <v>111</v>
      </c>
      <c r="R46" s="714" t="s">
        <v>20</v>
      </c>
      <c r="S46" s="715">
        <f t="shared" si="12"/>
        <v>100</v>
      </c>
      <c r="T46" s="714" t="s">
        <v>20</v>
      </c>
      <c r="U46" s="715">
        <f t="shared" si="13"/>
        <v>100</v>
      </c>
      <c r="V46" s="714" t="s">
        <v>20</v>
      </c>
      <c r="W46" s="715">
        <f t="shared" si="14"/>
        <v>100</v>
      </c>
      <c r="X46" s="1509"/>
      <c r="Y46" s="3526"/>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69"/>
      <c r="L47" s="2922"/>
      <c r="M47" s="2923"/>
      <c r="N47" s="2914"/>
      <c r="O47" s="2923"/>
      <c r="P47" s="3472" t="str">
        <f>A47</f>
        <v>成交单价（元/平方米）</v>
      </c>
      <c r="Q47" s="3472"/>
      <c r="R47" s="3491">
        <f>E47</f>
        <v>0</v>
      </c>
      <c r="S47" s="3491"/>
      <c r="T47" s="3491">
        <f>G47</f>
        <v>0</v>
      </c>
      <c r="U47" s="3491"/>
      <c r="V47" s="3491">
        <f>I47</f>
        <v>0</v>
      </c>
      <c r="W47" s="3491"/>
      <c r="X47" s="699"/>
      <c r="Y47" s="721"/>
      <c r="Z47" s="699"/>
      <c r="AA47" s="699"/>
      <c r="AB47" s="699"/>
      <c r="AC47" s="699"/>
    </row>
    <row r="48" spans="1:29" ht="15.75" thickBot="1">
      <c r="A48" s="445" t="s">
        <v>2339</v>
      </c>
      <c r="B48" s="446"/>
      <c r="C48" s="1294" t="e">
        <f>R49</f>
        <v>#DIV/0!</v>
      </c>
      <c r="D48" s="2507" t="s">
        <v>2817</v>
      </c>
      <c r="E48" s="1295" t="e">
        <f>R48</f>
        <v>#DIV/0!</v>
      </c>
      <c r="F48" s="2508"/>
      <c r="G48" s="1294" t="e">
        <f>T48</f>
        <v>#DIV/0!</v>
      </c>
      <c r="H48" s="2508"/>
      <c r="I48" s="1295" t="e">
        <f>V48</f>
        <v>#DIV/0!</v>
      </c>
      <c r="J48" s="2508"/>
      <c r="K48" s="2509">
        <f>F48+H48+J48</f>
        <v>0</v>
      </c>
      <c r="L48" s="2922"/>
      <c r="M48" s="2923"/>
      <c r="N48" s="2923"/>
      <c r="O48" s="2923"/>
      <c r="P48" s="3472" t="str">
        <f>A48</f>
        <v>比较价值（元/平方米）</v>
      </c>
      <c r="Q48" s="34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92" t="str">
        <f>A49</f>
        <v>估价对象XX用房的比较价值（楼面单价，元/平方米）</v>
      </c>
      <c r="Q49" s="3493"/>
      <c r="R49" s="3522" t="e">
        <f>IF(F1="售价",ROUND(IF(D48="简单平均",AVERAGE(R48:V48),R48*F48+T48*H48+V48*J48),0),ROUND(IF(D48="简单平均",AVERAGE(R48:V48),R48*F48+T48*H48+V48*J48),1))</f>
        <v>#DIV/0!</v>
      </c>
      <c r="S49" s="3522"/>
      <c r="T49" s="3522"/>
      <c r="U49" s="3522"/>
      <c r="V49" s="3522"/>
      <c r="W49" s="3522"/>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20" t="str">
        <f>YEAR(C7)&amp;"-"&amp;MONTH(C7)</f>
        <v>2022-1</v>
      </c>
      <c r="D58" s="1319">
        <f>EDATE(C58,-1)</f>
        <v>44531</v>
      </c>
      <c r="E58" s="1319">
        <f>EDATE(D58,-1)</f>
        <v>44501</v>
      </c>
      <c r="F58" s="1319">
        <f t="shared" ref="F58:O58" si="19">EDATE(E58,-1)</f>
        <v>44470</v>
      </c>
      <c r="G58" s="1319">
        <f t="shared" si="19"/>
        <v>44440</v>
      </c>
      <c r="H58" s="1319">
        <f t="shared" si="19"/>
        <v>44409</v>
      </c>
      <c r="I58" s="1319">
        <f t="shared" si="19"/>
        <v>44378</v>
      </c>
      <c r="J58" s="1319">
        <f t="shared" si="19"/>
        <v>44348</v>
      </c>
      <c r="K58" s="1319">
        <f t="shared" si="19"/>
        <v>44317</v>
      </c>
      <c r="L58" s="1319">
        <f t="shared" si="19"/>
        <v>44287</v>
      </c>
      <c r="M58" s="1319">
        <f t="shared" si="19"/>
        <v>44256</v>
      </c>
      <c r="N58" s="1319">
        <f t="shared" si="19"/>
        <v>44228</v>
      </c>
      <c r="O58" s="1319">
        <f t="shared" si="19"/>
        <v>44197</v>
      </c>
      <c r="P58" s="1315"/>
    </row>
    <row r="59" spans="1:29" s="113" customFormat="1" ht="15">
      <c r="A59" s="466"/>
      <c r="B59" s="2074"/>
      <c r="C59" s="1317">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3" t="s">
        <v>2403</v>
      </c>
      <c r="C1" s="1378" t="s">
        <v>2291</v>
      </c>
      <c r="D1" s="1365"/>
      <c r="E1" s="2512"/>
      <c r="F1" s="2034"/>
      <c r="G1" s="1375" t="s">
        <v>2404</v>
      </c>
      <c r="H1" s="1374"/>
      <c r="I1" s="1374"/>
      <c r="J1" s="1374"/>
      <c r="K1" s="1376"/>
      <c r="L1" s="1377"/>
      <c r="M1" s="1378"/>
      <c r="N1" s="1378"/>
      <c r="O1" s="1378"/>
      <c r="P1" s="2104"/>
      <c r="Q1" s="2105"/>
      <c r="R1" s="2105"/>
      <c r="S1" s="2105"/>
      <c r="T1" s="2105"/>
      <c r="U1" s="2105"/>
      <c r="V1" s="2105"/>
      <c r="W1" s="2105"/>
      <c r="X1" s="2105"/>
      <c r="Y1" s="2105"/>
      <c r="Z1" s="2105"/>
      <c r="AA1" s="2105"/>
      <c r="AB1" s="2105"/>
      <c r="AC1" s="2106"/>
    </row>
    <row r="2" spans="1:29" s="358" customFormat="1" ht="28.5" customHeight="1" thickTop="1">
      <c r="A2" s="1361"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32206.89000000029</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73" t="s">
        <v>2407</v>
      </c>
      <c r="D4" s="3474"/>
      <c r="E4" s="3475" t="s">
        <v>2408</v>
      </c>
      <c r="F4" s="3476"/>
      <c r="G4" s="3473" t="s">
        <v>2409</v>
      </c>
      <c r="H4" s="3474"/>
      <c r="I4" s="3473" t="s">
        <v>2410</v>
      </c>
      <c r="J4" s="3474"/>
      <c r="K4" s="567" t="s">
        <v>2411</v>
      </c>
      <c r="L4" s="2913"/>
      <c r="M4" s="2914"/>
      <c r="N4" s="2914"/>
      <c r="O4" s="2914"/>
      <c r="P4" s="3477" t="s">
        <v>2412</v>
      </c>
      <c r="Q4" s="3478"/>
      <c r="R4" s="3460" t="s">
        <v>2408</v>
      </c>
      <c r="S4" s="3461"/>
      <c r="T4" s="3460" t="s">
        <v>2409</v>
      </c>
      <c r="U4" s="3461"/>
      <c r="V4" s="3485" t="s">
        <v>2410</v>
      </c>
      <c r="W4" s="3485"/>
      <c r="X4" s="1509"/>
      <c r="Y4" s="3460" t="s">
        <v>2412</v>
      </c>
      <c r="Z4" s="3461"/>
      <c r="AA4" s="3455" t="s">
        <v>2408</v>
      </c>
      <c r="AB4" s="3485" t="s">
        <v>2409</v>
      </c>
      <c r="AC4" s="3455" t="s">
        <v>2410</v>
      </c>
    </row>
    <row r="5" spans="1:29" ht="15">
      <c r="A5" s="364"/>
      <c r="B5" s="365"/>
      <c r="C5" s="3466" t="s">
        <v>2303</v>
      </c>
      <c r="D5" s="3467"/>
      <c r="E5" s="3464" t="s">
        <v>2304</v>
      </c>
      <c r="F5" s="3465"/>
      <c r="G5" s="3466" t="s">
        <v>2305</v>
      </c>
      <c r="H5" s="3467"/>
      <c r="I5" s="3466" t="s">
        <v>2306</v>
      </c>
      <c r="J5" s="3467"/>
      <c r="K5" s="567"/>
      <c r="L5" s="2913"/>
      <c r="M5" s="2914"/>
      <c r="N5" s="2914"/>
      <c r="O5" s="2914"/>
      <c r="P5" s="3479"/>
      <c r="Q5" s="3480"/>
      <c r="R5" s="3462"/>
      <c r="S5" s="3463"/>
      <c r="T5" s="3462"/>
      <c r="U5" s="3463"/>
      <c r="V5" s="3485"/>
      <c r="W5" s="3485"/>
      <c r="X5" s="1509"/>
      <c r="Y5" s="3462"/>
      <c r="Z5" s="3463"/>
      <c r="AA5" s="3456"/>
      <c r="AB5" s="3485"/>
      <c r="AC5" s="3456"/>
    </row>
    <row r="6" spans="1:29" ht="15.75" thickBot="1">
      <c r="A6" s="366"/>
      <c r="B6" s="367"/>
      <c r="C6" s="3468" t="s">
        <v>2307</v>
      </c>
      <c r="D6" s="3469"/>
      <c r="E6" s="3470" t="s">
        <v>2307</v>
      </c>
      <c r="F6" s="3471"/>
      <c r="G6" s="3468" t="s">
        <v>2307</v>
      </c>
      <c r="H6" s="3469"/>
      <c r="I6" s="3468" t="s">
        <v>2307</v>
      </c>
      <c r="J6" s="3469"/>
      <c r="K6" s="567" t="s">
        <v>2308</v>
      </c>
      <c r="L6" s="2913"/>
      <c r="M6" s="2914"/>
      <c r="N6" s="2914"/>
      <c r="O6" s="2914"/>
      <c r="P6" s="3481"/>
      <c r="Q6" s="3482"/>
      <c r="R6" s="3462"/>
      <c r="S6" s="3463"/>
      <c r="T6" s="3483"/>
      <c r="U6" s="3484"/>
      <c r="V6" s="3485"/>
      <c r="W6" s="3485"/>
      <c r="X6" s="1509"/>
      <c r="Y6" s="3483"/>
      <c r="Z6" s="3484"/>
      <c r="AA6" s="3457"/>
      <c r="AB6" s="3485"/>
      <c r="AC6" s="3457"/>
    </row>
    <row r="7" spans="1:29" s="113" customFormat="1" ht="15.75" thickBot="1">
      <c r="A7" s="368" t="s">
        <v>2309</v>
      </c>
      <c r="B7" s="369"/>
      <c r="C7" s="370">
        <f>'数据-取费表'!B2</f>
        <v>44573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58" t="s">
        <v>2313</v>
      </c>
      <c r="Q8" s="3459"/>
      <c r="R8" s="710" t="s">
        <v>17</v>
      </c>
      <c r="S8" s="711">
        <f t="shared" si="0"/>
        <v>0</v>
      </c>
      <c r="T8" s="710" t="s">
        <v>17</v>
      </c>
      <c r="U8" s="711">
        <f t="shared" si="1"/>
        <v>0</v>
      </c>
      <c r="V8" s="710" t="s">
        <v>17</v>
      </c>
      <c r="W8" s="711">
        <f t="shared" si="2"/>
        <v>0</v>
      </c>
      <c r="X8" s="712"/>
      <c r="Y8" s="3458" t="s">
        <v>2313</v>
      </c>
      <c r="Z8" s="345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21" t="s">
        <v>2316</v>
      </c>
      <c r="Q9" s="1497"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21"/>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21"/>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21"/>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21"/>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21"/>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27" t="s">
        <v>2321</v>
      </c>
      <c r="Q15" s="1506" t="str">
        <f t="shared" si="6"/>
        <v>商业繁华度</v>
      </c>
      <c r="R15" s="714" t="s">
        <v>17</v>
      </c>
      <c r="S15" s="715">
        <f t="shared" si="0"/>
        <v>100</v>
      </c>
      <c r="T15" s="714" t="s">
        <v>17</v>
      </c>
      <c r="U15" s="715">
        <f t="shared" si="1"/>
        <v>100</v>
      </c>
      <c r="V15" s="714" t="s">
        <v>17</v>
      </c>
      <c r="W15" s="715">
        <f t="shared" si="2"/>
        <v>100</v>
      </c>
      <c r="X15" s="1509"/>
      <c r="Y15" s="348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28"/>
      <c r="Q16" s="1506"/>
      <c r="R16" s="714"/>
      <c r="S16" s="715"/>
      <c r="T16" s="714"/>
      <c r="U16" s="715"/>
      <c r="V16" s="714"/>
      <c r="W16" s="715"/>
      <c r="X16" s="1509"/>
      <c r="Y16" s="3488"/>
      <c r="Z16" s="1510"/>
      <c r="AA16" s="1507">
        <v>1</v>
      </c>
      <c r="AB16" s="1507">
        <v>1</v>
      </c>
      <c r="AC16" s="1507">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28"/>
      <c r="Q17" s="1506" t="str">
        <f>B17</f>
        <v>交通便捷度</v>
      </c>
      <c r="R17" s="714" t="s">
        <v>17</v>
      </c>
      <c r="S17" s="715">
        <f>F17</f>
        <v>100</v>
      </c>
      <c r="T17" s="714" t="s">
        <v>17</v>
      </c>
      <c r="U17" s="715">
        <f>H17</f>
        <v>100</v>
      </c>
      <c r="V17" s="714" t="s">
        <v>17</v>
      </c>
      <c r="W17" s="715">
        <f>J17</f>
        <v>100</v>
      </c>
      <c r="X17" s="1509"/>
      <c r="Y17" s="3488"/>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2920"/>
      <c r="M18" s="2914"/>
      <c r="N18" s="2914"/>
      <c r="O18" s="2914"/>
      <c r="P18" s="3528"/>
      <c r="Q18" s="1506"/>
      <c r="R18" s="714"/>
      <c r="S18" s="715"/>
      <c r="T18" s="714"/>
      <c r="U18" s="715"/>
      <c r="V18" s="714"/>
      <c r="W18" s="715"/>
      <c r="X18" s="1509"/>
      <c r="Y18" s="3488"/>
      <c r="Z18" s="1510"/>
      <c r="AA18" s="1507">
        <v>1</v>
      </c>
      <c r="AB18" s="1507">
        <v>1</v>
      </c>
      <c r="AC18" s="1507">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28"/>
      <c r="Q19" s="1506" t="str">
        <f>B19</f>
        <v>公共配套设施</v>
      </c>
      <c r="R19" s="714" t="s">
        <v>17</v>
      </c>
      <c r="S19" s="715">
        <f>F19</f>
        <v>100</v>
      </c>
      <c r="T19" s="714" t="s">
        <v>17</v>
      </c>
      <c r="U19" s="715">
        <f>H19</f>
        <v>100</v>
      </c>
      <c r="V19" s="714" t="s">
        <v>17</v>
      </c>
      <c r="W19" s="715">
        <f>J19</f>
        <v>100</v>
      </c>
      <c r="X19" s="1509"/>
      <c r="Y19" s="3488"/>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2920"/>
      <c r="M20" s="2914"/>
      <c r="N20" s="2914"/>
      <c r="O20" s="2914"/>
      <c r="P20" s="3528"/>
      <c r="Q20" s="1506"/>
      <c r="R20" s="714"/>
      <c r="S20" s="715"/>
      <c r="T20" s="714"/>
      <c r="U20" s="715"/>
      <c r="V20" s="714"/>
      <c r="W20" s="715"/>
      <c r="X20" s="1509"/>
      <c r="Y20" s="3488"/>
      <c r="Z20" s="1510"/>
      <c r="AA20" s="1507">
        <v>1</v>
      </c>
      <c r="AB20" s="1507">
        <v>1</v>
      </c>
      <c r="AC20" s="1507">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28"/>
      <c r="Q21" s="1506" t="str">
        <f>B21</f>
        <v>基础设施水平</v>
      </c>
      <c r="R21" s="714" t="s">
        <v>17</v>
      </c>
      <c r="S21" s="715">
        <f>F21</f>
        <v>100</v>
      </c>
      <c r="T21" s="714" t="s">
        <v>17</v>
      </c>
      <c r="U21" s="715">
        <f>H21</f>
        <v>100</v>
      </c>
      <c r="V21" s="714" t="s">
        <v>17</v>
      </c>
      <c r="W21" s="715">
        <f>J21</f>
        <v>100</v>
      </c>
      <c r="X21" s="1509"/>
      <c r="Y21" s="3488"/>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2920"/>
      <c r="M22" s="2914"/>
      <c r="N22" s="2914"/>
      <c r="O22" s="2914"/>
      <c r="P22" s="3528"/>
      <c r="Q22" s="1506"/>
      <c r="R22" s="714"/>
      <c r="S22" s="715"/>
      <c r="T22" s="714"/>
      <c r="U22" s="715"/>
      <c r="V22" s="714"/>
      <c r="W22" s="715"/>
      <c r="X22" s="1509"/>
      <c r="Y22" s="3488"/>
      <c r="Z22" s="1510"/>
      <c r="AA22" s="1507">
        <v>1</v>
      </c>
      <c r="AB22" s="1507">
        <v>1</v>
      </c>
      <c r="AC22" s="1507">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28"/>
      <c r="Q23" s="1506" t="str">
        <f>B23</f>
        <v>自然及人文环境</v>
      </c>
      <c r="R23" s="714" t="s">
        <v>17</v>
      </c>
      <c r="S23" s="715">
        <f>F23</f>
        <v>100</v>
      </c>
      <c r="T23" s="714" t="s">
        <v>17</v>
      </c>
      <c r="U23" s="715">
        <f>H23</f>
        <v>100</v>
      </c>
      <c r="V23" s="714" t="s">
        <v>17</v>
      </c>
      <c r="W23" s="715">
        <f>J23</f>
        <v>100</v>
      </c>
      <c r="X23" s="1509"/>
      <c r="Y23" s="3488"/>
      <c r="Z23" s="1510" t="str">
        <f>Q23</f>
        <v>自然及人文环境</v>
      </c>
      <c r="AA23" s="1507">
        <f t="shared" si="3"/>
        <v>1</v>
      </c>
      <c r="AB23" s="1507">
        <f t="shared" si="4"/>
        <v>1</v>
      </c>
      <c r="AC23" s="1507">
        <f t="shared" si="5"/>
        <v>1</v>
      </c>
    </row>
    <row r="24" spans="1:29" ht="15">
      <c r="A24" s="387"/>
      <c r="B24" s="415"/>
      <c r="C24" s="406"/>
      <c r="D24" s="407"/>
      <c r="E24" s="2053"/>
      <c r="F24" s="408"/>
      <c r="G24" s="2052"/>
      <c r="H24" s="407"/>
      <c r="I24" s="2053"/>
      <c r="J24" s="407"/>
      <c r="K24" s="572"/>
      <c r="L24" s="2920"/>
      <c r="M24" s="2914"/>
      <c r="N24" s="2914"/>
      <c r="O24" s="2914"/>
      <c r="P24" s="3528"/>
      <c r="Q24" s="1506"/>
      <c r="R24" s="714"/>
      <c r="S24" s="715"/>
      <c r="T24" s="714"/>
      <c r="U24" s="715"/>
      <c r="V24" s="714"/>
      <c r="W24" s="715"/>
      <c r="X24" s="1509"/>
      <c r="Y24" s="348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28"/>
      <c r="Q25" s="1506" t="str">
        <f t="shared" ref="Q25:Q46" si="11">B25</f>
        <v>临街状况</v>
      </c>
      <c r="R25" s="714" t="s">
        <v>17</v>
      </c>
      <c r="S25" s="715">
        <f>F25</f>
        <v>100</v>
      </c>
      <c r="T25" s="714" t="s">
        <v>17</v>
      </c>
      <c r="U25" s="715">
        <f>H25</f>
        <v>100</v>
      </c>
      <c r="V25" s="714" t="s">
        <v>17</v>
      </c>
      <c r="W25" s="715">
        <f>J25</f>
        <v>100</v>
      </c>
      <c r="X25" s="1509"/>
      <c r="Y25" s="348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28"/>
      <c r="Q26" s="1506" t="str">
        <f t="shared" si="11"/>
        <v>平面位置/可视性</v>
      </c>
      <c r="R26" s="714" t="s">
        <v>17</v>
      </c>
      <c r="S26" s="715">
        <f>F26</f>
        <v>100</v>
      </c>
      <c r="T26" s="714" t="s">
        <v>17</v>
      </c>
      <c r="U26" s="715">
        <f>H26</f>
        <v>100</v>
      </c>
      <c r="V26" s="714" t="s">
        <v>17</v>
      </c>
      <c r="W26" s="715">
        <f>J26</f>
        <v>100</v>
      </c>
      <c r="X26" s="1509"/>
      <c r="Y26" s="3488"/>
      <c r="Z26" s="1510" t="str">
        <f>Q26</f>
        <v>平面位置/可视性</v>
      </c>
      <c r="AA26" s="1507">
        <f t="shared" si="3"/>
        <v>1</v>
      </c>
      <c r="AB26" s="1507">
        <f t="shared" si="4"/>
        <v>1</v>
      </c>
      <c r="AC26" s="1507">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28"/>
      <c r="Q27" s="1497" t="str">
        <f t="shared" si="11"/>
        <v>人流量</v>
      </c>
      <c r="R27" s="710" t="s">
        <v>17</v>
      </c>
      <c r="S27" s="711">
        <f>F27</f>
        <v>100</v>
      </c>
      <c r="T27" s="710" t="s">
        <v>17</v>
      </c>
      <c r="U27" s="711">
        <f>H27</f>
        <v>100</v>
      </c>
      <c r="V27" s="710" t="s">
        <v>17</v>
      </c>
      <c r="W27" s="711">
        <f>J27</f>
        <v>100</v>
      </c>
      <c r="X27" s="712"/>
      <c r="Y27" s="348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2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8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28"/>
      <c r="Q29" s="1506">
        <f t="shared" si="11"/>
        <v>111</v>
      </c>
      <c r="R29" s="714" t="s">
        <v>17</v>
      </c>
      <c r="S29" s="715">
        <f t="shared" si="12"/>
        <v>100</v>
      </c>
      <c r="T29" s="714" t="s">
        <v>17</v>
      </c>
      <c r="U29" s="715">
        <f t="shared" si="13"/>
        <v>100</v>
      </c>
      <c r="V29" s="714" t="s">
        <v>17</v>
      </c>
      <c r="W29" s="715">
        <f t="shared" si="14"/>
        <v>100</v>
      </c>
      <c r="X29" s="1509"/>
      <c r="Y29" s="348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28"/>
      <c r="Q30" s="1506">
        <f t="shared" si="11"/>
        <v>111</v>
      </c>
      <c r="R30" s="714" t="s">
        <v>17</v>
      </c>
      <c r="S30" s="715">
        <f t="shared" si="12"/>
        <v>100</v>
      </c>
      <c r="T30" s="714" t="s">
        <v>17</v>
      </c>
      <c r="U30" s="715">
        <f t="shared" si="13"/>
        <v>100</v>
      </c>
      <c r="V30" s="714" t="s">
        <v>17</v>
      </c>
      <c r="W30" s="715">
        <f t="shared" si="14"/>
        <v>100</v>
      </c>
      <c r="X30" s="1509"/>
      <c r="Y30" s="348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28"/>
      <c r="Q31" s="1506">
        <f t="shared" si="11"/>
        <v>111</v>
      </c>
      <c r="R31" s="714" t="s">
        <v>17</v>
      </c>
      <c r="S31" s="715">
        <f t="shared" si="12"/>
        <v>100</v>
      </c>
      <c r="T31" s="714" t="s">
        <v>17</v>
      </c>
      <c r="U31" s="715">
        <f t="shared" si="13"/>
        <v>100</v>
      </c>
      <c r="V31" s="714" t="s">
        <v>17</v>
      </c>
      <c r="W31" s="715">
        <f t="shared" si="14"/>
        <v>100</v>
      </c>
      <c r="X31" s="1509"/>
      <c r="Y31" s="3488"/>
      <c r="Z31" s="1510">
        <f t="shared" si="15"/>
        <v>111</v>
      </c>
      <c r="AA31" s="1507">
        <f t="shared" si="3"/>
        <v>1</v>
      </c>
      <c r="AB31" s="1507">
        <f t="shared" si="4"/>
        <v>1</v>
      </c>
      <c r="AC31" s="1507">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23" t="s">
        <v>2326</v>
      </c>
      <c r="Q32" s="1506" t="str">
        <f t="shared" si="11"/>
        <v>商业类型</v>
      </c>
      <c r="R32" s="714" t="s">
        <v>17</v>
      </c>
      <c r="S32" s="715">
        <f t="shared" si="12"/>
        <v>100</v>
      </c>
      <c r="T32" s="714" t="s">
        <v>17</v>
      </c>
      <c r="U32" s="715">
        <f t="shared" si="13"/>
        <v>100</v>
      </c>
      <c r="V32" s="714" t="s">
        <v>17</v>
      </c>
      <c r="W32" s="715">
        <f t="shared" si="14"/>
        <v>100</v>
      </c>
      <c r="X32" s="1509"/>
      <c r="Y32" s="3490"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24"/>
      <c r="Q33" s="716" t="str">
        <f t="shared" si="11"/>
        <v>项目建筑规模</v>
      </c>
      <c r="R33" s="717" t="s">
        <v>17</v>
      </c>
      <c r="S33" s="718" t="e">
        <f t="shared" si="12"/>
        <v>#N/A</v>
      </c>
      <c r="T33" s="717" t="s">
        <v>17</v>
      </c>
      <c r="U33" s="718" t="e">
        <f t="shared" si="13"/>
        <v>#N/A</v>
      </c>
      <c r="V33" s="717" t="s">
        <v>17</v>
      </c>
      <c r="W33" s="718" t="e">
        <f t="shared" si="14"/>
        <v>#N/A</v>
      </c>
      <c r="X33" s="719"/>
      <c r="Y33" s="3490"/>
      <c r="Z33" s="720" t="str">
        <f t="shared" si="15"/>
        <v>项目建筑规模</v>
      </c>
      <c r="AA33" s="1507" t="e">
        <f t="shared" si="3"/>
        <v>#N/A</v>
      </c>
      <c r="AB33" s="1507" t="e">
        <f t="shared" si="4"/>
        <v>#N/A</v>
      </c>
      <c r="AC33" s="1507"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24"/>
      <c r="Q34" s="1506" t="str">
        <f t="shared" si="11"/>
        <v>建筑结构</v>
      </c>
      <c r="R34" s="714" t="s">
        <v>17</v>
      </c>
      <c r="S34" s="715">
        <f t="shared" si="12"/>
        <v>100</v>
      </c>
      <c r="T34" s="714" t="s">
        <v>17</v>
      </c>
      <c r="U34" s="715">
        <f t="shared" si="13"/>
        <v>100</v>
      </c>
      <c r="V34" s="714" t="s">
        <v>17</v>
      </c>
      <c r="W34" s="715">
        <f t="shared" si="14"/>
        <v>100</v>
      </c>
      <c r="X34" s="1509"/>
      <c r="Y34" s="3490"/>
      <c r="Z34" s="1510" t="str">
        <f t="shared" si="15"/>
        <v>建筑结构</v>
      </c>
      <c r="AA34" s="1507">
        <f t="shared" si="3"/>
        <v>1</v>
      </c>
      <c r="AB34" s="1507">
        <f t="shared" si="4"/>
        <v>1</v>
      </c>
      <c r="AC34" s="1507">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24"/>
      <c r="Q35" s="1506" t="str">
        <f t="shared" si="11"/>
        <v>公共部分装修</v>
      </c>
      <c r="R35" s="714" t="s">
        <v>17</v>
      </c>
      <c r="S35" s="715">
        <f t="shared" si="12"/>
        <v>100</v>
      </c>
      <c r="T35" s="714" t="s">
        <v>17</v>
      </c>
      <c r="U35" s="715">
        <f t="shared" si="13"/>
        <v>100</v>
      </c>
      <c r="V35" s="714" t="s">
        <v>17</v>
      </c>
      <c r="W35" s="715">
        <f t="shared" si="14"/>
        <v>100</v>
      </c>
      <c r="X35" s="1509"/>
      <c r="Y35" s="3490"/>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24"/>
      <c r="Q36" s="1506" t="str">
        <f t="shared" si="11"/>
        <v>成新度</v>
      </c>
      <c r="R36" s="714" t="s">
        <v>17</v>
      </c>
      <c r="S36" s="715" t="e">
        <f t="shared" si="12"/>
        <v>#N/A</v>
      </c>
      <c r="T36" s="714" t="s">
        <v>17</v>
      </c>
      <c r="U36" s="715" t="e">
        <f t="shared" si="13"/>
        <v>#N/A</v>
      </c>
      <c r="V36" s="714" t="s">
        <v>17</v>
      </c>
      <c r="W36" s="715" t="e">
        <f t="shared" si="14"/>
        <v>#N/A</v>
      </c>
      <c r="X36" s="1509"/>
      <c r="Y36" s="3490"/>
      <c r="Z36" s="1510" t="str">
        <f t="shared" si="15"/>
        <v>成新度</v>
      </c>
      <c r="AA36" s="1507" t="e">
        <f t="shared" si="3"/>
        <v>#N/A</v>
      </c>
      <c r="AB36" s="1507" t="e">
        <f t="shared" si="4"/>
        <v>#N/A</v>
      </c>
      <c r="AC36" s="1507"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24"/>
      <c r="Q37" s="1497" t="str">
        <f t="shared" si="11"/>
        <v>市政基础设施</v>
      </c>
      <c r="R37" s="710" t="s">
        <v>17</v>
      </c>
      <c r="S37" s="711">
        <f t="shared" si="12"/>
        <v>100</v>
      </c>
      <c r="T37" s="710" t="s">
        <v>17</v>
      </c>
      <c r="U37" s="711">
        <f t="shared" si="13"/>
        <v>100</v>
      </c>
      <c r="V37" s="710" t="s">
        <v>17</v>
      </c>
      <c r="W37" s="711">
        <f t="shared" si="14"/>
        <v>100</v>
      </c>
      <c r="X37" s="712"/>
      <c r="Y37" s="3490"/>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24" t="s">
        <v>2326</v>
      </c>
      <c r="Q38" s="1506" t="str">
        <f t="shared" si="11"/>
        <v>业态</v>
      </c>
      <c r="R38" s="714" t="s">
        <v>17</v>
      </c>
      <c r="S38" s="715">
        <f t="shared" si="12"/>
        <v>100</v>
      </c>
      <c r="T38" s="714" t="s">
        <v>17</v>
      </c>
      <c r="U38" s="715">
        <f t="shared" si="13"/>
        <v>100</v>
      </c>
      <c r="V38" s="714" t="s">
        <v>17</v>
      </c>
      <c r="W38" s="715">
        <f t="shared" si="14"/>
        <v>100</v>
      </c>
      <c r="X38" s="1509"/>
      <c r="Y38" s="3490" t="s">
        <v>2326</v>
      </c>
      <c r="Z38" s="1510" t="str">
        <f t="shared" si="15"/>
        <v>业态</v>
      </c>
      <c r="AA38" s="1507">
        <f t="shared" si="3"/>
        <v>1</v>
      </c>
      <c r="AB38" s="1507">
        <f t="shared" si="4"/>
        <v>1</v>
      </c>
      <c r="AC38" s="1507">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24"/>
      <c r="Q39" s="1506" t="str">
        <f t="shared" si="11"/>
        <v>层高</v>
      </c>
      <c r="R39" s="714" t="s">
        <v>17</v>
      </c>
      <c r="S39" s="715">
        <f t="shared" si="12"/>
        <v>100</v>
      </c>
      <c r="T39" s="714" t="s">
        <v>17</v>
      </c>
      <c r="U39" s="715">
        <f t="shared" si="13"/>
        <v>100</v>
      </c>
      <c r="V39" s="714" t="s">
        <v>17</v>
      </c>
      <c r="W39" s="715">
        <f t="shared" si="14"/>
        <v>100</v>
      </c>
      <c r="X39" s="1509"/>
      <c r="Y39" s="3490"/>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24"/>
      <c r="Q40" s="1506" t="str">
        <f t="shared" si="11"/>
        <v>单套建筑面积</v>
      </c>
      <c r="R40" s="714" t="s">
        <v>17</v>
      </c>
      <c r="S40" s="715">
        <f t="shared" si="12"/>
        <v>100</v>
      </c>
      <c r="T40" s="714" t="s">
        <v>17</v>
      </c>
      <c r="U40" s="715">
        <f t="shared" si="13"/>
        <v>100</v>
      </c>
      <c r="V40" s="714" t="s">
        <v>17</v>
      </c>
      <c r="W40" s="715">
        <f t="shared" si="14"/>
        <v>100</v>
      </c>
      <c r="X40" s="1509"/>
      <c r="Y40" s="3490"/>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24"/>
      <c r="Q41" s="716" t="str">
        <f t="shared" si="11"/>
        <v>进深比</v>
      </c>
      <c r="R41" s="717" t="s">
        <v>17</v>
      </c>
      <c r="S41" s="718">
        <f t="shared" si="12"/>
        <v>100</v>
      </c>
      <c r="T41" s="717" t="s">
        <v>17</v>
      </c>
      <c r="U41" s="718">
        <f t="shared" si="13"/>
        <v>100</v>
      </c>
      <c r="V41" s="717" t="s">
        <v>17</v>
      </c>
      <c r="W41" s="718">
        <f t="shared" si="14"/>
        <v>100</v>
      </c>
      <c r="X41" s="719"/>
      <c r="Y41" s="3490"/>
      <c r="Z41" s="720" t="str">
        <f t="shared" si="15"/>
        <v>进深比</v>
      </c>
      <c r="AA41" s="1507">
        <f t="shared" si="3"/>
        <v>1</v>
      </c>
      <c r="AB41" s="1507">
        <f t="shared" si="4"/>
        <v>1</v>
      </c>
      <c r="AC41" s="1507">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24"/>
      <c r="Q42" s="1506" t="str">
        <f t="shared" si="11"/>
        <v>内部装修</v>
      </c>
      <c r="R42" s="714" t="s">
        <v>17</v>
      </c>
      <c r="S42" s="715">
        <f t="shared" si="12"/>
        <v>100</v>
      </c>
      <c r="T42" s="714" t="s">
        <v>17</v>
      </c>
      <c r="U42" s="715">
        <f t="shared" si="13"/>
        <v>100</v>
      </c>
      <c r="V42" s="714" t="s">
        <v>17</v>
      </c>
      <c r="W42" s="715">
        <f t="shared" si="14"/>
        <v>100</v>
      </c>
      <c r="X42" s="1509"/>
      <c r="Y42" s="3490"/>
      <c r="Z42" s="1510" t="str">
        <f t="shared" si="15"/>
        <v>内部装修</v>
      </c>
      <c r="AA42" s="1507">
        <f t="shared" si="3"/>
        <v>1</v>
      </c>
      <c r="AB42" s="1507">
        <f t="shared" si="4"/>
        <v>1</v>
      </c>
      <c r="AC42" s="1507">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24"/>
      <c r="Q43" s="1506" t="str">
        <f t="shared" si="11"/>
        <v>内部装修维护情况</v>
      </c>
      <c r="R43" s="714" t="s">
        <v>17</v>
      </c>
      <c r="S43" s="715">
        <f t="shared" si="12"/>
        <v>100</v>
      </c>
      <c r="T43" s="714" t="s">
        <v>17</v>
      </c>
      <c r="U43" s="715">
        <f t="shared" si="13"/>
        <v>100</v>
      </c>
      <c r="V43" s="714" t="s">
        <v>17</v>
      </c>
      <c r="W43" s="715">
        <f t="shared" si="14"/>
        <v>100</v>
      </c>
      <c r="X43" s="1509"/>
      <c r="Y43" s="349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24"/>
      <c r="Q44" s="1497">
        <f t="shared" si="11"/>
        <v>111</v>
      </c>
      <c r="R44" s="710" t="s">
        <v>17</v>
      </c>
      <c r="S44" s="711">
        <f t="shared" si="12"/>
        <v>100</v>
      </c>
      <c r="T44" s="710" t="s">
        <v>17</v>
      </c>
      <c r="U44" s="711">
        <f t="shared" si="13"/>
        <v>100</v>
      </c>
      <c r="V44" s="710" t="s">
        <v>17</v>
      </c>
      <c r="W44" s="711">
        <f t="shared" si="14"/>
        <v>100</v>
      </c>
      <c r="X44" s="712"/>
      <c r="Y44" s="349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24"/>
      <c r="Q45" s="1506">
        <f t="shared" si="11"/>
        <v>111</v>
      </c>
      <c r="R45" s="714" t="s">
        <v>17</v>
      </c>
      <c r="S45" s="715">
        <f t="shared" si="12"/>
        <v>100</v>
      </c>
      <c r="T45" s="714" t="s">
        <v>17</v>
      </c>
      <c r="U45" s="715">
        <f t="shared" si="13"/>
        <v>100</v>
      </c>
      <c r="V45" s="714" t="s">
        <v>17</v>
      </c>
      <c r="W45" s="715">
        <f t="shared" si="14"/>
        <v>100</v>
      </c>
      <c r="X45" s="1509"/>
      <c r="Y45" s="3490"/>
      <c r="Z45" s="1510">
        <f t="shared" si="15"/>
        <v>111</v>
      </c>
      <c r="AA45" s="1507">
        <f t="shared" si="3"/>
        <v>1</v>
      </c>
      <c r="AB45" s="1507">
        <f t="shared" si="4"/>
        <v>1</v>
      </c>
      <c r="AC45" s="1507">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25"/>
      <c r="Q46" s="1506">
        <f t="shared" si="11"/>
        <v>111</v>
      </c>
      <c r="R46" s="714" t="s">
        <v>17</v>
      </c>
      <c r="S46" s="715">
        <f t="shared" si="12"/>
        <v>100</v>
      </c>
      <c r="T46" s="714" t="s">
        <v>17</v>
      </c>
      <c r="U46" s="715">
        <f t="shared" si="13"/>
        <v>100</v>
      </c>
      <c r="V46" s="714" t="s">
        <v>17</v>
      </c>
      <c r="W46" s="715">
        <f t="shared" si="14"/>
        <v>100</v>
      </c>
      <c r="X46" s="1509"/>
      <c r="Y46" s="352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72" t="str">
        <f>A47</f>
        <v>成交单价（元/平方米）</v>
      </c>
      <c r="Q47" s="3472"/>
      <c r="R47" s="3485">
        <f>E47</f>
        <v>0</v>
      </c>
      <c r="S47" s="3485"/>
      <c r="T47" s="3485">
        <f>G47</f>
        <v>0</v>
      </c>
      <c r="U47" s="3485"/>
      <c r="V47" s="3485">
        <f>I47</f>
        <v>0</v>
      </c>
      <c r="W47" s="3485"/>
      <c r="X47" s="699"/>
      <c r="Y47" s="721"/>
      <c r="Z47" s="699"/>
      <c r="AA47" s="699"/>
      <c r="AB47" s="699"/>
      <c r="AC47" s="699"/>
    </row>
    <row r="48" spans="1:29" ht="15.75" thickBot="1">
      <c r="A48" s="445" t="s">
        <v>2430</v>
      </c>
      <c r="B48" s="446"/>
      <c r="C48" s="1294" t="e">
        <f>R49</f>
        <v>#DIV/0!</v>
      </c>
      <c r="D48" s="2507" t="s">
        <v>2817</v>
      </c>
      <c r="E48" s="1295" t="e">
        <f>R48</f>
        <v>#DIV/0!</v>
      </c>
      <c r="F48" s="2508"/>
      <c r="G48" s="1294" t="e">
        <f>T48</f>
        <v>#DIV/0!</v>
      </c>
      <c r="H48" s="2508"/>
      <c r="I48" s="1295" t="e">
        <f>V48</f>
        <v>#DIV/0!</v>
      </c>
      <c r="J48" s="2508"/>
      <c r="K48" s="2510">
        <f>F48+H48+J48</f>
        <v>0</v>
      </c>
      <c r="L48" s="2922"/>
      <c r="M48" s="2923"/>
      <c r="N48" s="2914"/>
      <c r="O48" s="2923"/>
      <c r="P48" s="3472" t="str">
        <f>A48</f>
        <v>比较价值（元/平方米）</v>
      </c>
      <c r="Q48" s="3472"/>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92" t="str">
        <f>A49</f>
        <v>估价对象XX用房的比较价值（楼面单价，元/平方米）</v>
      </c>
      <c r="Q49" s="3493"/>
      <c r="R49" s="3522" t="e">
        <f>IF(F1="售价",ROUND(IF(D48="简单平均",AVERAGE(R48:V48),R48*F48+T48*H48+V48*J48),0),ROUND(IF(D48="简单平均",AVERAGE(R48:V48),R48*F48+T48*H48+V48*J48),1))</f>
        <v>#DIV/0!</v>
      </c>
      <c r="S49" s="3522"/>
      <c r="T49" s="3522"/>
      <c r="U49" s="3522"/>
      <c r="V49" s="3522"/>
      <c r="W49" s="3522"/>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2022-1</v>
      </c>
      <c r="D58" s="1319">
        <f>EDATE(C58,-1)</f>
        <v>44531</v>
      </c>
      <c r="E58" s="1319">
        <f t="shared" ref="E58:N58" si="16">EDATE(D58,-1)</f>
        <v>44501</v>
      </c>
      <c r="F58" s="1319">
        <f t="shared" si="16"/>
        <v>44470</v>
      </c>
      <c r="G58" s="1319">
        <f t="shared" si="16"/>
        <v>44440</v>
      </c>
      <c r="H58" s="1319">
        <f t="shared" si="16"/>
        <v>44409</v>
      </c>
      <c r="I58" s="1319">
        <f t="shared" si="16"/>
        <v>44378</v>
      </c>
      <c r="J58" s="1319">
        <f t="shared" si="16"/>
        <v>44348</v>
      </c>
      <c r="K58" s="1319">
        <f t="shared" si="16"/>
        <v>44317</v>
      </c>
      <c r="L58" s="1319">
        <f t="shared" si="16"/>
        <v>44287</v>
      </c>
      <c r="M58" s="1319">
        <f t="shared" si="16"/>
        <v>44256</v>
      </c>
      <c r="N58" s="1319">
        <f t="shared" si="16"/>
        <v>44228</v>
      </c>
      <c r="O58" s="1319">
        <f>EDATE(N58,-1)</f>
        <v>44197</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估价对象为北京市房地产，为所有。根据《国有土地使用证》[]，估价对象（分摊）出让国有建设用地使用权面积为6976.24平方米，建筑面积为32206.8900000003平方米。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估价对象为北京市房地产,属开发建设的，该项目尚在开发建设中。根据《国有土地使用证》[]，估价对象（分摊）出让国有建设用地使用权面积为6976.24平方米，规划建筑面积为32206.8900000003平方米。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2022年1月12日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本次评估采用的主估价方法为基准地价系数修正法和基准地价系数修正法。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2447</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32206.89000000029</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3" t="s">
        <v>2407</v>
      </c>
      <c r="D4" s="3474"/>
      <c r="E4" s="3475" t="s">
        <v>2408</v>
      </c>
      <c r="F4" s="3476"/>
      <c r="G4" s="3473" t="s">
        <v>2409</v>
      </c>
      <c r="H4" s="3474"/>
      <c r="I4" s="3473" t="s">
        <v>2410</v>
      </c>
      <c r="J4" s="3474"/>
      <c r="K4" s="567" t="s">
        <v>2411</v>
      </c>
      <c r="L4" s="2913"/>
      <c r="M4" s="2914"/>
      <c r="N4" s="2914"/>
      <c r="O4" s="2914"/>
      <c r="P4" s="3535" t="s">
        <v>2412</v>
      </c>
      <c r="Q4" s="3536"/>
      <c r="R4" s="3530" t="s">
        <v>2408</v>
      </c>
      <c r="S4" s="3531"/>
      <c r="T4" s="3530" t="s">
        <v>2409</v>
      </c>
      <c r="U4" s="3531"/>
      <c r="V4" s="3539" t="s">
        <v>2410</v>
      </c>
      <c r="W4" s="3539"/>
      <c r="X4" s="2113"/>
      <c r="Y4" s="3530" t="s">
        <v>2412</v>
      </c>
      <c r="Z4" s="3531"/>
      <c r="AA4" s="3529" t="s">
        <v>2408</v>
      </c>
      <c r="AB4" s="3529" t="s">
        <v>2409</v>
      </c>
      <c r="AC4" s="3532" t="s">
        <v>2410</v>
      </c>
    </row>
    <row r="5" spans="1:29" ht="15">
      <c r="A5" s="364"/>
      <c r="B5" s="365"/>
      <c r="C5" s="3466" t="s">
        <v>2303</v>
      </c>
      <c r="D5" s="3467"/>
      <c r="E5" s="3464" t="s">
        <v>2304</v>
      </c>
      <c r="F5" s="3465"/>
      <c r="G5" s="3466" t="s">
        <v>2305</v>
      </c>
      <c r="H5" s="3467"/>
      <c r="I5" s="3466" t="s">
        <v>2306</v>
      </c>
      <c r="J5" s="3467"/>
      <c r="K5" s="567"/>
      <c r="L5" s="2913"/>
      <c r="M5" s="2914"/>
      <c r="N5" s="2914"/>
      <c r="O5" s="2914"/>
      <c r="P5" s="3537"/>
      <c r="Q5" s="3480"/>
      <c r="R5" s="3462"/>
      <c r="S5" s="3463"/>
      <c r="T5" s="3462"/>
      <c r="U5" s="3463"/>
      <c r="V5" s="3485"/>
      <c r="W5" s="3485"/>
      <c r="X5" s="1509"/>
      <c r="Y5" s="3462"/>
      <c r="Z5" s="3463"/>
      <c r="AA5" s="3456"/>
      <c r="AB5" s="3456"/>
      <c r="AC5" s="3533"/>
    </row>
    <row r="6" spans="1:29" ht="15.75" thickBot="1">
      <c r="A6" s="366"/>
      <c r="B6" s="367"/>
      <c r="C6" s="3468" t="s">
        <v>2307</v>
      </c>
      <c r="D6" s="3469"/>
      <c r="E6" s="3470" t="s">
        <v>2307</v>
      </c>
      <c r="F6" s="3471"/>
      <c r="G6" s="3468" t="s">
        <v>2307</v>
      </c>
      <c r="H6" s="3469"/>
      <c r="I6" s="3468" t="s">
        <v>2307</v>
      </c>
      <c r="J6" s="3469"/>
      <c r="K6" s="567" t="s">
        <v>2308</v>
      </c>
      <c r="L6" s="2913"/>
      <c r="M6" s="2914"/>
      <c r="N6" s="2914"/>
      <c r="O6" s="2914"/>
      <c r="P6" s="3538"/>
      <c r="Q6" s="3482"/>
      <c r="R6" s="3462"/>
      <c r="S6" s="3463"/>
      <c r="T6" s="3483"/>
      <c r="U6" s="3484"/>
      <c r="V6" s="3485"/>
      <c r="W6" s="3485"/>
      <c r="X6" s="1509"/>
      <c r="Y6" s="3483"/>
      <c r="Z6" s="3484"/>
      <c r="AA6" s="3457"/>
      <c r="AB6" s="3457"/>
      <c r="AC6" s="3534"/>
    </row>
    <row r="7" spans="1:29" s="113" customFormat="1" ht="15.75" thickBot="1">
      <c r="A7" s="368" t="s">
        <v>2309</v>
      </c>
      <c r="B7" s="369"/>
      <c r="C7" s="370">
        <f>'数据-取费表'!B2</f>
        <v>44573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0"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0" t="s">
        <v>2313</v>
      </c>
      <c r="Q8" s="3459"/>
      <c r="R8" s="710" t="s">
        <v>17</v>
      </c>
      <c r="S8" s="711">
        <f t="shared" si="0"/>
        <v>0</v>
      </c>
      <c r="T8" s="710" t="s">
        <v>17</v>
      </c>
      <c r="U8" s="711">
        <f t="shared" si="1"/>
        <v>0</v>
      </c>
      <c r="V8" s="710" t="s">
        <v>17</v>
      </c>
      <c r="W8" s="711">
        <f t="shared" si="2"/>
        <v>0</v>
      </c>
      <c r="X8" s="712"/>
      <c r="Y8" s="3458" t="s">
        <v>2313</v>
      </c>
      <c r="Z8" s="3459"/>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21" t="s">
        <v>2316</v>
      </c>
      <c r="Q9" s="1497"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21"/>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21"/>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21"/>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21"/>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21"/>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27" t="s">
        <v>2321</v>
      </c>
      <c r="Q15" s="1506" t="str">
        <f t="shared" si="6"/>
        <v>办公集聚程度</v>
      </c>
      <c r="R15" s="714" t="s">
        <v>17</v>
      </c>
      <c r="S15" s="715">
        <f t="shared" si="0"/>
        <v>100</v>
      </c>
      <c r="T15" s="714" t="s">
        <v>17</v>
      </c>
      <c r="U15" s="715">
        <f t="shared" si="1"/>
        <v>100</v>
      </c>
      <c r="V15" s="714" t="s">
        <v>17</v>
      </c>
      <c r="W15" s="715">
        <f t="shared" si="2"/>
        <v>100</v>
      </c>
      <c r="X15" s="1509"/>
      <c r="Y15" s="3487" t="s">
        <v>2321</v>
      </c>
      <c r="Z15" s="1510" t="str">
        <f t="shared" si="7"/>
        <v>办公集聚程度</v>
      </c>
      <c r="AA15" s="1507">
        <f t="shared" si="3"/>
        <v>1</v>
      </c>
      <c r="AB15" s="1507">
        <f t="shared" si="4"/>
        <v>1</v>
      </c>
      <c r="AC15" s="2117">
        <f t="shared" si="5"/>
        <v>1</v>
      </c>
    </row>
    <row r="16" spans="1:29" ht="15">
      <c r="A16" s="387"/>
      <c r="B16" s="586"/>
      <c r="C16" s="2059"/>
      <c r="D16" s="407"/>
      <c r="E16" s="406"/>
      <c r="F16" s="407"/>
      <c r="G16" s="2059"/>
      <c r="H16" s="409"/>
      <c r="I16" s="406"/>
      <c r="J16" s="407"/>
      <c r="K16" s="572"/>
      <c r="L16" s="2920"/>
      <c r="M16" s="2914"/>
      <c r="N16" s="2914"/>
      <c r="O16" s="2914"/>
      <c r="P16" s="3528"/>
      <c r="Q16" s="1506"/>
      <c r="R16" s="714"/>
      <c r="S16" s="715"/>
      <c r="T16" s="714"/>
      <c r="U16" s="715"/>
      <c r="V16" s="714"/>
      <c r="W16" s="715"/>
      <c r="X16" s="1509"/>
      <c r="Y16" s="3488"/>
      <c r="Z16" s="1510"/>
      <c r="AA16" s="1507">
        <v>1</v>
      </c>
      <c r="AB16" s="1507">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28"/>
      <c r="Q17" s="1506" t="str">
        <f>B17</f>
        <v>交通便捷度</v>
      </c>
      <c r="R17" s="714" t="s">
        <v>17</v>
      </c>
      <c r="S17" s="715">
        <f>F17</f>
        <v>100</v>
      </c>
      <c r="T17" s="714" t="s">
        <v>17</v>
      </c>
      <c r="U17" s="715">
        <f>H17</f>
        <v>100</v>
      </c>
      <c r="V17" s="714" t="s">
        <v>17</v>
      </c>
      <c r="W17" s="715">
        <f>J17</f>
        <v>100</v>
      </c>
      <c r="X17" s="1509"/>
      <c r="Y17" s="3488"/>
      <c r="Z17" s="1510" t="str">
        <f>Q17</f>
        <v>交通便捷度</v>
      </c>
      <c r="AA17" s="1507">
        <f t="shared" si="3"/>
        <v>1</v>
      </c>
      <c r="AB17" s="1507">
        <f t="shared" si="4"/>
        <v>1</v>
      </c>
      <c r="AC17" s="2117">
        <f t="shared" si="5"/>
        <v>1</v>
      </c>
    </row>
    <row r="18" spans="1:29" ht="15">
      <c r="A18" s="387"/>
      <c r="B18" s="588"/>
      <c r="C18" s="2119"/>
      <c r="D18" s="409"/>
      <c r="E18" s="2057"/>
      <c r="F18" s="409"/>
      <c r="G18" s="2058"/>
      <c r="H18" s="407"/>
      <c r="I18" s="2058"/>
      <c r="J18" s="407"/>
      <c r="K18" s="572"/>
      <c r="L18" s="2920"/>
      <c r="M18" s="2914"/>
      <c r="N18" s="2914"/>
      <c r="O18" s="2914"/>
      <c r="P18" s="3528"/>
      <c r="Q18" s="1506"/>
      <c r="R18" s="714"/>
      <c r="S18" s="715"/>
      <c r="T18" s="714"/>
      <c r="U18" s="715"/>
      <c r="V18" s="714"/>
      <c r="W18" s="715"/>
      <c r="X18" s="1509"/>
      <c r="Y18" s="3488"/>
      <c r="Z18" s="1510"/>
      <c r="AA18" s="1507">
        <v>1</v>
      </c>
      <c r="AB18" s="1507">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28"/>
      <c r="Q19" s="1506" t="str">
        <f>B19</f>
        <v>公共配套设施</v>
      </c>
      <c r="R19" s="714" t="s">
        <v>17</v>
      </c>
      <c r="S19" s="715">
        <f>F19</f>
        <v>100</v>
      </c>
      <c r="T19" s="714" t="s">
        <v>17</v>
      </c>
      <c r="U19" s="715">
        <f>H19</f>
        <v>100</v>
      </c>
      <c r="V19" s="714" t="s">
        <v>17</v>
      </c>
      <c r="W19" s="715">
        <f>J19</f>
        <v>100</v>
      </c>
      <c r="X19" s="1509"/>
      <c r="Y19" s="3488"/>
      <c r="Z19" s="1510" t="str">
        <f>Q19</f>
        <v>公共配套设施</v>
      </c>
      <c r="AA19" s="1507">
        <f t="shared" si="3"/>
        <v>1</v>
      </c>
      <c r="AB19" s="1507">
        <f t="shared" si="4"/>
        <v>1</v>
      </c>
      <c r="AC19" s="2117">
        <f t="shared" si="5"/>
        <v>1</v>
      </c>
    </row>
    <row r="20" spans="1:29" ht="15">
      <c r="A20" s="387"/>
      <c r="B20" s="588"/>
      <c r="C20" s="2059"/>
      <c r="D20" s="407"/>
      <c r="E20" s="2052"/>
      <c r="F20" s="407"/>
      <c r="G20" s="2053"/>
      <c r="H20" s="407"/>
      <c r="I20" s="2053"/>
      <c r="J20" s="407"/>
      <c r="K20" s="572"/>
      <c r="L20" s="2920"/>
      <c r="M20" s="2914"/>
      <c r="N20" s="2914"/>
      <c r="O20" s="2914"/>
      <c r="P20" s="3528"/>
      <c r="Q20" s="1506"/>
      <c r="R20" s="714"/>
      <c r="S20" s="715"/>
      <c r="T20" s="714"/>
      <c r="U20" s="715"/>
      <c r="V20" s="714"/>
      <c r="W20" s="715"/>
      <c r="X20" s="1509"/>
      <c r="Y20" s="3488"/>
      <c r="Z20" s="1510"/>
      <c r="AA20" s="1507">
        <v>1</v>
      </c>
      <c r="AB20" s="1507">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28"/>
      <c r="Q21" s="1506" t="str">
        <f>B21</f>
        <v>基础设施水平</v>
      </c>
      <c r="R21" s="714" t="s">
        <v>17</v>
      </c>
      <c r="S21" s="715">
        <f>F21</f>
        <v>100</v>
      </c>
      <c r="T21" s="714" t="s">
        <v>17</v>
      </c>
      <c r="U21" s="715">
        <f>H21</f>
        <v>100</v>
      </c>
      <c r="V21" s="714" t="s">
        <v>17</v>
      </c>
      <c r="W21" s="715">
        <f>J21</f>
        <v>100</v>
      </c>
      <c r="X21" s="1509"/>
      <c r="Y21" s="3488"/>
      <c r="Z21" s="1510" t="str">
        <f>Q21</f>
        <v>基础设施水平</v>
      </c>
      <c r="AA21" s="1507">
        <f t="shared" ref="AA21" si="8">D21/F21</f>
        <v>1</v>
      </c>
      <c r="AB21" s="1507">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28"/>
      <c r="Q22" s="1506"/>
      <c r="R22" s="714"/>
      <c r="S22" s="715"/>
      <c r="T22" s="714"/>
      <c r="U22" s="715"/>
      <c r="V22" s="714"/>
      <c r="W22" s="715"/>
      <c r="X22" s="1509"/>
      <c r="Y22" s="3488"/>
      <c r="Z22" s="1510"/>
      <c r="AA22" s="1507">
        <v>1</v>
      </c>
      <c r="AB22" s="1507">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28"/>
      <c r="Q23" s="1506" t="str">
        <f>B23</f>
        <v>环境质量</v>
      </c>
      <c r="R23" s="714" t="s">
        <v>17</v>
      </c>
      <c r="S23" s="715">
        <f>F23</f>
        <v>100</v>
      </c>
      <c r="T23" s="714" t="s">
        <v>17</v>
      </c>
      <c r="U23" s="715">
        <f>H23</f>
        <v>100</v>
      </c>
      <c r="V23" s="714" t="s">
        <v>17</v>
      </c>
      <c r="W23" s="715">
        <f>J23</f>
        <v>100</v>
      </c>
      <c r="X23" s="1509"/>
      <c r="Y23" s="3488"/>
      <c r="Z23" s="1510" t="str">
        <f>Q23</f>
        <v>环境质量</v>
      </c>
      <c r="AA23" s="1507">
        <f t="shared" si="3"/>
        <v>1</v>
      </c>
      <c r="AB23" s="1507">
        <f t="shared" si="4"/>
        <v>1</v>
      </c>
      <c r="AC23" s="2117">
        <f t="shared" si="5"/>
        <v>1</v>
      </c>
    </row>
    <row r="24" spans="1:29" ht="15">
      <c r="A24" s="387"/>
      <c r="B24" s="589"/>
      <c r="C24" s="2059"/>
      <c r="D24" s="407"/>
      <c r="E24" s="2052"/>
      <c r="F24" s="407"/>
      <c r="G24" s="2053"/>
      <c r="H24" s="407"/>
      <c r="I24" s="2053"/>
      <c r="J24" s="407"/>
      <c r="K24" s="572"/>
      <c r="L24" s="2920"/>
      <c r="M24" s="2914"/>
      <c r="N24" s="2914"/>
      <c r="O24" s="2914"/>
      <c r="P24" s="3528"/>
      <c r="Q24" s="1506"/>
      <c r="R24" s="714"/>
      <c r="S24" s="715"/>
      <c r="T24" s="714"/>
      <c r="U24" s="715"/>
      <c r="V24" s="714"/>
      <c r="W24" s="715"/>
      <c r="X24" s="1509"/>
      <c r="Y24" s="3488"/>
      <c r="Z24" s="1510"/>
      <c r="AA24" s="1507">
        <v>1</v>
      </c>
      <c r="AB24" s="1507">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28"/>
      <c r="Q25" s="1506" t="str">
        <f>B25</f>
        <v>毗邻道路的类型与等级</v>
      </c>
      <c r="R25" s="714" t="s">
        <v>17</v>
      </c>
      <c r="S25" s="715">
        <f>F25</f>
        <v>100</v>
      </c>
      <c r="T25" s="714" t="s">
        <v>17</v>
      </c>
      <c r="U25" s="715">
        <f>H25</f>
        <v>100</v>
      </c>
      <c r="V25" s="714" t="s">
        <v>17</v>
      </c>
      <c r="W25" s="715">
        <f>J25</f>
        <v>100</v>
      </c>
      <c r="X25" s="1509"/>
      <c r="Y25" s="3488"/>
      <c r="Z25" s="1510" t="str">
        <f>Q25</f>
        <v>毗邻道路的类型与等级</v>
      </c>
      <c r="AA25" s="1507">
        <f t="shared" si="3"/>
        <v>1</v>
      </c>
      <c r="AB25" s="1507">
        <f t="shared" si="4"/>
        <v>1</v>
      </c>
      <c r="AC25" s="2117">
        <f t="shared" si="5"/>
        <v>1</v>
      </c>
    </row>
    <row r="26" spans="1:29" ht="15">
      <c r="A26" s="364"/>
      <c r="B26" s="588"/>
      <c r="C26" s="590"/>
      <c r="D26" s="394"/>
      <c r="E26" s="573"/>
      <c r="F26" s="394"/>
      <c r="G26" s="590"/>
      <c r="H26" s="394"/>
      <c r="I26" s="573"/>
      <c r="J26" s="394"/>
      <c r="K26" s="572"/>
      <c r="L26" s="2920"/>
      <c r="M26" s="2914"/>
      <c r="N26" s="2914"/>
      <c r="O26" s="2914"/>
      <c r="P26" s="3528"/>
      <c r="Q26" s="1506"/>
      <c r="R26" s="714"/>
      <c r="S26" s="715"/>
      <c r="T26" s="714"/>
      <c r="U26" s="715"/>
      <c r="V26" s="714"/>
      <c r="W26" s="715"/>
      <c r="X26" s="1509"/>
      <c r="Y26" s="3488"/>
      <c r="Z26" s="1510"/>
      <c r="AA26" s="1507">
        <v>1</v>
      </c>
      <c r="AB26" s="1507">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28"/>
      <c r="Q27" s="1506" t="str">
        <f t="shared" ref="Q27:Q47" si="11">B27</f>
        <v>楼层</v>
      </c>
      <c r="R27" s="714" t="s">
        <v>17</v>
      </c>
      <c r="S27" s="715">
        <f>F27</f>
        <v>100</v>
      </c>
      <c r="T27" s="714" t="s">
        <v>17</v>
      </c>
      <c r="U27" s="715">
        <f>H27</f>
        <v>100</v>
      </c>
      <c r="V27" s="714" t="s">
        <v>17</v>
      </c>
      <c r="W27" s="715">
        <f>J27</f>
        <v>100</v>
      </c>
      <c r="X27" s="1509"/>
      <c r="Y27" s="3488"/>
      <c r="Z27" s="1510" t="str">
        <f>Q27</f>
        <v>楼层</v>
      </c>
      <c r="AA27" s="1507">
        <f t="shared" si="3"/>
        <v>1</v>
      </c>
      <c r="AB27" s="1507">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28"/>
      <c r="Q28" s="1497" t="str">
        <f t="shared" si="11"/>
        <v>朝向</v>
      </c>
      <c r="R28" s="710" t="s">
        <v>17</v>
      </c>
      <c r="S28" s="711">
        <f>F28</f>
        <v>100</v>
      </c>
      <c r="T28" s="710" t="s">
        <v>17</v>
      </c>
      <c r="U28" s="711">
        <f>H28</f>
        <v>100</v>
      </c>
      <c r="V28" s="710" t="s">
        <v>17</v>
      </c>
      <c r="W28" s="711">
        <f>J28</f>
        <v>100</v>
      </c>
      <c r="X28" s="712"/>
      <c r="Y28" s="3488"/>
      <c r="Z28" s="55" t="str">
        <f>Q28</f>
        <v>朝向</v>
      </c>
      <c r="AA28" s="1507">
        <f>D28/F28</f>
        <v>1</v>
      </c>
      <c r="AB28" s="1507">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28"/>
      <c r="Q29" s="1506">
        <f t="shared" si="11"/>
        <v>111</v>
      </c>
      <c r="R29" s="714" t="s">
        <v>17</v>
      </c>
      <c r="S29" s="715">
        <f t="shared" ref="S29:S47" si="12">F29</f>
        <v>100</v>
      </c>
      <c r="T29" s="714" t="s">
        <v>17</v>
      </c>
      <c r="U29" s="715">
        <f t="shared" ref="U29:U47" si="13">H29</f>
        <v>100</v>
      </c>
      <c r="V29" s="714" t="s">
        <v>17</v>
      </c>
      <c r="W29" s="715">
        <f t="shared" ref="W29:W47" si="14">J29</f>
        <v>100</v>
      </c>
      <c r="X29" s="1509"/>
      <c r="Y29" s="3488"/>
      <c r="Z29" s="1510">
        <f t="shared" ref="Z29:Z47" si="15">Q29</f>
        <v>111</v>
      </c>
      <c r="AA29" s="1507">
        <f t="shared" si="3"/>
        <v>1</v>
      </c>
      <c r="AB29" s="1507">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28"/>
      <c r="Q30" s="1506">
        <f t="shared" si="11"/>
        <v>111</v>
      </c>
      <c r="R30" s="714" t="s">
        <v>17</v>
      </c>
      <c r="S30" s="715">
        <f t="shared" si="12"/>
        <v>100</v>
      </c>
      <c r="T30" s="714" t="s">
        <v>17</v>
      </c>
      <c r="U30" s="715">
        <f t="shared" si="13"/>
        <v>100</v>
      </c>
      <c r="V30" s="714" t="s">
        <v>17</v>
      </c>
      <c r="W30" s="715">
        <f t="shared" si="14"/>
        <v>100</v>
      </c>
      <c r="X30" s="1509"/>
      <c r="Y30" s="3488"/>
      <c r="Z30" s="1510">
        <f t="shared" si="15"/>
        <v>111</v>
      </c>
      <c r="AA30" s="1507">
        <f t="shared" si="3"/>
        <v>1</v>
      </c>
      <c r="AB30" s="1507">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28"/>
      <c r="Q31" s="1506">
        <f t="shared" si="11"/>
        <v>111</v>
      </c>
      <c r="R31" s="714" t="s">
        <v>17</v>
      </c>
      <c r="S31" s="715">
        <f t="shared" si="12"/>
        <v>100</v>
      </c>
      <c r="T31" s="714" t="s">
        <v>17</v>
      </c>
      <c r="U31" s="715">
        <f t="shared" si="13"/>
        <v>100</v>
      </c>
      <c r="V31" s="714" t="s">
        <v>17</v>
      </c>
      <c r="W31" s="715">
        <f t="shared" si="14"/>
        <v>100</v>
      </c>
      <c r="X31" s="1509"/>
      <c r="Y31" s="3488"/>
      <c r="Z31" s="1510">
        <f t="shared" si="15"/>
        <v>111</v>
      </c>
      <c r="AA31" s="1507">
        <f t="shared" si="3"/>
        <v>1</v>
      </c>
      <c r="AB31" s="1507">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28"/>
      <c r="Q32" s="1506">
        <f t="shared" si="11"/>
        <v>111</v>
      </c>
      <c r="R32" s="714" t="s">
        <v>17</v>
      </c>
      <c r="S32" s="715">
        <f t="shared" si="12"/>
        <v>100</v>
      </c>
      <c r="T32" s="714" t="s">
        <v>17</v>
      </c>
      <c r="U32" s="715">
        <f t="shared" si="13"/>
        <v>100</v>
      </c>
      <c r="V32" s="714" t="s">
        <v>17</v>
      </c>
      <c r="W32" s="715">
        <f t="shared" si="14"/>
        <v>100</v>
      </c>
      <c r="X32" s="1509"/>
      <c r="Y32" s="3488"/>
      <c r="Z32" s="1510">
        <f t="shared" si="15"/>
        <v>111</v>
      </c>
      <c r="AA32" s="1507">
        <f t="shared" si="3"/>
        <v>1</v>
      </c>
      <c r="AB32" s="1507">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23" t="s">
        <v>2326</v>
      </c>
      <c r="Q33" s="1506" t="str">
        <f t="shared" si="11"/>
        <v>建筑类型</v>
      </c>
      <c r="R33" s="714" t="s">
        <v>17</v>
      </c>
      <c r="S33" s="715">
        <f t="shared" si="12"/>
        <v>100</v>
      </c>
      <c r="T33" s="714" t="s">
        <v>17</v>
      </c>
      <c r="U33" s="715">
        <f t="shared" si="13"/>
        <v>100</v>
      </c>
      <c r="V33" s="714" t="s">
        <v>17</v>
      </c>
      <c r="W33" s="715">
        <f t="shared" si="14"/>
        <v>100</v>
      </c>
      <c r="X33" s="1509"/>
      <c r="Y33" s="3490" t="s">
        <v>2326</v>
      </c>
      <c r="Z33" s="1510" t="str">
        <f t="shared" si="15"/>
        <v>建筑类型</v>
      </c>
      <c r="AA33" s="1507">
        <f t="shared" si="3"/>
        <v>1</v>
      </c>
      <c r="AB33" s="1507">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24"/>
      <c r="Q34" s="716" t="str">
        <f t="shared" si="11"/>
        <v>项目建筑规模</v>
      </c>
      <c r="R34" s="717" t="s">
        <v>17</v>
      </c>
      <c r="S34" s="718" t="e">
        <f t="shared" si="12"/>
        <v>#N/A</v>
      </c>
      <c r="T34" s="717" t="s">
        <v>17</v>
      </c>
      <c r="U34" s="718" t="e">
        <f t="shared" si="13"/>
        <v>#N/A</v>
      </c>
      <c r="V34" s="717" t="s">
        <v>17</v>
      </c>
      <c r="W34" s="718" t="e">
        <f t="shared" si="14"/>
        <v>#N/A</v>
      </c>
      <c r="X34" s="719"/>
      <c r="Y34" s="3490"/>
      <c r="Z34" s="720" t="str">
        <f t="shared" si="15"/>
        <v>项目建筑规模</v>
      </c>
      <c r="AA34" s="1507" t="e">
        <f t="shared" si="3"/>
        <v>#N/A</v>
      </c>
      <c r="AB34" s="1507"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24"/>
      <c r="Q35" s="1506" t="str">
        <f t="shared" si="11"/>
        <v>建筑结构</v>
      </c>
      <c r="R35" s="714" t="s">
        <v>17</v>
      </c>
      <c r="S35" s="715">
        <f t="shared" si="12"/>
        <v>100</v>
      </c>
      <c r="T35" s="714" t="s">
        <v>17</v>
      </c>
      <c r="U35" s="715">
        <f t="shared" si="13"/>
        <v>100</v>
      </c>
      <c r="V35" s="714" t="s">
        <v>17</v>
      </c>
      <c r="W35" s="715">
        <f t="shared" si="14"/>
        <v>100</v>
      </c>
      <c r="X35" s="1509"/>
      <c r="Y35" s="3490"/>
      <c r="Z35" s="1510" t="str">
        <f t="shared" si="15"/>
        <v>建筑结构</v>
      </c>
      <c r="AA35" s="1507">
        <f t="shared" si="3"/>
        <v>1</v>
      </c>
      <c r="AB35" s="1507">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24"/>
      <c r="Q36" s="1506" t="str">
        <f t="shared" si="11"/>
        <v>公共部分装修</v>
      </c>
      <c r="R36" s="714" t="s">
        <v>17</v>
      </c>
      <c r="S36" s="715">
        <f t="shared" si="12"/>
        <v>100</v>
      </c>
      <c r="T36" s="714" t="s">
        <v>17</v>
      </c>
      <c r="U36" s="715">
        <f t="shared" si="13"/>
        <v>100</v>
      </c>
      <c r="V36" s="714" t="s">
        <v>17</v>
      </c>
      <c r="W36" s="715">
        <f t="shared" si="14"/>
        <v>100</v>
      </c>
      <c r="X36" s="1509"/>
      <c r="Y36" s="3490"/>
      <c r="Z36" s="1510" t="str">
        <f t="shared" si="15"/>
        <v>公共部分装修</v>
      </c>
      <c r="AA36" s="1507">
        <f t="shared" si="3"/>
        <v>1</v>
      </c>
      <c r="AB36" s="1507">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24"/>
      <c r="Q37" s="1506" t="str">
        <f t="shared" si="11"/>
        <v>成新度</v>
      </c>
      <c r="R37" s="714" t="s">
        <v>17</v>
      </c>
      <c r="S37" s="715" t="e">
        <f t="shared" si="12"/>
        <v>#N/A</v>
      </c>
      <c r="T37" s="714" t="s">
        <v>17</v>
      </c>
      <c r="U37" s="715" t="e">
        <f t="shared" si="13"/>
        <v>#N/A</v>
      </c>
      <c r="V37" s="714" t="s">
        <v>17</v>
      </c>
      <c r="W37" s="715" t="e">
        <f t="shared" si="14"/>
        <v>#N/A</v>
      </c>
      <c r="X37" s="1509"/>
      <c r="Y37" s="3490"/>
      <c r="Z37" s="1510" t="str">
        <f t="shared" si="15"/>
        <v>成新度</v>
      </c>
      <c r="AA37" s="1507" t="e">
        <f t="shared" si="3"/>
        <v>#N/A</v>
      </c>
      <c r="AB37" s="1507"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24"/>
      <c r="Q38" s="1497" t="str">
        <f t="shared" si="11"/>
        <v>写字楼等级</v>
      </c>
      <c r="R38" s="710" t="s">
        <v>17</v>
      </c>
      <c r="S38" s="711">
        <f t="shared" si="12"/>
        <v>100</v>
      </c>
      <c r="T38" s="710" t="s">
        <v>17</v>
      </c>
      <c r="U38" s="711">
        <f t="shared" si="13"/>
        <v>100</v>
      </c>
      <c r="V38" s="710" t="s">
        <v>17</v>
      </c>
      <c r="W38" s="711">
        <f t="shared" si="14"/>
        <v>100</v>
      </c>
      <c r="X38" s="712"/>
      <c r="Y38" s="3490"/>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24" t="s">
        <v>2326</v>
      </c>
      <c r="Q39" s="1506" t="str">
        <f t="shared" si="11"/>
        <v>物业管理</v>
      </c>
      <c r="R39" s="714" t="s">
        <v>17</v>
      </c>
      <c r="S39" s="715">
        <f t="shared" si="12"/>
        <v>100</v>
      </c>
      <c r="T39" s="714" t="s">
        <v>17</v>
      </c>
      <c r="U39" s="715">
        <f t="shared" si="13"/>
        <v>100</v>
      </c>
      <c r="V39" s="714" t="s">
        <v>17</v>
      </c>
      <c r="W39" s="715">
        <f t="shared" si="14"/>
        <v>100</v>
      </c>
      <c r="X39" s="1509"/>
      <c r="Y39" s="3490" t="s">
        <v>2326</v>
      </c>
      <c r="Z39" s="1510" t="str">
        <f t="shared" si="15"/>
        <v>物业管理</v>
      </c>
      <c r="AA39" s="1507">
        <f t="shared" si="3"/>
        <v>1</v>
      </c>
      <c r="AB39" s="1507">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24"/>
      <c r="Q40" s="1506" t="str">
        <f t="shared" si="11"/>
        <v>市政基础设施</v>
      </c>
      <c r="R40" s="714" t="s">
        <v>17</v>
      </c>
      <c r="S40" s="715">
        <f t="shared" si="12"/>
        <v>100</v>
      </c>
      <c r="T40" s="714" t="s">
        <v>17</v>
      </c>
      <c r="U40" s="715">
        <f t="shared" si="13"/>
        <v>100</v>
      </c>
      <c r="V40" s="714" t="s">
        <v>17</v>
      </c>
      <c r="W40" s="715">
        <f t="shared" si="14"/>
        <v>100</v>
      </c>
      <c r="X40" s="1509"/>
      <c r="Y40" s="3490"/>
      <c r="Z40" s="1510" t="str">
        <f t="shared" si="15"/>
        <v>市政基础设施</v>
      </c>
      <c r="AA40" s="1507">
        <f t="shared" si="3"/>
        <v>1</v>
      </c>
      <c r="AB40" s="1507">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24"/>
      <c r="Q41" s="1506" t="str">
        <f t="shared" si="11"/>
        <v>层高</v>
      </c>
      <c r="R41" s="714" t="s">
        <v>17</v>
      </c>
      <c r="S41" s="715">
        <f t="shared" si="12"/>
        <v>100</v>
      </c>
      <c r="T41" s="714" t="s">
        <v>17</v>
      </c>
      <c r="U41" s="715">
        <f t="shared" si="13"/>
        <v>100</v>
      </c>
      <c r="V41" s="714" t="s">
        <v>17</v>
      </c>
      <c r="W41" s="715">
        <f t="shared" si="14"/>
        <v>100</v>
      </c>
      <c r="X41" s="1509"/>
      <c r="Y41" s="3490"/>
      <c r="Z41" s="1510" t="str">
        <f t="shared" si="15"/>
        <v>层高</v>
      </c>
      <c r="AA41" s="1507">
        <f t="shared" si="3"/>
        <v>1</v>
      </c>
      <c r="AB41" s="1507">
        <f t="shared" si="4"/>
        <v>1</v>
      </c>
      <c r="AC41" s="2117">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24"/>
      <c r="Q42" s="716" t="str">
        <f t="shared" si="11"/>
        <v>单套建筑面积</v>
      </c>
      <c r="R42" s="717" t="s">
        <v>17</v>
      </c>
      <c r="S42" s="718">
        <f t="shared" si="12"/>
        <v>100</v>
      </c>
      <c r="T42" s="717" t="s">
        <v>17</v>
      </c>
      <c r="U42" s="718">
        <f t="shared" si="13"/>
        <v>100</v>
      </c>
      <c r="V42" s="717" t="s">
        <v>17</v>
      </c>
      <c r="W42" s="718">
        <f t="shared" si="14"/>
        <v>100</v>
      </c>
      <c r="X42" s="719"/>
      <c r="Y42" s="3490"/>
      <c r="Z42" s="720" t="str">
        <f t="shared" si="15"/>
        <v>单套建筑面积</v>
      </c>
      <c r="AA42" s="1507">
        <f t="shared" si="3"/>
        <v>1</v>
      </c>
      <c r="AB42" s="1507">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24"/>
      <c r="Q43" s="1506" t="str">
        <f t="shared" si="11"/>
        <v>内部装修</v>
      </c>
      <c r="R43" s="714" t="s">
        <v>17</v>
      </c>
      <c r="S43" s="715">
        <f t="shared" si="12"/>
        <v>100</v>
      </c>
      <c r="T43" s="714" t="s">
        <v>17</v>
      </c>
      <c r="U43" s="715">
        <f t="shared" si="13"/>
        <v>100</v>
      </c>
      <c r="V43" s="714" t="s">
        <v>17</v>
      </c>
      <c r="W43" s="715">
        <f t="shared" si="14"/>
        <v>100</v>
      </c>
      <c r="X43" s="1509"/>
      <c r="Y43" s="3490"/>
      <c r="Z43" s="1510" t="str">
        <f t="shared" si="15"/>
        <v>内部装修</v>
      </c>
      <c r="AA43" s="1507">
        <f t="shared" si="3"/>
        <v>1</v>
      </c>
      <c r="AB43" s="1507">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24"/>
      <c r="Q44" s="1506" t="str">
        <f t="shared" si="11"/>
        <v>内部装修维护情况</v>
      </c>
      <c r="R44" s="714" t="s">
        <v>17</v>
      </c>
      <c r="S44" s="715">
        <f t="shared" si="12"/>
        <v>100</v>
      </c>
      <c r="T44" s="714" t="s">
        <v>17</v>
      </c>
      <c r="U44" s="715">
        <f t="shared" si="13"/>
        <v>100</v>
      </c>
      <c r="V44" s="714" t="s">
        <v>17</v>
      </c>
      <c r="W44" s="715">
        <f t="shared" si="14"/>
        <v>100</v>
      </c>
      <c r="X44" s="1509"/>
      <c r="Y44" s="3490"/>
      <c r="Z44" s="1510" t="str">
        <f t="shared" si="15"/>
        <v>内部装修维护情况</v>
      </c>
      <c r="AA44" s="1507">
        <f t="shared" si="3"/>
        <v>1</v>
      </c>
      <c r="AB44" s="1507">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24"/>
      <c r="Q45" s="1497">
        <f t="shared" si="11"/>
        <v>111</v>
      </c>
      <c r="R45" s="710" t="s">
        <v>17</v>
      </c>
      <c r="S45" s="711">
        <f t="shared" si="12"/>
        <v>100</v>
      </c>
      <c r="T45" s="710" t="s">
        <v>17</v>
      </c>
      <c r="U45" s="711">
        <f t="shared" si="13"/>
        <v>100</v>
      </c>
      <c r="V45" s="710" t="s">
        <v>17</v>
      </c>
      <c r="W45" s="711">
        <f t="shared" si="14"/>
        <v>100</v>
      </c>
      <c r="X45" s="712"/>
      <c r="Y45" s="3490"/>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24"/>
      <c r="Q46" s="1506">
        <f t="shared" si="11"/>
        <v>111</v>
      </c>
      <c r="R46" s="714" t="s">
        <v>17</v>
      </c>
      <c r="S46" s="715">
        <f t="shared" si="12"/>
        <v>100</v>
      </c>
      <c r="T46" s="714" t="s">
        <v>17</v>
      </c>
      <c r="U46" s="715">
        <f t="shared" si="13"/>
        <v>100</v>
      </c>
      <c r="V46" s="714" t="s">
        <v>17</v>
      </c>
      <c r="W46" s="715">
        <f t="shared" si="14"/>
        <v>100</v>
      </c>
      <c r="X46" s="1509"/>
      <c r="Y46" s="3490"/>
      <c r="Z46" s="1510">
        <f t="shared" si="15"/>
        <v>111</v>
      </c>
      <c r="AA46" s="1507">
        <f t="shared" si="3"/>
        <v>1</v>
      </c>
      <c r="AB46" s="1507">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25"/>
      <c r="Q47" s="1506">
        <f t="shared" si="11"/>
        <v>111</v>
      </c>
      <c r="R47" s="714" t="s">
        <v>17</v>
      </c>
      <c r="S47" s="715">
        <f t="shared" si="12"/>
        <v>100</v>
      </c>
      <c r="T47" s="714" t="s">
        <v>17</v>
      </c>
      <c r="U47" s="715">
        <f t="shared" si="13"/>
        <v>100</v>
      </c>
      <c r="V47" s="714" t="s">
        <v>17</v>
      </c>
      <c r="W47" s="715">
        <f t="shared" si="14"/>
        <v>100</v>
      </c>
      <c r="X47" s="1509"/>
      <c r="Y47" s="3526"/>
      <c r="Z47" s="1510">
        <f t="shared" si="15"/>
        <v>111</v>
      </c>
      <c r="AA47" s="1507">
        <f t="shared" si="3"/>
        <v>1</v>
      </c>
      <c r="AB47" s="1507">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21" t="str">
        <f>A48</f>
        <v>成交单价（元/平方米）</v>
      </c>
      <c r="Q48" s="3472"/>
      <c r="R48" s="3491">
        <f>E48</f>
        <v>0</v>
      </c>
      <c r="S48" s="3491"/>
      <c r="T48" s="3491">
        <f>G48</f>
        <v>0</v>
      </c>
      <c r="U48" s="3491"/>
      <c r="V48" s="3491">
        <f>I48</f>
        <v>0</v>
      </c>
      <c r="W48" s="3491"/>
      <c r="X48" s="405"/>
      <c r="Y48" s="721"/>
      <c r="Z48" s="405"/>
      <c r="AA48" s="405"/>
      <c r="AB48" s="405"/>
      <c r="AC48" s="586"/>
    </row>
    <row r="49" spans="1:29" ht="15.75" thickBot="1">
      <c r="A49" s="445" t="s">
        <v>2430</v>
      </c>
      <c r="B49" s="446"/>
      <c r="C49" s="1294" t="e">
        <f>R50</f>
        <v>#DIV/0!</v>
      </c>
      <c r="D49" s="2507" t="s">
        <v>2817</v>
      </c>
      <c r="E49" s="1295" t="e">
        <f>R49</f>
        <v>#DIV/0!</v>
      </c>
      <c r="F49" s="2508"/>
      <c r="G49" s="1294" t="e">
        <f>T49</f>
        <v>#DIV/0!</v>
      </c>
      <c r="H49" s="2508"/>
      <c r="I49" s="1295" t="e">
        <f>V49</f>
        <v>#DIV/0!</v>
      </c>
      <c r="J49" s="2508"/>
      <c r="K49" s="2510">
        <f>F49+H49+J49</f>
        <v>0</v>
      </c>
      <c r="L49" s="2922"/>
      <c r="M49" s="2914"/>
      <c r="N49" s="2914"/>
      <c r="O49" s="2914"/>
      <c r="P49" s="3521" t="str">
        <f>A49</f>
        <v>比较价值（元/平方米）</v>
      </c>
      <c r="Q49" s="3472"/>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2022-1</v>
      </c>
      <c r="D59" s="1319">
        <f>EDATE(C59,-1)</f>
        <v>44531</v>
      </c>
      <c r="E59" s="1319">
        <f>EDATE(D59,-1)</f>
        <v>44501</v>
      </c>
      <c r="F59" s="1319">
        <f t="shared" ref="F59:O59" si="16">EDATE(E59,-1)</f>
        <v>44470</v>
      </c>
      <c r="G59" s="1319">
        <f t="shared" si="16"/>
        <v>44440</v>
      </c>
      <c r="H59" s="1319">
        <f t="shared" si="16"/>
        <v>44409</v>
      </c>
      <c r="I59" s="1319">
        <f t="shared" si="16"/>
        <v>44378</v>
      </c>
      <c r="J59" s="1319">
        <f t="shared" si="16"/>
        <v>44348</v>
      </c>
      <c r="K59" s="1319">
        <f t="shared" si="16"/>
        <v>44317</v>
      </c>
      <c r="L59" s="1319">
        <f t="shared" si="16"/>
        <v>44287</v>
      </c>
      <c r="M59" s="1319">
        <f t="shared" si="16"/>
        <v>44256</v>
      </c>
      <c r="N59" s="1319">
        <f t="shared" si="16"/>
        <v>44228</v>
      </c>
      <c r="O59" s="1319">
        <f t="shared" si="16"/>
        <v>44197</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2" t="s">
        <v>2463</v>
      </c>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32206.89000000029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1044"/>
      <c r="M4" s="1045"/>
      <c r="N4" s="1045"/>
      <c r="O4" s="1045"/>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1044"/>
      <c r="M5" s="1045"/>
      <c r="N5" s="1045"/>
      <c r="O5" s="1045"/>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567" t="s">
        <v>2308</v>
      </c>
      <c r="L6" s="1044"/>
      <c r="M6" s="1045"/>
      <c r="N6" s="1045"/>
      <c r="O6" s="1045"/>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44573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8" t="s">
        <v>2313</v>
      </c>
      <c r="Q8" s="3459"/>
      <c r="R8" s="710" t="s">
        <v>17</v>
      </c>
      <c r="S8" s="711">
        <f t="shared" si="0"/>
        <v>0</v>
      </c>
      <c r="T8" s="710" t="s">
        <v>17</v>
      </c>
      <c r="U8" s="711">
        <f t="shared" si="1"/>
        <v>0</v>
      </c>
      <c r="V8" s="710" t="s">
        <v>17</v>
      </c>
      <c r="W8" s="711">
        <f t="shared" si="2"/>
        <v>0</v>
      </c>
      <c r="X8" s="712"/>
      <c r="Y8" s="3458" t="s">
        <v>2313</v>
      </c>
      <c r="Z8" s="345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2" t="s">
        <v>2316</v>
      </c>
      <c r="Q9" s="1497"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2"/>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2"/>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72"/>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72"/>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72"/>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7" t="s">
        <v>2321</v>
      </c>
      <c r="Q15" s="1506" t="str">
        <f t="shared" si="6"/>
        <v>产业集聚程度</v>
      </c>
      <c r="R15" s="714" t="s">
        <v>17</v>
      </c>
      <c r="S15" s="715">
        <f t="shared" si="0"/>
        <v>100</v>
      </c>
      <c r="T15" s="714" t="s">
        <v>17</v>
      </c>
      <c r="U15" s="715">
        <f t="shared" si="1"/>
        <v>100</v>
      </c>
      <c r="V15" s="714" t="s">
        <v>17</v>
      </c>
      <c r="W15" s="715">
        <f t="shared" si="2"/>
        <v>100</v>
      </c>
      <c r="X15" s="1509"/>
      <c r="Y15" s="348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88"/>
      <c r="Q16" s="1506"/>
      <c r="R16" s="714"/>
      <c r="S16" s="715"/>
      <c r="T16" s="714"/>
      <c r="U16" s="715"/>
      <c r="V16" s="714"/>
      <c r="W16" s="715"/>
      <c r="X16" s="1509"/>
      <c r="Y16" s="3488"/>
      <c r="Z16" s="1510"/>
      <c r="AA16" s="1507">
        <v>1</v>
      </c>
      <c r="AB16" s="1507">
        <v>1</v>
      </c>
      <c r="AC16" s="1507">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8"/>
      <c r="Q17" s="1506" t="str">
        <f>B17</f>
        <v>交通便捷度</v>
      </c>
      <c r="R17" s="714" t="s">
        <v>17</v>
      </c>
      <c r="S17" s="715">
        <f>F17</f>
        <v>100</v>
      </c>
      <c r="T17" s="714" t="s">
        <v>17</v>
      </c>
      <c r="U17" s="715">
        <f>H17</f>
        <v>100</v>
      </c>
      <c r="V17" s="714" t="s">
        <v>17</v>
      </c>
      <c r="W17" s="715">
        <f>J17</f>
        <v>100</v>
      </c>
      <c r="X17" s="1509"/>
      <c r="Y17" s="3488"/>
      <c r="Z17" s="1510" t="str">
        <f>Q17</f>
        <v>交通便捷度</v>
      </c>
      <c r="AA17" s="1507">
        <f t="shared" si="3"/>
        <v>1</v>
      </c>
      <c r="AB17" s="1507">
        <f t="shared" si="4"/>
        <v>1</v>
      </c>
      <c r="AC17" s="1507">
        <f t="shared" si="5"/>
        <v>1</v>
      </c>
    </row>
    <row r="18" spans="1:29" ht="15">
      <c r="A18" s="387"/>
      <c r="B18" s="415"/>
      <c r="C18" s="2056"/>
      <c r="D18" s="409"/>
      <c r="E18" s="2058"/>
      <c r="F18" s="412"/>
      <c r="G18" s="2057"/>
      <c r="H18" s="407"/>
      <c r="I18" s="2058"/>
      <c r="J18" s="407"/>
      <c r="K18" s="572"/>
      <c r="L18" s="1054"/>
      <c r="M18" s="1045"/>
      <c r="N18" s="1045"/>
      <c r="O18" s="1053"/>
      <c r="P18" s="3488"/>
      <c r="Q18" s="1506"/>
      <c r="R18" s="714"/>
      <c r="S18" s="715"/>
      <c r="T18" s="714"/>
      <c r="U18" s="715"/>
      <c r="V18" s="714"/>
      <c r="W18" s="715"/>
      <c r="X18" s="1509"/>
      <c r="Y18" s="3488"/>
      <c r="Z18" s="1510"/>
      <c r="AA18" s="1507">
        <v>1</v>
      </c>
      <c r="AB18" s="1507">
        <v>1</v>
      </c>
      <c r="AC18" s="1507">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8"/>
      <c r="Q19" s="1506" t="str">
        <f>B19</f>
        <v>公共配套设施</v>
      </c>
      <c r="R19" s="714" t="s">
        <v>17</v>
      </c>
      <c r="S19" s="715">
        <f>F19</f>
        <v>100</v>
      </c>
      <c r="T19" s="714" t="s">
        <v>17</v>
      </c>
      <c r="U19" s="715">
        <f>H19</f>
        <v>100</v>
      </c>
      <c r="V19" s="714" t="s">
        <v>17</v>
      </c>
      <c r="W19" s="715">
        <f>J19</f>
        <v>100</v>
      </c>
      <c r="X19" s="1509"/>
      <c r="Y19" s="3488"/>
      <c r="Z19" s="1510" t="str">
        <f>Q19</f>
        <v>公共配套设施</v>
      </c>
      <c r="AA19" s="1507">
        <f t="shared" si="3"/>
        <v>1</v>
      </c>
      <c r="AB19" s="1507">
        <f t="shared" si="4"/>
        <v>1</v>
      </c>
      <c r="AC19" s="1507">
        <f t="shared" si="5"/>
        <v>1</v>
      </c>
    </row>
    <row r="20" spans="1:29" ht="15">
      <c r="A20" s="387"/>
      <c r="B20" s="415"/>
      <c r="C20" s="406"/>
      <c r="D20" s="407"/>
      <c r="E20" s="2053"/>
      <c r="F20" s="408"/>
      <c r="G20" s="2052"/>
      <c r="H20" s="407"/>
      <c r="I20" s="2053"/>
      <c r="J20" s="407"/>
      <c r="K20" s="572"/>
      <c r="L20" s="1054"/>
      <c r="M20" s="1045"/>
      <c r="N20" s="1045"/>
      <c r="O20" s="1053"/>
      <c r="P20" s="3488"/>
      <c r="Q20" s="1506"/>
      <c r="R20" s="714"/>
      <c r="S20" s="715"/>
      <c r="T20" s="714"/>
      <c r="U20" s="715"/>
      <c r="V20" s="714"/>
      <c r="W20" s="715"/>
      <c r="X20" s="1509"/>
      <c r="Y20" s="3488"/>
      <c r="Z20" s="1510"/>
      <c r="AA20" s="1507">
        <v>1</v>
      </c>
      <c r="AB20" s="1507">
        <v>1</v>
      </c>
      <c r="AC20" s="1507">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8"/>
      <c r="Q21" s="1506" t="str">
        <f>B21</f>
        <v>基础设施水平</v>
      </c>
      <c r="R21" s="714" t="s">
        <v>17</v>
      </c>
      <c r="S21" s="715">
        <f>F21</f>
        <v>100</v>
      </c>
      <c r="T21" s="714" t="s">
        <v>17</v>
      </c>
      <c r="U21" s="715">
        <f>H21</f>
        <v>100</v>
      </c>
      <c r="V21" s="714" t="s">
        <v>17</v>
      </c>
      <c r="W21" s="715">
        <f>J21</f>
        <v>100</v>
      </c>
      <c r="X21" s="1509"/>
      <c r="Y21" s="3488"/>
      <c r="Z21" s="1510" t="str">
        <f>Q21</f>
        <v>基础设施水平</v>
      </c>
      <c r="AA21" s="1507">
        <f t="shared" ref="AA21" si="8">D21/F21</f>
        <v>1</v>
      </c>
      <c r="AB21" s="1507">
        <f t="shared" ref="AB21" si="9">D21/H21</f>
        <v>1</v>
      </c>
      <c r="AC21" s="1507">
        <f t="shared" ref="AC21" si="10">D21/J21</f>
        <v>1</v>
      </c>
    </row>
    <row r="22" spans="1:29" ht="15">
      <c r="A22" s="387"/>
      <c r="B22" s="1265"/>
      <c r="C22" s="2056"/>
      <c r="D22" s="407"/>
      <c r="E22" s="406"/>
      <c r="F22" s="408"/>
      <c r="G22" s="406"/>
      <c r="H22" s="407"/>
      <c r="I22" s="406"/>
      <c r="J22" s="407"/>
      <c r="K22" s="1264"/>
      <c r="L22" s="1054"/>
      <c r="M22" s="1045"/>
      <c r="N22" s="1045"/>
      <c r="O22" s="1053"/>
      <c r="P22" s="3488"/>
      <c r="Q22" s="1506"/>
      <c r="R22" s="714"/>
      <c r="S22" s="715"/>
      <c r="T22" s="714"/>
      <c r="U22" s="715"/>
      <c r="V22" s="714"/>
      <c r="W22" s="715"/>
      <c r="X22" s="1509"/>
      <c r="Y22" s="3488"/>
      <c r="Z22" s="1510"/>
      <c r="AA22" s="1507">
        <v>1</v>
      </c>
      <c r="AB22" s="1507">
        <v>1</v>
      </c>
      <c r="AC22" s="1507">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8"/>
      <c r="Q23" s="1506" t="str">
        <f>B23</f>
        <v>环境质量</v>
      </c>
      <c r="R23" s="714" t="s">
        <v>17</v>
      </c>
      <c r="S23" s="715">
        <f>F23</f>
        <v>100</v>
      </c>
      <c r="T23" s="714" t="s">
        <v>17</v>
      </c>
      <c r="U23" s="715">
        <f>H23</f>
        <v>100</v>
      </c>
      <c r="V23" s="714" t="s">
        <v>17</v>
      </c>
      <c r="W23" s="715">
        <f>J23</f>
        <v>100</v>
      </c>
      <c r="X23" s="1509"/>
      <c r="Y23" s="3488"/>
      <c r="Z23" s="1510" t="str">
        <f>Q23</f>
        <v>环境质量</v>
      </c>
      <c r="AA23" s="1507">
        <f t="shared" si="3"/>
        <v>1</v>
      </c>
      <c r="AB23" s="1507">
        <f t="shared" si="4"/>
        <v>1</v>
      </c>
      <c r="AC23" s="1507">
        <f t="shared" si="5"/>
        <v>1</v>
      </c>
    </row>
    <row r="24" spans="1:29" ht="15">
      <c r="A24" s="387"/>
      <c r="B24" s="1265"/>
      <c r="C24" s="406"/>
      <c r="D24" s="407"/>
      <c r="E24" s="2053"/>
      <c r="F24" s="408"/>
      <c r="G24" s="2052"/>
      <c r="H24" s="407"/>
      <c r="I24" s="2053"/>
      <c r="J24" s="407"/>
      <c r="K24" s="572"/>
      <c r="L24" s="1054"/>
      <c r="M24" s="1045"/>
      <c r="N24" s="1045"/>
      <c r="O24" s="1053"/>
      <c r="P24" s="3488"/>
      <c r="Q24" s="1506"/>
      <c r="R24" s="714"/>
      <c r="S24" s="715"/>
      <c r="T24" s="714"/>
      <c r="U24" s="715"/>
      <c r="V24" s="714"/>
      <c r="W24" s="715"/>
      <c r="X24" s="1509"/>
      <c r="Y24" s="348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8"/>
      <c r="Q25" s="1506">
        <f>B25</f>
        <v>111</v>
      </c>
      <c r="R25" s="714" t="s">
        <v>17</v>
      </c>
      <c r="S25" s="715">
        <f>F25</f>
        <v>100</v>
      </c>
      <c r="T25" s="714" t="s">
        <v>17</v>
      </c>
      <c r="U25" s="715">
        <f>H25</f>
        <v>100</v>
      </c>
      <c r="V25" s="714" t="s">
        <v>17</v>
      </c>
      <c r="W25" s="715">
        <f>J25</f>
        <v>100</v>
      </c>
      <c r="X25" s="1509"/>
      <c r="Y25" s="348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8"/>
      <c r="Q26" s="1506">
        <f t="shared" ref="Q26:Q40" si="11">B26</f>
        <v>111</v>
      </c>
      <c r="R26" s="714" t="s">
        <v>17</v>
      </c>
      <c r="S26" s="715">
        <f>F26</f>
        <v>100</v>
      </c>
      <c r="T26" s="714" t="s">
        <v>17</v>
      </c>
      <c r="U26" s="715">
        <f>H26</f>
        <v>100</v>
      </c>
      <c r="V26" s="714" t="s">
        <v>17</v>
      </c>
      <c r="W26" s="715">
        <f>J26</f>
        <v>100</v>
      </c>
      <c r="X26" s="1509"/>
      <c r="Y26" s="348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8"/>
      <c r="Q27" s="1497">
        <f t="shared" si="11"/>
        <v>111</v>
      </c>
      <c r="R27" s="710" t="s">
        <v>17</v>
      </c>
      <c r="S27" s="711">
        <f>F27</f>
        <v>100</v>
      </c>
      <c r="T27" s="710" t="s">
        <v>17</v>
      </c>
      <c r="U27" s="711">
        <f>H27</f>
        <v>100</v>
      </c>
      <c r="V27" s="710" t="s">
        <v>17</v>
      </c>
      <c r="W27" s="711">
        <f>J27</f>
        <v>100</v>
      </c>
      <c r="X27" s="712"/>
      <c r="Y27" s="348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8"/>
      <c r="Q28" s="1506">
        <f t="shared" si="11"/>
        <v>111</v>
      </c>
      <c r="R28" s="714" t="s">
        <v>17</v>
      </c>
      <c r="S28" s="715">
        <f t="shared" ref="S28:S40" si="12">F28</f>
        <v>100</v>
      </c>
      <c r="T28" s="714" t="s">
        <v>17</v>
      </c>
      <c r="U28" s="715">
        <f t="shared" ref="U28:U40" si="13">H28</f>
        <v>100</v>
      </c>
      <c r="V28" s="714" t="s">
        <v>17</v>
      </c>
      <c r="W28" s="715">
        <f t="shared" ref="W28:W40" si="14">J28</f>
        <v>100</v>
      </c>
      <c r="X28" s="1509"/>
      <c r="Y28" s="3488"/>
      <c r="Z28" s="1510">
        <f t="shared" ref="Z28:Z40" si="15">Q28</f>
        <v>111</v>
      </c>
      <c r="AA28" s="1507">
        <f t="shared" si="3"/>
        <v>1</v>
      </c>
      <c r="AB28" s="1507">
        <f t="shared" si="4"/>
        <v>1</v>
      </c>
      <c r="AC28" s="1507">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9" t="s">
        <v>2326</v>
      </c>
      <c r="Q29" s="1506" t="str">
        <f t="shared" si="11"/>
        <v>建筑类型</v>
      </c>
      <c r="R29" s="714" t="s">
        <v>17</v>
      </c>
      <c r="S29" s="715">
        <f t="shared" si="12"/>
        <v>100</v>
      </c>
      <c r="T29" s="714" t="s">
        <v>17</v>
      </c>
      <c r="U29" s="715">
        <f t="shared" si="13"/>
        <v>100</v>
      </c>
      <c r="V29" s="714" t="s">
        <v>17</v>
      </c>
      <c r="W29" s="715">
        <f t="shared" si="14"/>
        <v>100</v>
      </c>
      <c r="X29" s="1509"/>
      <c r="Y29" s="3490"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0"/>
      <c r="Q30" s="716" t="str">
        <f t="shared" si="11"/>
        <v>项目建筑规模</v>
      </c>
      <c r="R30" s="717" t="s">
        <v>17</v>
      </c>
      <c r="S30" s="718" t="e">
        <f t="shared" si="12"/>
        <v>#N/A</v>
      </c>
      <c r="T30" s="717" t="s">
        <v>17</v>
      </c>
      <c r="U30" s="718" t="e">
        <f t="shared" si="13"/>
        <v>#N/A</v>
      </c>
      <c r="V30" s="717" t="s">
        <v>17</v>
      </c>
      <c r="W30" s="718" t="e">
        <f t="shared" si="14"/>
        <v>#N/A</v>
      </c>
      <c r="X30" s="719"/>
      <c r="Y30" s="3490"/>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0"/>
      <c r="Q31" s="1506" t="str">
        <f t="shared" si="11"/>
        <v>建筑结构</v>
      </c>
      <c r="R31" s="714" t="s">
        <v>17</v>
      </c>
      <c r="S31" s="715">
        <f t="shared" si="12"/>
        <v>100</v>
      </c>
      <c r="T31" s="714" t="s">
        <v>17</v>
      </c>
      <c r="U31" s="715">
        <f t="shared" si="13"/>
        <v>100</v>
      </c>
      <c r="V31" s="714" t="s">
        <v>17</v>
      </c>
      <c r="W31" s="715">
        <f t="shared" si="14"/>
        <v>100</v>
      </c>
      <c r="X31" s="1509"/>
      <c r="Y31" s="3490"/>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0"/>
      <c r="Q32" s="1506" t="str">
        <f t="shared" si="11"/>
        <v>公共部分装修</v>
      </c>
      <c r="R32" s="714" t="s">
        <v>17</v>
      </c>
      <c r="S32" s="715">
        <f t="shared" si="12"/>
        <v>100</v>
      </c>
      <c r="T32" s="714" t="s">
        <v>17</v>
      </c>
      <c r="U32" s="715">
        <f t="shared" si="13"/>
        <v>100</v>
      </c>
      <c r="V32" s="714" t="s">
        <v>17</v>
      </c>
      <c r="W32" s="715">
        <f t="shared" si="14"/>
        <v>100</v>
      </c>
      <c r="X32" s="1509"/>
      <c r="Y32" s="3490"/>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0"/>
      <c r="Q33" s="1506" t="str">
        <f t="shared" si="11"/>
        <v>成新度</v>
      </c>
      <c r="R33" s="714" t="s">
        <v>17</v>
      </c>
      <c r="S33" s="715" t="e">
        <f t="shared" si="12"/>
        <v>#N/A</v>
      </c>
      <c r="T33" s="714" t="s">
        <v>17</v>
      </c>
      <c r="U33" s="715" t="e">
        <f t="shared" si="13"/>
        <v>#N/A</v>
      </c>
      <c r="V33" s="714" t="s">
        <v>17</v>
      </c>
      <c r="W33" s="715" t="e">
        <f t="shared" si="14"/>
        <v>#N/A</v>
      </c>
      <c r="X33" s="1509"/>
      <c r="Y33" s="3490"/>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0"/>
      <c r="Q34" s="1497" t="str">
        <f t="shared" si="11"/>
        <v>物业管理</v>
      </c>
      <c r="R34" s="710" t="s">
        <v>17</v>
      </c>
      <c r="S34" s="711">
        <f t="shared" si="12"/>
        <v>100</v>
      </c>
      <c r="T34" s="710" t="s">
        <v>17</v>
      </c>
      <c r="U34" s="711">
        <f t="shared" si="13"/>
        <v>100</v>
      </c>
      <c r="V34" s="710" t="s">
        <v>17</v>
      </c>
      <c r="W34" s="711">
        <f t="shared" si="14"/>
        <v>100</v>
      </c>
      <c r="X34" s="712"/>
      <c r="Y34" s="349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0" t="s">
        <v>2326</v>
      </c>
      <c r="Q35" s="1506" t="str">
        <f t="shared" si="11"/>
        <v>市政基础设施</v>
      </c>
      <c r="R35" s="714" t="s">
        <v>17</v>
      </c>
      <c r="S35" s="715">
        <f t="shared" si="12"/>
        <v>100</v>
      </c>
      <c r="T35" s="714" t="s">
        <v>17</v>
      </c>
      <c r="U35" s="715">
        <f t="shared" si="13"/>
        <v>100</v>
      </c>
      <c r="V35" s="714" t="s">
        <v>17</v>
      </c>
      <c r="W35" s="715">
        <f t="shared" si="14"/>
        <v>100</v>
      </c>
      <c r="X35" s="1509"/>
      <c r="Y35" s="3490"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0"/>
      <c r="Q36" s="1506" t="str">
        <f t="shared" si="11"/>
        <v>内部装修</v>
      </c>
      <c r="R36" s="714" t="s">
        <v>17</v>
      </c>
      <c r="S36" s="715">
        <f t="shared" si="12"/>
        <v>100</v>
      </c>
      <c r="T36" s="714" t="s">
        <v>17</v>
      </c>
      <c r="U36" s="715">
        <f t="shared" si="13"/>
        <v>100</v>
      </c>
      <c r="V36" s="714" t="s">
        <v>17</v>
      </c>
      <c r="W36" s="715">
        <f t="shared" si="14"/>
        <v>100</v>
      </c>
      <c r="X36" s="1509"/>
      <c r="Y36" s="3490"/>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0"/>
      <c r="Q37" s="1506" t="str">
        <f t="shared" si="11"/>
        <v>内部装修状况</v>
      </c>
      <c r="R37" s="714" t="s">
        <v>17</v>
      </c>
      <c r="S37" s="715">
        <f t="shared" si="12"/>
        <v>100</v>
      </c>
      <c r="T37" s="714" t="s">
        <v>17</v>
      </c>
      <c r="U37" s="715">
        <f t="shared" si="13"/>
        <v>100</v>
      </c>
      <c r="V37" s="714" t="s">
        <v>17</v>
      </c>
      <c r="W37" s="715">
        <f t="shared" si="14"/>
        <v>100</v>
      </c>
      <c r="X37" s="1509"/>
      <c r="Y37" s="349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0"/>
      <c r="Q38" s="716">
        <f t="shared" si="11"/>
        <v>111</v>
      </c>
      <c r="R38" s="717" t="s">
        <v>17</v>
      </c>
      <c r="S38" s="718">
        <f t="shared" si="12"/>
        <v>100</v>
      </c>
      <c r="T38" s="717" t="s">
        <v>17</v>
      </c>
      <c r="U38" s="718">
        <f t="shared" si="13"/>
        <v>100</v>
      </c>
      <c r="V38" s="717" t="s">
        <v>17</v>
      </c>
      <c r="W38" s="718">
        <f t="shared" si="14"/>
        <v>100</v>
      </c>
      <c r="X38" s="719"/>
      <c r="Y38" s="349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0"/>
      <c r="Q39" s="1506">
        <f t="shared" si="11"/>
        <v>111</v>
      </c>
      <c r="R39" s="714" t="s">
        <v>17</v>
      </c>
      <c r="S39" s="715">
        <f t="shared" si="12"/>
        <v>100</v>
      </c>
      <c r="T39" s="714" t="s">
        <v>17</v>
      </c>
      <c r="U39" s="715">
        <f t="shared" si="13"/>
        <v>100</v>
      </c>
      <c r="V39" s="714" t="s">
        <v>17</v>
      </c>
      <c r="W39" s="715">
        <f t="shared" si="14"/>
        <v>100</v>
      </c>
      <c r="X39" s="1509"/>
      <c r="Y39" s="3490"/>
      <c r="Z39" s="1510">
        <f t="shared" si="15"/>
        <v>111</v>
      </c>
      <c r="AA39" s="1507">
        <f t="shared" si="3"/>
        <v>1</v>
      </c>
      <c r="AB39" s="1507">
        <f t="shared" si="4"/>
        <v>1</v>
      </c>
      <c r="AC39" s="1507">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6"/>
      <c r="Q40" s="1506">
        <f t="shared" si="11"/>
        <v>111</v>
      </c>
      <c r="R40" s="714" t="s">
        <v>17</v>
      </c>
      <c r="S40" s="715">
        <f t="shared" si="12"/>
        <v>100</v>
      </c>
      <c r="T40" s="714" t="s">
        <v>17</v>
      </c>
      <c r="U40" s="715">
        <f t="shared" si="13"/>
        <v>100</v>
      </c>
      <c r="V40" s="714" t="s">
        <v>17</v>
      </c>
      <c r="W40" s="715">
        <f t="shared" si="14"/>
        <v>100</v>
      </c>
      <c r="X40" s="1509"/>
      <c r="Y40" s="352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72" t="str">
        <f>A41</f>
        <v>成交单价（元/平方米）</v>
      </c>
      <c r="Q41" s="3472"/>
      <c r="R41" s="3491">
        <f>E41</f>
        <v>0</v>
      </c>
      <c r="S41" s="3491"/>
      <c r="T41" s="3491">
        <f>G41</f>
        <v>0</v>
      </c>
      <c r="U41" s="3491"/>
      <c r="V41" s="3491">
        <f>I41</f>
        <v>0</v>
      </c>
      <c r="W41" s="3491"/>
      <c r="X41" s="699"/>
      <c r="Y41" s="721"/>
      <c r="Z41" s="699"/>
      <c r="AA41" s="699"/>
      <c r="AB41" s="699"/>
      <c r="AC41" s="699"/>
    </row>
    <row r="42" spans="1:29" ht="15.75" thickBot="1">
      <c r="A42" s="445" t="s">
        <v>2430</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72" t="str">
        <f>A42</f>
        <v>比较价值（元/平方米）</v>
      </c>
      <c r="Q42" s="3472"/>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92" t="str">
        <f>A43</f>
        <v>估价对象XX用房的比较价值（楼面单价，元/平方米）</v>
      </c>
      <c r="Q43" s="3493"/>
      <c r="R43" s="3522" t="e">
        <f>IF(F1="售价",ROUND(IF(D42="简单平均",AVERAGE(R42:V42),R42*F42+T42*H42+V42*J42),0),ROUND(IF(D42="简单平均",AVERAGE(R42:V42),R42*F42+T42*H42+V42*J42),1))</f>
        <v>#DIV/0!</v>
      </c>
      <c r="S43" s="3522"/>
      <c r="T43" s="3522"/>
      <c r="U43" s="3522"/>
      <c r="V43" s="3522"/>
      <c r="W43" s="3522"/>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2022-1</v>
      </c>
      <c r="D52" s="1319">
        <f>EDATE(C52,-1)</f>
        <v>44531</v>
      </c>
      <c r="E52" s="1319">
        <f t="shared" ref="E52:O52" si="16">EDATE(D52,-1)</f>
        <v>44501</v>
      </c>
      <c r="F52" s="1319">
        <f t="shared" si="16"/>
        <v>44470</v>
      </c>
      <c r="G52" s="1319">
        <f t="shared" si="16"/>
        <v>44440</v>
      </c>
      <c r="H52" s="1319">
        <f t="shared" si="16"/>
        <v>44409</v>
      </c>
      <c r="I52" s="1319">
        <f t="shared" si="16"/>
        <v>44378</v>
      </c>
      <c r="J52" s="1319">
        <f t="shared" si="16"/>
        <v>44348</v>
      </c>
      <c r="K52" s="1319">
        <f t="shared" si="16"/>
        <v>44317</v>
      </c>
      <c r="L52" s="1319">
        <f t="shared" si="16"/>
        <v>44287</v>
      </c>
      <c r="M52" s="1319">
        <f t="shared" si="16"/>
        <v>44256</v>
      </c>
      <c r="N52" s="1319">
        <f t="shared" si="16"/>
        <v>44228</v>
      </c>
      <c r="O52" s="1319">
        <f t="shared" si="16"/>
        <v>44197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4"/>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2913"/>
      <c r="M4" s="2914"/>
      <c r="N4" s="2914"/>
      <c r="O4" s="2914"/>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2913"/>
      <c r="M5" s="2914"/>
      <c r="N5" s="2914"/>
      <c r="O5" s="2914"/>
      <c r="P5" s="3479"/>
      <c r="Q5" s="3480"/>
      <c r="R5" s="3462"/>
      <c r="S5" s="3463"/>
      <c r="T5" s="3462"/>
      <c r="U5" s="3463"/>
      <c r="V5" s="3485"/>
      <c r="W5" s="3485"/>
      <c r="X5" s="1509"/>
      <c r="Y5" s="3462"/>
      <c r="Z5" s="3463"/>
      <c r="AA5" s="3456"/>
      <c r="AB5" s="3456"/>
      <c r="AC5" s="3456"/>
    </row>
    <row r="6" spans="1:29" ht="15.75" thickBot="1">
      <c r="A6" s="366"/>
      <c r="B6" s="367"/>
      <c r="C6" s="3468" t="s">
        <v>2307</v>
      </c>
      <c r="D6" s="3469"/>
      <c r="E6" s="3470" t="s">
        <v>2307</v>
      </c>
      <c r="F6" s="3471"/>
      <c r="G6" s="3468" t="s">
        <v>2307</v>
      </c>
      <c r="H6" s="3469"/>
      <c r="I6" s="3468" t="s">
        <v>2307</v>
      </c>
      <c r="J6" s="3469"/>
      <c r="K6" s="567" t="s">
        <v>2308</v>
      </c>
      <c r="L6" s="2913"/>
      <c r="M6" s="2914"/>
      <c r="N6" s="2914"/>
      <c r="O6" s="2914"/>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44573</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58" t="s">
        <v>2310</v>
      </c>
      <c r="Q7" s="3486"/>
      <c r="R7" s="710" t="s">
        <v>17</v>
      </c>
      <c r="S7" s="711">
        <f t="shared" ref="S7:S14" si="0">F7</f>
        <v>0</v>
      </c>
      <c r="T7" s="710" t="s">
        <v>17</v>
      </c>
      <c r="U7" s="711">
        <f t="shared" ref="U7:U14" si="1">H7</f>
        <v>0</v>
      </c>
      <c r="V7" s="710" t="s">
        <v>17</v>
      </c>
      <c r="W7" s="711">
        <f t="shared" ref="W7:W14" si="2">J7</f>
        <v>0</v>
      </c>
      <c r="X7" s="712"/>
      <c r="Y7" s="3458" t="s">
        <v>2310</v>
      </c>
      <c r="Z7" s="345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58" t="s">
        <v>2313</v>
      </c>
      <c r="Q8" s="3459"/>
      <c r="R8" s="710" t="s">
        <v>17</v>
      </c>
      <c r="S8" s="711">
        <f t="shared" si="0"/>
        <v>0</v>
      </c>
      <c r="T8" s="710" t="s">
        <v>17</v>
      </c>
      <c r="U8" s="711">
        <f t="shared" si="1"/>
        <v>0</v>
      </c>
      <c r="V8" s="710" t="s">
        <v>17</v>
      </c>
      <c r="W8" s="711">
        <f t="shared" si="2"/>
        <v>0</v>
      </c>
      <c r="X8" s="712"/>
      <c r="Y8" s="3458" t="s">
        <v>2313</v>
      </c>
      <c r="Z8" s="345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72" t="s">
        <v>2316</v>
      </c>
      <c r="Q9" s="1497" t="str">
        <f t="shared" ref="Q9:Q14" si="6">B9</f>
        <v>用途</v>
      </c>
      <c r="R9" s="710" t="s">
        <v>17</v>
      </c>
      <c r="S9" s="711">
        <f t="shared" si="0"/>
        <v>100</v>
      </c>
      <c r="T9" s="710" t="s">
        <v>17</v>
      </c>
      <c r="U9" s="711">
        <f t="shared" si="1"/>
        <v>100</v>
      </c>
      <c r="V9" s="710" t="s">
        <v>17</v>
      </c>
      <c r="W9" s="711">
        <f t="shared" si="2"/>
        <v>100</v>
      </c>
      <c r="X9" s="712"/>
      <c r="Y9" s="342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72"/>
      <c r="Q10" s="149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72"/>
      <c r="Q11" s="149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72"/>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72"/>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87" t="s">
        <v>2321</v>
      </c>
      <c r="Q14" s="1506" t="str">
        <f t="shared" si="6"/>
        <v>交通便捷度</v>
      </c>
      <c r="R14" s="714" t="s">
        <v>17</v>
      </c>
      <c r="S14" s="715">
        <f t="shared" si="0"/>
        <v>100</v>
      </c>
      <c r="T14" s="714" t="s">
        <v>17</v>
      </c>
      <c r="U14" s="715">
        <f t="shared" si="1"/>
        <v>100</v>
      </c>
      <c r="V14" s="714" t="s">
        <v>17</v>
      </c>
      <c r="W14" s="715">
        <f t="shared" si="2"/>
        <v>100</v>
      </c>
      <c r="X14" s="1509"/>
      <c r="Y14" s="348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88"/>
      <c r="Q15" s="1506"/>
      <c r="R15" s="714"/>
      <c r="S15" s="715"/>
      <c r="T15" s="714"/>
      <c r="U15" s="715"/>
      <c r="V15" s="714"/>
      <c r="W15" s="715"/>
      <c r="X15" s="1509"/>
      <c r="Y15" s="3488"/>
      <c r="Z15" s="1510"/>
      <c r="AA15" s="1507">
        <v>1</v>
      </c>
      <c r="AB15" s="1507">
        <v>1</v>
      </c>
      <c r="AC15" s="1507">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88"/>
      <c r="Q16" s="1506" t="str">
        <f>B16</f>
        <v>公共配套设施</v>
      </c>
      <c r="R16" s="714" t="s">
        <v>17</v>
      </c>
      <c r="S16" s="715">
        <f>F16</f>
        <v>100</v>
      </c>
      <c r="T16" s="714" t="s">
        <v>17</v>
      </c>
      <c r="U16" s="715">
        <f>H16</f>
        <v>100</v>
      </c>
      <c r="V16" s="714" t="s">
        <v>17</v>
      </c>
      <c r="W16" s="715">
        <f>J16</f>
        <v>100</v>
      </c>
      <c r="X16" s="1509"/>
      <c r="Y16" s="3488"/>
      <c r="Z16" s="1510" t="str">
        <f>Q16</f>
        <v>公共配套设施</v>
      </c>
      <c r="AA16" s="1507">
        <f t="shared" si="3"/>
        <v>1</v>
      </c>
      <c r="AB16" s="1507">
        <f t="shared" si="4"/>
        <v>1</v>
      </c>
      <c r="AC16" s="1507">
        <f t="shared" si="5"/>
        <v>1</v>
      </c>
    </row>
    <row r="17" spans="1:29" ht="15">
      <c r="A17" s="387"/>
      <c r="B17" s="415"/>
      <c r="C17" s="2056"/>
      <c r="D17" s="407"/>
      <c r="E17" s="406"/>
      <c r="F17" s="408"/>
      <c r="G17" s="406"/>
      <c r="H17" s="407"/>
      <c r="I17" s="406"/>
      <c r="J17" s="407"/>
      <c r="K17" s="572"/>
      <c r="L17" s="2920"/>
      <c r="M17" s="2914"/>
      <c r="N17" s="2914"/>
      <c r="O17" s="2972"/>
      <c r="P17" s="3488"/>
      <c r="Q17" s="1506"/>
      <c r="R17" s="714"/>
      <c r="S17" s="715"/>
      <c r="T17" s="714"/>
      <c r="U17" s="715"/>
      <c r="V17" s="714"/>
      <c r="W17" s="715"/>
      <c r="X17" s="1509"/>
      <c r="Y17" s="3488"/>
      <c r="Z17" s="1510"/>
      <c r="AA17" s="1507">
        <v>1</v>
      </c>
      <c r="AB17" s="1507">
        <v>1</v>
      </c>
      <c r="AC17" s="1507">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88"/>
      <c r="Q18" s="1506" t="str">
        <f>B18</f>
        <v>基础设施水平</v>
      </c>
      <c r="R18" s="714" t="s">
        <v>17</v>
      </c>
      <c r="S18" s="715">
        <f>F18</f>
        <v>100</v>
      </c>
      <c r="T18" s="714" t="s">
        <v>17</v>
      </c>
      <c r="U18" s="715">
        <f>H18</f>
        <v>100</v>
      </c>
      <c r="V18" s="714" t="s">
        <v>17</v>
      </c>
      <c r="W18" s="715">
        <f>J18</f>
        <v>100</v>
      </c>
      <c r="X18" s="1509"/>
      <c r="Y18" s="3488"/>
      <c r="Z18" s="1510" t="str">
        <f>Q18</f>
        <v>基础设施水平</v>
      </c>
      <c r="AA18" s="1507">
        <f t="shared" ref="AA18" si="8">D18/F18</f>
        <v>1</v>
      </c>
      <c r="AB18" s="1507">
        <f t="shared" ref="AB18" si="9">D18/H18</f>
        <v>1</v>
      </c>
      <c r="AC18" s="1507">
        <f t="shared" ref="AC18" si="10">D18/J18</f>
        <v>1</v>
      </c>
    </row>
    <row r="19" spans="1:29" ht="15">
      <c r="A19" s="387"/>
      <c r="B19" s="1265"/>
      <c r="C19" s="2056"/>
      <c r="D19" s="409"/>
      <c r="E19" s="2056"/>
      <c r="F19" s="412"/>
      <c r="G19" s="2056"/>
      <c r="H19" s="407"/>
      <c r="I19" s="406"/>
      <c r="J19" s="407"/>
      <c r="K19" s="1264"/>
      <c r="L19" s="2920"/>
      <c r="M19" s="2914"/>
      <c r="N19" s="2914"/>
      <c r="O19" s="2972"/>
      <c r="P19" s="3488"/>
      <c r="Q19" s="1506"/>
      <c r="R19" s="714"/>
      <c r="S19" s="715"/>
      <c r="T19" s="714"/>
      <c r="U19" s="715"/>
      <c r="V19" s="714"/>
      <c r="W19" s="715"/>
      <c r="X19" s="1509"/>
      <c r="Y19" s="3488"/>
      <c r="Z19" s="1510"/>
      <c r="AA19" s="1507">
        <v>1</v>
      </c>
      <c r="AB19" s="1507">
        <v>1</v>
      </c>
      <c r="AC19" s="1507">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88"/>
      <c r="Q20" s="1506" t="str">
        <f>B20</f>
        <v>自然及人文环境</v>
      </c>
      <c r="R20" s="714" t="s">
        <v>17</v>
      </c>
      <c r="S20" s="715">
        <f>F20</f>
        <v>100</v>
      </c>
      <c r="T20" s="714" t="s">
        <v>17</v>
      </c>
      <c r="U20" s="715">
        <f>H20</f>
        <v>100</v>
      </c>
      <c r="V20" s="714" t="s">
        <v>17</v>
      </c>
      <c r="W20" s="715">
        <f>J20</f>
        <v>100</v>
      </c>
      <c r="X20" s="1509"/>
      <c r="Y20" s="348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88"/>
      <c r="Q21" s="1506"/>
      <c r="R21" s="714"/>
      <c r="S21" s="715"/>
      <c r="T21" s="714"/>
      <c r="U21" s="715"/>
      <c r="V21" s="714"/>
      <c r="W21" s="715"/>
      <c r="X21" s="1509"/>
      <c r="Y21" s="348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88"/>
      <c r="Q22" s="1506" t="str">
        <f>B22</f>
        <v>楼层</v>
      </c>
      <c r="R22" s="714" t="s">
        <v>17</v>
      </c>
      <c r="S22" s="715">
        <f>F22</f>
        <v>100</v>
      </c>
      <c r="T22" s="714" t="s">
        <v>17</v>
      </c>
      <c r="U22" s="715">
        <f>H22</f>
        <v>100</v>
      </c>
      <c r="V22" s="714" t="s">
        <v>17</v>
      </c>
      <c r="W22" s="715">
        <f>J22</f>
        <v>100</v>
      </c>
      <c r="X22" s="1509"/>
      <c r="Y22" s="3488"/>
      <c r="Z22" s="1510" t="str">
        <f>Q22</f>
        <v>楼层</v>
      </c>
      <c r="AA22" s="1507">
        <f t="shared" si="3"/>
        <v>1</v>
      </c>
      <c r="AB22" s="1507">
        <f t="shared" si="4"/>
        <v>1</v>
      </c>
      <c r="AC22" s="1507">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88"/>
      <c r="Q23" s="1506">
        <f>B23</f>
        <v>111</v>
      </c>
      <c r="R23" s="714" t="s">
        <v>17</v>
      </c>
      <c r="S23" s="715">
        <f>F23</f>
        <v>100</v>
      </c>
      <c r="T23" s="714" t="s">
        <v>17</v>
      </c>
      <c r="U23" s="715">
        <f>H23</f>
        <v>100</v>
      </c>
      <c r="V23" s="714" t="s">
        <v>17</v>
      </c>
      <c r="W23" s="715">
        <f>J23</f>
        <v>100</v>
      </c>
      <c r="X23" s="1509"/>
      <c r="Y23" s="3488"/>
      <c r="Z23" s="1510">
        <f>Q23</f>
        <v>111</v>
      </c>
      <c r="AA23" s="1507">
        <f t="shared" si="3"/>
        <v>1</v>
      </c>
      <c r="AB23" s="1507">
        <f t="shared" si="4"/>
        <v>1</v>
      </c>
      <c r="AC23" s="1507">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88"/>
      <c r="Q24" s="1506">
        <f t="shared" ref="Q24:Q34" si="11">B24</f>
        <v>111</v>
      </c>
      <c r="R24" s="714" t="s">
        <v>17</v>
      </c>
      <c r="S24" s="715">
        <f>F24</f>
        <v>100</v>
      </c>
      <c r="T24" s="714" t="s">
        <v>17</v>
      </c>
      <c r="U24" s="715">
        <f>H24</f>
        <v>100</v>
      </c>
      <c r="V24" s="714" t="s">
        <v>17</v>
      </c>
      <c r="W24" s="715">
        <f>J24</f>
        <v>100</v>
      </c>
      <c r="X24" s="1509"/>
      <c r="Y24" s="3488"/>
      <c r="Z24" s="1510">
        <f>Q24</f>
        <v>111</v>
      </c>
      <c r="AA24" s="1507">
        <f t="shared" si="3"/>
        <v>1</v>
      </c>
      <c r="AB24" s="1507">
        <f t="shared" si="4"/>
        <v>1</v>
      </c>
      <c r="AC24" s="1507">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88"/>
      <c r="Q25" s="1497">
        <f t="shared" si="11"/>
        <v>111</v>
      </c>
      <c r="R25" s="710" t="s">
        <v>17</v>
      </c>
      <c r="S25" s="711">
        <f>F25</f>
        <v>100</v>
      </c>
      <c r="T25" s="710" t="s">
        <v>17</v>
      </c>
      <c r="U25" s="711">
        <f>H25</f>
        <v>100</v>
      </c>
      <c r="V25" s="710" t="s">
        <v>17</v>
      </c>
      <c r="W25" s="711">
        <f>J25</f>
        <v>100</v>
      </c>
      <c r="X25" s="712"/>
      <c r="Y25" s="3488"/>
      <c r="Z25" s="55">
        <f>Q25</f>
        <v>111</v>
      </c>
      <c r="AA25" s="1507">
        <f>D25/F25</f>
        <v>1</v>
      </c>
      <c r="AB25" s="1507">
        <f>D25/H25</f>
        <v>1</v>
      </c>
      <c r="AC25" s="1507">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489"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0"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0"/>
      <c r="Q27" s="716" t="str">
        <f t="shared" si="11"/>
        <v>成新率</v>
      </c>
      <c r="R27" s="717" t="s">
        <v>17</v>
      </c>
      <c r="S27" s="718" t="e">
        <f t="shared" si="12"/>
        <v>#N/A</v>
      </c>
      <c r="T27" s="717" t="s">
        <v>17</v>
      </c>
      <c r="U27" s="718" t="e">
        <f t="shared" si="13"/>
        <v>#N/A</v>
      </c>
      <c r="V27" s="717" t="s">
        <v>17</v>
      </c>
      <c r="W27" s="718" t="e">
        <f t="shared" si="14"/>
        <v>#N/A</v>
      </c>
      <c r="X27" s="719"/>
      <c r="Y27" s="3490"/>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0"/>
      <c r="Q28" s="1506" t="str">
        <f t="shared" si="11"/>
        <v>物业等级</v>
      </c>
      <c r="R28" s="714" t="s">
        <v>17</v>
      </c>
      <c r="S28" s="715">
        <f t="shared" si="12"/>
        <v>100</v>
      </c>
      <c r="T28" s="714" t="s">
        <v>17</v>
      </c>
      <c r="U28" s="715">
        <f t="shared" si="13"/>
        <v>100</v>
      </c>
      <c r="V28" s="714" t="s">
        <v>17</v>
      </c>
      <c r="W28" s="715">
        <f t="shared" si="14"/>
        <v>100</v>
      </c>
      <c r="X28" s="1509"/>
      <c r="Y28" s="3490"/>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0"/>
      <c r="Q29" s="1506" t="str">
        <f t="shared" si="11"/>
        <v>有无电梯</v>
      </c>
      <c r="R29" s="714" t="s">
        <v>17</v>
      </c>
      <c r="S29" s="715">
        <f t="shared" si="12"/>
        <v>100</v>
      </c>
      <c r="T29" s="714" t="s">
        <v>17</v>
      </c>
      <c r="U29" s="715">
        <f t="shared" si="13"/>
        <v>100</v>
      </c>
      <c r="V29" s="714" t="s">
        <v>17</v>
      </c>
      <c r="W29" s="715">
        <f t="shared" si="14"/>
        <v>100</v>
      </c>
      <c r="X29" s="1509"/>
      <c r="Y29" s="3490"/>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0"/>
      <c r="Q30" s="1506" t="str">
        <f t="shared" si="11"/>
        <v>建筑面积</v>
      </c>
      <c r="R30" s="714" t="s">
        <v>17</v>
      </c>
      <c r="S30" s="715" t="e">
        <f t="shared" si="12"/>
        <v>#N/A</v>
      </c>
      <c r="T30" s="714" t="s">
        <v>17</v>
      </c>
      <c r="U30" s="715" t="e">
        <f t="shared" si="13"/>
        <v>#N/A</v>
      </c>
      <c r="V30" s="714" t="s">
        <v>17</v>
      </c>
      <c r="W30" s="715" t="e">
        <f t="shared" si="14"/>
        <v>#N/A</v>
      </c>
      <c r="X30" s="1509"/>
      <c r="Y30" s="3490"/>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0"/>
      <c r="Q31" s="1497" t="str">
        <f t="shared" si="11"/>
        <v>是否封闭</v>
      </c>
      <c r="R31" s="710" t="s">
        <v>17</v>
      </c>
      <c r="S31" s="711">
        <f t="shared" si="12"/>
        <v>100</v>
      </c>
      <c r="T31" s="710" t="s">
        <v>17</v>
      </c>
      <c r="U31" s="711">
        <f t="shared" si="13"/>
        <v>100</v>
      </c>
      <c r="V31" s="710" t="s">
        <v>17</v>
      </c>
      <c r="W31" s="711">
        <f t="shared" si="14"/>
        <v>100</v>
      </c>
      <c r="X31" s="712"/>
      <c r="Y31" s="3490"/>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0" t="s">
        <v>2326</v>
      </c>
      <c r="Q32" s="1506">
        <f t="shared" si="11"/>
        <v>111</v>
      </c>
      <c r="R32" s="714" t="s">
        <v>17</v>
      </c>
      <c r="S32" s="715">
        <f t="shared" si="12"/>
        <v>100</v>
      </c>
      <c r="T32" s="714" t="s">
        <v>17</v>
      </c>
      <c r="U32" s="715">
        <f t="shared" si="13"/>
        <v>100</v>
      </c>
      <c r="V32" s="714" t="s">
        <v>17</v>
      </c>
      <c r="W32" s="715">
        <f t="shared" si="14"/>
        <v>100</v>
      </c>
      <c r="X32" s="1509"/>
      <c r="Y32" s="3490" t="s">
        <v>2326</v>
      </c>
      <c r="Z32" s="1510">
        <f t="shared" si="15"/>
        <v>111</v>
      </c>
      <c r="AA32" s="1507">
        <f t="shared" si="3"/>
        <v>1</v>
      </c>
      <c r="AB32" s="1507">
        <f t="shared" si="4"/>
        <v>1</v>
      </c>
      <c r="AC32" s="1507">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0"/>
      <c r="Q33" s="1506">
        <f t="shared" si="11"/>
        <v>111</v>
      </c>
      <c r="R33" s="714" t="s">
        <v>17</v>
      </c>
      <c r="S33" s="715">
        <f t="shared" si="12"/>
        <v>100</v>
      </c>
      <c r="T33" s="714" t="s">
        <v>17</v>
      </c>
      <c r="U33" s="715">
        <f t="shared" si="13"/>
        <v>100</v>
      </c>
      <c r="V33" s="714" t="s">
        <v>17</v>
      </c>
      <c r="W33" s="715">
        <f t="shared" si="14"/>
        <v>100</v>
      </c>
      <c r="X33" s="1509"/>
      <c r="Y33" s="3490"/>
      <c r="Z33" s="1510">
        <f t="shared" si="15"/>
        <v>111</v>
      </c>
      <c r="AA33" s="1507">
        <f t="shared" si="3"/>
        <v>1</v>
      </c>
      <c r="AB33" s="1507">
        <f t="shared" si="4"/>
        <v>1</v>
      </c>
      <c r="AC33" s="1507">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0"/>
      <c r="Q34" s="1506">
        <f t="shared" si="11"/>
        <v>111</v>
      </c>
      <c r="R34" s="714" t="s">
        <v>17</v>
      </c>
      <c r="S34" s="715">
        <f t="shared" si="12"/>
        <v>100</v>
      </c>
      <c r="T34" s="714" t="s">
        <v>17</v>
      </c>
      <c r="U34" s="715">
        <f t="shared" si="13"/>
        <v>100</v>
      </c>
      <c r="V34" s="714" t="s">
        <v>17</v>
      </c>
      <c r="W34" s="715">
        <f t="shared" si="14"/>
        <v>100</v>
      </c>
      <c r="X34" s="1509"/>
      <c r="Y34" s="3490"/>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72" t="str">
        <f>A35</f>
        <v>成交单价（元/平方米）</v>
      </c>
      <c r="Q35" s="3472"/>
      <c r="R35" s="3491">
        <f>E35</f>
        <v>0</v>
      </c>
      <c r="S35" s="3491"/>
      <c r="T35" s="3491">
        <f>G35</f>
        <v>0</v>
      </c>
      <c r="U35" s="3491"/>
      <c r="V35" s="3491">
        <f>I35</f>
        <v>0</v>
      </c>
      <c r="W35" s="3491"/>
      <c r="X35" s="699"/>
      <c r="Y35" s="721"/>
      <c r="Z35" s="699"/>
      <c r="AA35" s="699"/>
      <c r="AB35" s="699"/>
      <c r="AC35" s="699"/>
    </row>
    <row r="36" spans="1:30" ht="15.75" thickBot="1">
      <c r="A36" s="445" t="s">
        <v>2430</v>
      </c>
      <c r="B36" s="446"/>
      <c r="C36" s="1294" t="e">
        <f>R37</f>
        <v>#DIV/0!</v>
      </c>
      <c r="D36" s="2507" t="s">
        <v>2817</v>
      </c>
      <c r="E36" s="1295" t="e">
        <f>R36</f>
        <v>#DIV/0!</v>
      </c>
      <c r="F36" s="2508"/>
      <c r="G36" s="1294" t="e">
        <f>T36</f>
        <v>#DIV/0!</v>
      </c>
      <c r="H36" s="2508"/>
      <c r="I36" s="1295" t="e">
        <f>V36</f>
        <v>#DIV/0!</v>
      </c>
      <c r="J36" s="2508"/>
      <c r="K36" s="2510">
        <f>F36+H36+J36</f>
        <v>0</v>
      </c>
      <c r="L36" s="2922"/>
      <c r="M36" s="2923"/>
      <c r="N36" s="2914"/>
      <c r="O36" s="2923"/>
      <c r="P36" s="3472" t="str">
        <f>A36</f>
        <v>比较价值（元/平方米）</v>
      </c>
      <c r="Q36" s="3472"/>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92" t="str">
        <f>A37</f>
        <v>估价对象XX用房的比较价值（楼面单价，元/平方米）</v>
      </c>
      <c r="Q37" s="3493"/>
      <c r="R37" s="3494" t="e">
        <f>IF(F1="售价",ROUND(IF(D36="简单平均",AVERAGE(R36:W36),R36*F36+T36*H36+V36*J36),0),ROUND(IF(D36="简单平均",AVERAGE(R36:V36),R36*F36+T36*H36+V36*J36),1))</f>
        <v>#DIV/0!</v>
      </c>
      <c r="S37" s="3494"/>
      <c r="T37" s="3494"/>
      <c r="U37" s="3494"/>
      <c r="V37" s="3494"/>
      <c r="W37" s="3494"/>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2022-1</v>
      </c>
      <c r="D46" s="1319">
        <f>EDATE(C46,-1)</f>
        <v>44531</v>
      </c>
      <c r="E46" s="1319">
        <f t="shared" ref="E46:O46" si="16">EDATE(D46,-1)</f>
        <v>44501</v>
      </c>
      <c r="F46" s="1319">
        <f t="shared" si="16"/>
        <v>44470</v>
      </c>
      <c r="G46" s="1319">
        <f t="shared" si="16"/>
        <v>44440</v>
      </c>
      <c r="H46" s="1319">
        <f t="shared" si="16"/>
        <v>44409</v>
      </c>
      <c r="I46" s="1319">
        <f t="shared" si="16"/>
        <v>44378</v>
      </c>
      <c r="J46" s="1319">
        <f t="shared" si="16"/>
        <v>44348</v>
      </c>
      <c r="K46" s="1319">
        <f t="shared" si="16"/>
        <v>44317</v>
      </c>
      <c r="L46" s="1319">
        <f t="shared" si="16"/>
        <v>44287</v>
      </c>
      <c r="M46" s="1319">
        <f t="shared" si="16"/>
        <v>44256</v>
      </c>
      <c r="N46" s="1319">
        <f t="shared" si="16"/>
        <v>44228</v>
      </c>
      <c r="O46" s="1319">
        <f t="shared" si="16"/>
        <v>44197</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2500</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2489</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2493</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2501</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2503</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3" t="s">
        <v>2407</v>
      </c>
      <c r="D4" s="3474"/>
      <c r="E4" s="3475" t="s">
        <v>2408</v>
      </c>
      <c r="F4" s="3476"/>
      <c r="G4" s="3473" t="s">
        <v>2409</v>
      </c>
      <c r="H4" s="3474"/>
      <c r="I4" s="3473" t="s">
        <v>2410</v>
      </c>
      <c r="J4" s="3474"/>
      <c r="K4" s="567" t="s">
        <v>2411</v>
      </c>
      <c r="L4" s="2913"/>
      <c r="M4" s="2914"/>
      <c r="N4" s="2914"/>
      <c r="O4" s="2914"/>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30" ht="15">
      <c r="A5" s="364"/>
      <c r="B5" s="365"/>
      <c r="C5" s="3466" t="s">
        <v>2303</v>
      </c>
      <c r="D5" s="3467"/>
      <c r="E5" s="3464" t="s">
        <v>2304</v>
      </c>
      <c r="F5" s="3465"/>
      <c r="G5" s="3466" t="s">
        <v>2305</v>
      </c>
      <c r="H5" s="3467"/>
      <c r="I5" s="3466" t="s">
        <v>2306</v>
      </c>
      <c r="J5" s="3467"/>
      <c r="K5" s="567"/>
      <c r="L5" s="2913"/>
      <c r="M5" s="2914"/>
      <c r="N5" s="2914"/>
      <c r="O5" s="2914"/>
      <c r="P5" s="3479"/>
      <c r="Q5" s="3480"/>
      <c r="R5" s="3462"/>
      <c r="S5" s="3463"/>
      <c r="T5" s="3462"/>
      <c r="U5" s="3463"/>
      <c r="V5" s="3485"/>
      <c r="W5" s="3485"/>
      <c r="X5" s="1509"/>
      <c r="Y5" s="3462"/>
      <c r="Z5" s="3463"/>
      <c r="AA5" s="3456"/>
      <c r="AB5" s="3456"/>
      <c r="AC5" s="3456"/>
    </row>
    <row r="6" spans="1:30" ht="15.75" thickBot="1">
      <c r="A6" s="366"/>
      <c r="B6" s="367"/>
      <c r="C6" s="3468" t="s">
        <v>2307</v>
      </c>
      <c r="D6" s="3469"/>
      <c r="E6" s="3470" t="s">
        <v>2307</v>
      </c>
      <c r="F6" s="3471"/>
      <c r="G6" s="3468" t="s">
        <v>2307</v>
      </c>
      <c r="H6" s="3469"/>
      <c r="I6" s="3468" t="s">
        <v>2307</v>
      </c>
      <c r="J6" s="3469"/>
      <c r="K6" s="567" t="s">
        <v>2308</v>
      </c>
      <c r="L6" s="2913"/>
      <c r="M6" s="2914"/>
      <c r="N6" s="2914"/>
      <c r="O6" s="2914"/>
      <c r="P6" s="3481"/>
      <c r="Q6" s="3482"/>
      <c r="R6" s="3462"/>
      <c r="S6" s="3463"/>
      <c r="T6" s="3483"/>
      <c r="U6" s="3484"/>
      <c r="V6" s="3485"/>
      <c r="W6" s="3485"/>
      <c r="X6" s="1509"/>
      <c r="Y6" s="3483"/>
      <c r="Z6" s="3484"/>
      <c r="AA6" s="3457"/>
      <c r="AB6" s="3457"/>
      <c r="AC6" s="3457"/>
    </row>
    <row r="7" spans="1:30" s="113" customFormat="1" ht="15.75" thickBot="1">
      <c r="A7" s="368" t="s">
        <v>2309</v>
      </c>
      <c r="B7" s="369"/>
      <c r="C7" s="370">
        <f>'数据-取费表'!B2</f>
        <v>44573</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58" t="s">
        <v>2313</v>
      </c>
      <c r="Q8" s="3459"/>
      <c r="R8" s="710" t="s">
        <v>17</v>
      </c>
      <c r="S8" s="711">
        <f t="shared" si="0"/>
        <v>0</v>
      </c>
      <c r="T8" s="710" t="s">
        <v>17</v>
      </c>
      <c r="U8" s="711">
        <f t="shared" si="1"/>
        <v>0</v>
      </c>
      <c r="V8" s="710" t="s">
        <v>17</v>
      </c>
      <c r="W8" s="711">
        <f t="shared" si="2"/>
        <v>0</v>
      </c>
      <c r="X8" s="712"/>
      <c r="Y8" s="3458" t="s">
        <v>2313</v>
      </c>
      <c r="Z8" s="3459"/>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72" t="s">
        <v>2316</v>
      </c>
      <c r="Q9" s="1497"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117</v>
      </c>
      <c r="G10" s="422"/>
      <c r="H10" s="132">
        <f>ROUND(100/'数据-取费表'!G16,0)</f>
        <v>117</v>
      </c>
      <c r="I10" s="422"/>
      <c r="J10" s="132">
        <f>ROUND(100/'数据-取费表'!G16,0)</f>
        <v>117</v>
      </c>
      <c r="K10" s="628"/>
      <c r="L10" s="2917"/>
      <c r="M10" s="2918"/>
      <c r="N10" s="2918"/>
      <c r="O10" s="2971"/>
      <c r="P10" s="3472"/>
      <c r="Q10" s="1497" t="str">
        <f t="shared" si="6"/>
        <v>土地使用年限（年）</v>
      </c>
      <c r="R10" s="710" t="s">
        <v>17</v>
      </c>
      <c r="S10" s="711">
        <f t="shared" si="0"/>
        <v>117</v>
      </c>
      <c r="T10" s="710" t="s">
        <v>17</v>
      </c>
      <c r="U10" s="711">
        <f t="shared" si="1"/>
        <v>117</v>
      </c>
      <c r="V10" s="710" t="s">
        <v>17</v>
      </c>
      <c r="W10" s="711">
        <f t="shared" si="2"/>
        <v>117</v>
      </c>
      <c r="X10" s="712"/>
      <c r="Y10" s="3428"/>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72"/>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72"/>
      <c r="Q12" s="1497" t="str">
        <f t="shared" si="6"/>
        <v>配建</v>
      </c>
      <c r="R12" s="710" t="s">
        <v>17</v>
      </c>
      <c r="S12" s="711">
        <f t="shared" si="0"/>
        <v>100</v>
      </c>
      <c r="T12" s="710" t="s">
        <v>17</v>
      </c>
      <c r="U12" s="711">
        <f t="shared" si="1"/>
        <v>100</v>
      </c>
      <c r="V12" s="710" t="s">
        <v>17</v>
      </c>
      <c r="W12" s="711">
        <f t="shared" si="2"/>
        <v>100</v>
      </c>
      <c r="X12" s="712"/>
      <c r="Y12" s="3428"/>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72"/>
      <c r="Q13" s="1497">
        <f t="shared" si="6"/>
        <v>111</v>
      </c>
      <c r="R13" s="710" t="s">
        <v>17</v>
      </c>
      <c r="S13" s="711">
        <f t="shared" si="0"/>
        <v>100</v>
      </c>
      <c r="T13" s="710" t="s">
        <v>17</v>
      </c>
      <c r="U13" s="711">
        <f t="shared" si="1"/>
        <v>100</v>
      </c>
      <c r="V13" s="710" t="s">
        <v>17</v>
      </c>
      <c r="W13" s="711">
        <f t="shared" si="2"/>
        <v>100</v>
      </c>
      <c r="X13" s="712"/>
      <c r="Y13" s="3428"/>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72"/>
      <c r="Q14" s="1497">
        <f t="shared" si="6"/>
        <v>111</v>
      </c>
      <c r="R14" s="710" t="s">
        <v>17</v>
      </c>
      <c r="S14" s="711">
        <f t="shared" si="0"/>
        <v>100</v>
      </c>
      <c r="T14" s="710" t="s">
        <v>17</v>
      </c>
      <c r="U14" s="711">
        <f t="shared" si="1"/>
        <v>100</v>
      </c>
      <c r="V14" s="710" t="s">
        <v>17</v>
      </c>
      <c r="W14" s="711">
        <f t="shared" si="2"/>
        <v>100</v>
      </c>
      <c r="X14" s="712"/>
      <c r="Y14" s="3428"/>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87" t="s">
        <v>2321</v>
      </c>
      <c r="Q15" s="1506" t="str">
        <f t="shared" si="6"/>
        <v>居住社区成熟度</v>
      </c>
      <c r="R15" s="714" t="s">
        <v>17</v>
      </c>
      <c r="S15" s="715">
        <f t="shared" si="0"/>
        <v>100</v>
      </c>
      <c r="T15" s="714" t="s">
        <v>17</v>
      </c>
      <c r="U15" s="715">
        <f t="shared" si="1"/>
        <v>100</v>
      </c>
      <c r="V15" s="714" t="s">
        <v>17</v>
      </c>
      <c r="W15" s="715">
        <f t="shared" si="2"/>
        <v>100</v>
      </c>
      <c r="X15" s="1509"/>
      <c r="Y15" s="3487" t="s">
        <v>2321</v>
      </c>
      <c r="Z15" s="1510" t="str">
        <f t="shared" si="7"/>
        <v>居住社区成熟度</v>
      </c>
      <c r="AA15" s="1507">
        <f t="shared" si="3"/>
        <v>1</v>
      </c>
      <c r="AB15" s="1507">
        <f t="shared" si="4"/>
        <v>1</v>
      </c>
      <c r="AC15" s="1507">
        <f t="shared" si="5"/>
        <v>1</v>
      </c>
    </row>
    <row r="16" spans="1:30" ht="15">
      <c r="A16" s="387"/>
      <c r="B16" s="405"/>
      <c r="C16" s="406"/>
      <c r="D16" s="407"/>
      <c r="E16" s="2053"/>
      <c r="F16" s="407"/>
      <c r="G16" s="2053"/>
      <c r="H16" s="409"/>
      <c r="I16" s="2052"/>
      <c r="J16" s="407"/>
      <c r="K16" s="628"/>
      <c r="L16" s="2920"/>
      <c r="M16" s="2914"/>
      <c r="N16" s="2914"/>
      <c r="O16" s="2972"/>
      <c r="P16" s="3488"/>
      <c r="Q16" s="1506"/>
      <c r="R16" s="714"/>
      <c r="S16" s="715"/>
      <c r="T16" s="714"/>
      <c r="U16" s="715"/>
      <c r="V16" s="714"/>
      <c r="W16" s="715"/>
      <c r="X16" s="1509"/>
      <c r="Y16" s="3488"/>
      <c r="Z16" s="1510"/>
      <c r="AA16" s="1507">
        <v>1</v>
      </c>
      <c r="AB16" s="1507">
        <v>1</v>
      </c>
      <c r="AC16" s="1507">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88"/>
      <c r="Q17" s="1506" t="str">
        <f>B17</f>
        <v>商业繁华度</v>
      </c>
      <c r="R17" s="714" t="s">
        <v>17</v>
      </c>
      <c r="S17" s="715">
        <f>F17</f>
        <v>100</v>
      </c>
      <c r="T17" s="714" t="s">
        <v>17</v>
      </c>
      <c r="U17" s="715">
        <f>H17</f>
        <v>100</v>
      </c>
      <c r="V17" s="714" t="s">
        <v>17</v>
      </c>
      <c r="W17" s="715">
        <f>J17</f>
        <v>100</v>
      </c>
      <c r="X17" s="1509"/>
      <c r="Y17" s="3488"/>
      <c r="Z17" s="1510" t="str">
        <f>Q17</f>
        <v>商业繁华度</v>
      </c>
      <c r="AA17" s="1507">
        <f t="shared" si="3"/>
        <v>1</v>
      </c>
      <c r="AB17" s="1507">
        <f t="shared" si="4"/>
        <v>1</v>
      </c>
      <c r="AC17" s="1507">
        <f t="shared" si="5"/>
        <v>1</v>
      </c>
    </row>
    <row r="18" spans="1:29" ht="15">
      <c r="A18" s="387"/>
      <c r="B18" s="415"/>
      <c r="C18" s="2056"/>
      <c r="D18" s="409"/>
      <c r="E18" s="2058"/>
      <c r="F18" s="409"/>
      <c r="G18" s="2058"/>
      <c r="H18" s="407"/>
      <c r="I18" s="2057"/>
      <c r="J18" s="407"/>
      <c r="K18" s="628"/>
      <c r="L18" s="2920"/>
      <c r="M18" s="2914"/>
      <c r="N18" s="2914"/>
      <c r="O18" s="2972"/>
      <c r="P18" s="3488"/>
      <c r="Q18" s="1506"/>
      <c r="R18" s="714"/>
      <c r="S18" s="715"/>
      <c r="T18" s="714"/>
      <c r="U18" s="715"/>
      <c r="V18" s="714"/>
      <c r="W18" s="715"/>
      <c r="X18" s="1509"/>
      <c r="Y18" s="3488"/>
      <c r="Z18" s="1510"/>
      <c r="AA18" s="1507">
        <v>1</v>
      </c>
      <c r="AB18" s="1507">
        <v>1</v>
      </c>
      <c r="AC18" s="1507">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88"/>
      <c r="Q19" s="1506" t="str">
        <f>B19</f>
        <v>办公集聚程度</v>
      </c>
      <c r="R19" s="714" t="s">
        <v>17</v>
      </c>
      <c r="S19" s="715">
        <f>F19</f>
        <v>100</v>
      </c>
      <c r="T19" s="714" t="s">
        <v>17</v>
      </c>
      <c r="U19" s="715">
        <f>H19</f>
        <v>100</v>
      </c>
      <c r="V19" s="714" t="s">
        <v>17</v>
      </c>
      <c r="W19" s="715">
        <f>J19</f>
        <v>100</v>
      </c>
      <c r="X19" s="1509"/>
      <c r="Y19" s="3488"/>
      <c r="Z19" s="1510" t="str">
        <f>Q19</f>
        <v>办公集聚程度</v>
      </c>
      <c r="AA19" s="1507">
        <f t="shared" si="3"/>
        <v>1</v>
      </c>
      <c r="AB19" s="1507">
        <f t="shared" si="4"/>
        <v>1</v>
      </c>
      <c r="AC19" s="1507">
        <f t="shared" si="5"/>
        <v>1</v>
      </c>
    </row>
    <row r="20" spans="1:29" ht="15">
      <c r="A20" s="387"/>
      <c r="B20" s="415"/>
      <c r="C20" s="406"/>
      <c r="D20" s="407"/>
      <c r="E20" s="2053"/>
      <c r="F20" s="407"/>
      <c r="G20" s="2053"/>
      <c r="H20" s="407"/>
      <c r="I20" s="2052"/>
      <c r="J20" s="407"/>
      <c r="K20" s="628"/>
      <c r="L20" s="2920"/>
      <c r="M20" s="2914"/>
      <c r="N20" s="2914"/>
      <c r="O20" s="2972"/>
      <c r="P20" s="3488"/>
      <c r="Q20" s="1506"/>
      <c r="R20" s="714"/>
      <c r="S20" s="715"/>
      <c r="T20" s="714"/>
      <c r="U20" s="715"/>
      <c r="V20" s="714"/>
      <c r="W20" s="715"/>
      <c r="X20" s="1509"/>
      <c r="Y20" s="3488"/>
      <c r="Z20" s="1510"/>
      <c r="AA20" s="1507">
        <v>1</v>
      </c>
      <c r="AB20" s="1507">
        <v>1</v>
      </c>
      <c r="AC20" s="1507">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88"/>
      <c r="Q21" s="1506" t="str">
        <f>B21</f>
        <v>交通便捷度</v>
      </c>
      <c r="R21" s="714" t="s">
        <v>17</v>
      </c>
      <c r="S21" s="715">
        <f>F21</f>
        <v>100</v>
      </c>
      <c r="T21" s="714" t="s">
        <v>17</v>
      </c>
      <c r="U21" s="715">
        <f>H21</f>
        <v>100</v>
      </c>
      <c r="V21" s="714" t="s">
        <v>17</v>
      </c>
      <c r="W21" s="715">
        <f>J21</f>
        <v>100</v>
      </c>
      <c r="X21" s="1509"/>
      <c r="Y21" s="3488"/>
      <c r="Z21" s="1510" t="str">
        <f>Q21</f>
        <v>交通便捷度</v>
      </c>
      <c r="AA21" s="1507">
        <f t="shared" si="3"/>
        <v>1</v>
      </c>
      <c r="AB21" s="1507">
        <f t="shared" si="4"/>
        <v>1</v>
      </c>
      <c r="AC21" s="1507">
        <f t="shared" si="5"/>
        <v>1</v>
      </c>
    </row>
    <row r="22" spans="1:29" ht="15">
      <c r="A22" s="387"/>
      <c r="B22" s="1265"/>
      <c r="C22" s="406"/>
      <c r="D22" s="409"/>
      <c r="E22" s="2053"/>
      <c r="F22" s="407"/>
      <c r="G22" s="2053"/>
      <c r="H22" s="407"/>
      <c r="I22" s="2052"/>
      <c r="J22" s="407"/>
      <c r="K22" s="628"/>
      <c r="L22" s="2920"/>
      <c r="M22" s="2914"/>
      <c r="N22" s="2914"/>
      <c r="O22" s="2972"/>
      <c r="P22" s="3488"/>
      <c r="Q22" s="1506"/>
      <c r="R22" s="714"/>
      <c r="S22" s="715"/>
      <c r="T22" s="714"/>
      <c r="U22" s="715"/>
      <c r="V22" s="714"/>
      <c r="W22" s="715"/>
      <c r="X22" s="1509"/>
      <c r="Y22" s="3488"/>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88"/>
      <c r="Q23" s="1506" t="str">
        <f t="shared" ref="Q23:Q37" si="8">B23</f>
        <v>区域土地利用方向</v>
      </c>
      <c r="R23" s="714" t="s">
        <v>17</v>
      </c>
      <c r="S23" s="715">
        <f>F23</f>
        <v>100</v>
      </c>
      <c r="T23" s="714" t="s">
        <v>17</v>
      </c>
      <c r="U23" s="715">
        <f>H23</f>
        <v>100</v>
      </c>
      <c r="V23" s="714" t="s">
        <v>17</v>
      </c>
      <c r="W23" s="715">
        <f>J23</f>
        <v>100</v>
      </c>
      <c r="X23" s="1509"/>
      <c r="Y23" s="3488"/>
      <c r="Z23" s="1510" t="str">
        <f>Q23</f>
        <v>区域土地利用方向</v>
      </c>
      <c r="AA23" s="1507">
        <f t="shared" si="3"/>
        <v>1</v>
      </c>
      <c r="AB23" s="1507">
        <f t="shared" si="4"/>
        <v>1</v>
      </c>
      <c r="AC23" s="1507">
        <f t="shared" si="5"/>
        <v>1</v>
      </c>
    </row>
    <row r="24" spans="1:29" ht="15">
      <c r="A24" s="364"/>
      <c r="B24" s="415"/>
      <c r="C24" s="573"/>
      <c r="D24" s="407"/>
      <c r="E24" s="2053"/>
      <c r="F24" s="407"/>
      <c r="G24" s="2052"/>
      <c r="H24" s="407"/>
      <c r="I24" s="2052"/>
      <c r="J24" s="407"/>
      <c r="K24" s="751"/>
      <c r="L24" s="2920"/>
      <c r="M24" s="2914"/>
      <c r="N24" s="2914"/>
      <c r="O24" s="2972"/>
      <c r="P24" s="3488"/>
      <c r="Q24" s="1506"/>
      <c r="R24" s="714"/>
      <c r="S24" s="715"/>
      <c r="T24" s="714"/>
      <c r="U24" s="715"/>
      <c r="V24" s="714"/>
      <c r="W24" s="715"/>
      <c r="X24" s="1509"/>
      <c r="Y24" s="3488"/>
      <c r="Z24" s="1510"/>
      <c r="AA24" s="1507"/>
      <c r="AB24" s="1507"/>
      <c r="AC24" s="1507"/>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88"/>
      <c r="Q25" s="1506" t="str">
        <f t="shared" si="8"/>
        <v>自然及人文环境状况</v>
      </c>
      <c r="R25" s="714" t="s">
        <v>17</v>
      </c>
      <c r="S25" s="715">
        <f>F25</f>
        <v>100</v>
      </c>
      <c r="T25" s="714" t="s">
        <v>17</v>
      </c>
      <c r="U25" s="715">
        <f>H25</f>
        <v>100</v>
      </c>
      <c r="V25" s="714" t="s">
        <v>17</v>
      </c>
      <c r="W25" s="715">
        <f>J25</f>
        <v>100</v>
      </c>
      <c r="X25" s="1509"/>
      <c r="Y25" s="3488"/>
      <c r="Z25" s="1510" t="str">
        <f>Q25</f>
        <v>自然及人文环境状况</v>
      </c>
      <c r="AA25" s="1507">
        <f t="shared" si="3"/>
        <v>1</v>
      </c>
      <c r="AB25" s="1507">
        <f t="shared" si="4"/>
        <v>1</v>
      </c>
      <c r="AC25" s="1507">
        <f t="shared" si="5"/>
        <v>1</v>
      </c>
    </row>
    <row r="26" spans="1:29" ht="15">
      <c r="A26" s="364"/>
      <c r="B26" s="415"/>
      <c r="C26" s="406"/>
      <c r="D26" s="407"/>
      <c r="E26" s="2059"/>
      <c r="F26" s="407"/>
      <c r="G26" s="2059"/>
      <c r="H26" s="407"/>
      <c r="I26" s="406"/>
      <c r="J26" s="407"/>
      <c r="K26" s="628"/>
      <c r="L26" s="2920"/>
      <c r="M26" s="2914"/>
      <c r="N26" s="2914"/>
      <c r="O26" s="2972"/>
      <c r="P26" s="3488"/>
      <c r="Q26" s="1506"/>
      <c r="R26" s="714"/>
      <c r="S26" s="715"/>
      <c r="T26" s="714"/>
      <c r="U26" s="715"/>
      <c r="V26" s="714"/>
      <c r="W26" s="715"/>
      <c r="X26" s="1509"/>
      <c r="Y26" s="3488"/>
      <c r="Z26" s="1510"/>
      <c r="AA26" s="1507">
        <v>1</v>
      </c>
      <c r="AB26" s="1507">
        <v>1</v>
      </c>
      <c r="AC26" s="1507">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88"/>
      <c r="Q27" s="1497" t="str">
        <f t="shared" si="8"/>
        <v>公共配套设施</v>
      </c>
      <c r="R27" s="710" t="s">
        <v>17</v>
      </c>
      <c r="S27" s="711">
        <f>F27</f>
        <v>100</v>
      </c>
      <c r="T27" s="710" t="s">
        <v>17</v>
      </c>
      <c r="U27" s="711">
        <f>H27</f>
        <v>100</v>
      </c>
      <c r="V27" s="710" t="s">
        <v>17</v>
      </c>
      <c r="W27" s="711">
        <f>J27</f>
        <v>100</v>
      </c>
      <c r="X27" s="712"/>
      <c r="Y27" s="3488"/>
      <c r="Z27" s="55" t="str">
        <f>Q27</f>
        <v>公共配套设施</v>
      </c>
      <c r="AA27" s="1507">
        <f>D27/F27</f>
        <v>1</v>
      </c>
      <c r="AB27" s="1507">
        <f>D27/H27</f>
        <v>1</v>
      </c>
      <c r="AC27" s="1507">
        <f>D27/J27</f>
        <v>1</v>
      </c>
    </row>
    <row r="28" spans="1:29" s="113" customFormat="1" ht="15">
      <c r="A28" s="605"/>
      <c r="B28" s="415"/>
      <c r="C28" s="2133"/>
      <c r="D28" s="407"/>
      <c r="E28" s="2059"/>
      <c r="F28" s="407"/>
      <c r="G28" s="2059"/>
      <c r="H28" s="407"/>
      <c r="I28" s="406"/>
      <c r="J28" s="407"/>
      <c r="K28" s="628"/>
      <c r="L28" s="2915"/>
      <c r="M28" s="2916"/>
      <c r="N28" s="2916"/>
      <c r="O28" s="2970"/>
      <c r="P28" s="3488"/>
      <c r="Q28" s="1497"/>
      <c r="R28" s="710"/>
      <c r="S28" s="711"/>
      <c r="T28" s="710"/>
      <c r="U28" s="711"/>
      <c r="V28" s="710"/>
      <c r="W28" s="711"/>
      <c r="X28" s="712"/>
      <c r="Y28" s="3488"/>
      <c r="Z28" s="55"/>
      <c r="AA28" s="1507">
        <v>1</v>
      </c>
      <c r="AB28" s="1507">
        <v>1</v>
      </c>
      <c r="AC28" s="1507">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88"/>
      <c r="Q29" s="1497" t="str">
        <f t="shared" ref="Q29" si="9">B29</f>
        <v>基础设施水平</v>
      </c>
      <c r="R29" s="710" t="s">
        <v>17</v>
      </c>
      <c r="S29" s="711">
        <f>F29</f>
        <v>100</v>
      </c>
      <c r="T29" s="710" t="s">
        <v>17</v>
      </c>
      <c r="U29" s="711">
        <f>H29</f>
        <v>100</v>
      </c>
      <c r="V29" s="710" t="s">
        <v>17</v>
      </c>
      <c r="W29" s="711">
        <f>J29</f>
        <v>100</v>
      </c>
      <c r="X29" s="712"/>
      <c r="Y29" s="3488"/>
      <c r="Z29" s="55" t="str">
        <f>Q29</f>
        <v>基础设施水平</v>
      </c>
      <c r="AA29" s="1507">
        <f>D29/F29</f>
        <v>1</v>
      </c>
      <c r="AB29" s="1507">
        <f>D29/H29</f>
        <v>1</v>
      </c>
      <c r="AC29" s="1507">
        <f>D29/J29</f>
        <v>1</v>
      </c>
    </row>
    <row r="30" spans="1:29" s="113" customFormat="1" ht="15">
      <c r="A30" s="605"/>
      <c r="B30" s="415"/>
      <c r="C30" s="2133"/>
      <c r="D30" s="407"/>
      <c r="E30" s="2134"/>
      <c r="F30" s="407"/>
      <c r="G30" s="2134"/>
      <c r="H30" s="407"/>
      <c r="I30" s="2134"/>
      <c r="J30" s="407"/>
      <c r="K30" s="628"/>
      <c r="L30" s="2915"/>
      <c r="M30" s="2916"/>
      <c r="N30" s="2916"/>
      <c r="O30" s="2970"/>
      <c r="P30" s="3488"/>
      <c r="Q30" s="1497"/>
      <c r="R30" s="710"/>
      <c r="S30" s="711"/>
      <c r="T30" s="710"/>
      <c r="U30" s="711"/>
      <c r="V30" s="710"/>
      <c r="W30" s="711"/>
      <c r="X30" s="712"/>
      <c r="Y30" s="348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8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8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88"/>
      <c r="Q32" s="1506" t="str">
        <f t="shared" si="8"/>
        <v>毗邻道路的类型与等级</v>
      </c>
      <c r="R32" s="714" t="s">
        <v>17</v>
      </c>
      <c r="S32" s="715">
        <f t="shared" si="10"/>
        <v>100</v>
      </c>
      <c r="T32" s="714" t="s">
        <v>17</v>
      </c>
      <c r="U32" s="715">
        <f t="shared" si="11"/>
        <v>100</v>
      </c>
      <c r="V32" s="714" t="s">
        <v>17</v>
      </c>
      <c r="W32" s="715">
        <f t="shared" si="12"/>
        <v>100</v>
      </c>
      <c r="X32" s="1509"/>
      <c r="Y32" s="3488"/>
      <c r="Z32" s="1510" t="str">
        <f t="shared" si="13"/>
        <v>毗邻道路的类型与等级</v>
      </c>
      <c r="AA32" s="1507">
        <f t="shared" si="3"/>
        <v>1</v>
      </c>
      <c r="AB32" s="1507">
        <f t="shared" si="4"/>
        <v>1</v>
      </c>
      <c r="AC32" s="1507">
        <f t="shared" si="5"/>
        <v>1</v>
      </c>
    </row>
    <row r="33" spans="1:29" ht="15">
      <c r="A33" s="387"/>
      <c r="B33" s="415"/>
      <c r="C33" s="406"/>
      <c r="D33" s="407"/>
      <c r="E33" s="2059"/>
      <c r="F33" s="407"/>
      <c r="G33" s="2059"/>
      <c r="H33" s="407"/>
      <c r="I33" s="406"/>
      <c r="J33" s="407"/>
      <c r="K33" s="570"/>
      <c r="L33" s="2920"/>
      <c r="M33" s="2914"/>
      <c r="N33" s="2914"/>
      <c r="O33" s="2972"/>
      <c r="P33" s="3488"/>
      <c r="Q33" s="1506"/>
      <c r="R33" s="714"/>
      <c r="S33" s="715"/>
      <c r="T33" s="714"/>
      <c r="U33" s="715"/>
      <c r="V33" s="714"/>
      <c r="W33" s="715"/>
      <c r="X33" s="1509"/>
      <c r="Y33" s="3488"/>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88"/>
      <c r="Q34" s="1506" t="str">
        <f t="shared" si="8"/>
        <v>土地级别</v>
      </c>
      <c r="R34" s="714" t="s">
        <v>17</v>
      </c>
      <c r="S34" s="715">
        <f t="shared" si="10"/>
        <v>100</v>
      </c>
      <c r="T34" s="714" t="s">
        <v>17</v>
      </c>
      <c r="U34" s="715">
        <f t="shared" si="11"/>
        <v>100</v>
      </c>
      <c r="V34" s="714" t="s">
        <v>17</v>
      </c>
      <c r="W34" s="715">
        <f t="shared" si="12"/>
        <v>100</v>
      </c>
      <c r="X34" s="1509"/>
      <c r="Y34" s="348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88"/>
      <c r="Q35" s="1506">
        <f t="shared" si="8"/>
        <v>111</v>
      </c>
      <c r="R35" s="714" t="s">
        <v>17</v>
      </c>
      <c r="S35" s="715">
        <f t="shared" si="10"/>
        <v>100</v>
      </c>
      <c r="T35" s="714" t="s">
        <v>17</v>
      </c>
      <c r="U35" s="715">
        <f t="shared" si="11"/>
        <v>100</v>
      </c>
      <c r="V35" s="714" t="s">
        <v>17</v>
      </c>
      <c r="W35" s="715">
        <f t="shared" si="12"/>
        <v>100</v>
      </c>
      <c r="X35" s="1509"/>
      <c r="Y35" s="348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489" t="s">
        <v>2326</v>
      </c>
      <c r="Q36" s="1506">
        <f t="shared" si="8"/>
        <v>111</v>
      </c>
      <c r="R36" s="714" t="s">
        <v>17</v>
      </c>
      <c r="S36" s="715">
        <f t="shared" si="10"/>
        <v>100</v>
      </c>
      <c r="T36" s="714" t="s">
        <v>17</v>
      </c>
      <c r="U36" s="715">
        <f t="shared" si="11"/>
        <v>100</v>
      </c>
      <c r="V36" s="714" t="s">
        <v>17</v>
      </c>
      <c r="W36" s="715">
        <f t="shared" si="12"/>
        <v>100</v>
      </c>
      <c r="X36" s="1509"/>
      <c r="Y36" s="3490"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0"/>
      <c r="Q37" s="1506">
        <f t="shared" si="8"/>
        <v>111</v>
      </c>
      <c r="R37" s="717" t="s">
        <v>17</v>
      </c>
      <c r="S37" s="718">
        <f t="shared" si="10"/>
        <v>100</v>
      </c>
      <c r="T37" s="717" t="s">
        <v>17</v>
      </c>
      <c r="U37" s="718">
        <f t="shared" si="11"/>
        <v>100</v>
      </c>
      <c r="V37" s="717" t="s">
        <v>17</v>
      </c>
      <c r="W37" s="718">
        <f t="shared" si="12"/>
        <v>100</v>
      </c>
      <c r="X37" s="719"/>
      <c r="Y37" s="3490"/>
      <c r="Z37" s="720">
        <f t="shared" si="13"/>
        <v>111</v>
      </c>
      <c r="AA37" s="1507">
        <f t="shared" si="3"/>
        <v>1</v>
      </c>
      <c r="AB37" s="1507">
        <f t="shared" si="4"/>
        <v>1</v>
      </c>
      <c r="AC37" s="1507">
        <f t="shared" si="5"/>
        <v>1</v>
      </c>
    </row>
    <row r="38" spans="1:29" ht="15">
      <c r="A38" s="431" t="s">
        <v>2324</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0"/>
      <c r="Q38" s="1506" t="str">
        <f>B38</f>
        <v>宗地面积</v>
      </c>
      <c r="R38" s="714" t="s">
        <v>17</v>
      </c>
      <c r="S38" s="715" t="e">
        <f t="shared" si="10"/>
        <v>#N/A</v>
      </c>
      <c r="T38" s="714" t="s">
        <v>17</v>
      </c>
      <c r="U38" s="715" t="e">
        <f t="shared" si="11"/>
        <v>#N/A</v>
      </c>
      <c r="V38" s="714" t="s">
        <v>17</v>
      </c>
      <c r="W38" s="715" t="e">
        <f t="shared" si="12"/>
        <v>#N/A</v>
      </c>
      <c r="X38" s="1509"/>
      <c r="Y38" s="3490"/>
      <c r="Z38" s="1510" t="str">
        <f t="shared" si="13"/>
        <v>宗地面积</v>
      </c>
      <c r="AA38" s="1507" t="e">
        <f t="shared" si="3"/>
        <v>#N/A</v>
      </c>
      <c r="AB38" s="1507" t="e">
        <f t="shared" si="4"/>
        <v>#N/A</v>
      </c>
      <c r="AC38" s="1507"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0"/>
      <c r="Q39" s="1506" t="str">
        <f t="shared" ref="Q39:Q45" si="14">B39</f>
        <v>宗地形状</v>
      </c>
      <c r="R39" s="714" t="s">
        <v>17</v>
      </c>
      <c r="S39" s="715">
        <f t="shared" si="10"/>
        <v>100</v>
      </c>
      <c r="T39" s="714" t="s">
        <v>17</v>
      </c>
      <c r="U39" s="715">
        <f t="shared" si="11"/>
        <v>100</v>
      </c>
      <c r="V39" s="714" t="s">
        <v>17</v>
      </c>
      <c r="W39" s="715">
        <f t="shared" si="12"/>
        <v>100</v>
      </c>
      <c r="X39" s="1509"/>
      <c r="Y39" s="3490"/>
      <c r="Z39" s="1510" t="str">
        <f t="shared" si="13"/>
        <v>宗地形状</v>
      </c>
      <c r="AA39" s="1507">
        <f t="shared" si="3"/>
        <v>1</v>
      </c>
      <c r="AB39" s="1507">
        <f t="shared" si="4"/>
        <v>1</v>
      </c>
      <c r="AC39" s="1507">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0"/>
      <c r="Q40" s="1506" t="str">
        <f t="shared" si="14"/>
        <v>临街宽度及深度</v>
      </c>
      <c r="R40" s="714" t="s">
        <v>17</v>
      </c>
      <c r="S40" s="715">
        <f t="shared" si="10"/>
        <v>100</v>
      </c>
      <c r="T40" s="714" t="s">
        <v>17</v>
      </c>
      <c r="U40" s="715">
        <f t="shared" si="11"/>
        <v>100</v>
      </c>
      <c r="V40" s="714" t="s">
        <v>17</v>
      </c>
      <c r="W40" s="715">
        <f t="shared" si="12"/>
        <v>100</v>
      </c>
      <c r="X40" s="1509"/>
      <c r="Y40" s="3490"/>
      <c r="Z40" s="1510" t="str">
        <f t="shared" si="13"/>
        <v>临街宽度及深度</v>
      </c>
      <c r="AA40" s="1507">
        <f t="shared" si="3"/>
        <v>1</v>
      </c>
      <c r="AB40" s="1507">
        <f t="shared" si="4"/>
        <v>1</v>
      </c>
      <c r="AC40" s="1507">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0"/>
      <c r="Q41" s="1506" t="str">
        <f t="shared" si="14"/>
        <v>宗地开发程度</v>
      </c>
      <c r="R41" s="710" t="s">
        <v>17</v>
      </c>
      <c r="S41" s="711">
        <f t="shared" si="10"/>
        <v>100</v>
      </c>
      <c r="T41" s="710" t="s">
        <v>17</v>
      </c>
      <c r="U41" s="711">
        <f t="shared" si="11"/>
        <v>100</v>
      </c>
      <c r="V41" s="710" t="s">
        <v>17</v>
      </c>
      <c r="W41" s="711">
        <f t="shared" si="12"/>
        <v>100</v>
      </c>
      <c r="X41" s="712"/>
      <c r="Y41" s="3490"/>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0" t="s">
        <v>2326</v>
      </c>
      <c r="Q42" s="1506" t="str">
        <f t="shared" si="14"/>
        <v>工程地质条件</v>
      </c>
      <c r="R42" s="714" t="s">
        <v>17</v>
      </c>
      <c r="S42" s="715">
        <f t="shared" si="10"/>
        <v>100</v>
      </c>
      <c r="T42" s="714" t="s">
        <v>17</v>
      </c>
      <c r="U42" s="715">
        <f t="shared" si="11"/>
        <v>100</v>
      </c>
      <c r="V42" s="714" t="s">
        <v>17</v>
      </c>
      <c r="W42" s="715">
        <f t="shared" si="12"/>
        <v>100</v>
      </c>
      <c r="X42" s="1509"/>
      <c r="Y42" s="3490"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0"/>
      <c r="Q43" s="1506">
        <f t="shared" si="14"/>
        <v>111</v>
      </c>
      <c r="R43" s="714" t="s">
        <v>17</v>
      </c>
      <c r="S43" s="715">
        <f t="shared" si="10"/>
        <v>100</v>
      </c>
      <c r="T43" s="714" t="s">
        <v>17</v>
      </c>
      <c r="U43" s="715">
        <f t="shared" si="11"/>
        <v>100</v>
      </c>
      <c r="V43" s="714" t="s">
        <v>17</v>
      </c>
      <c r="W43" s="715">
        <f t="shared" si="12"/>
        <v>100</v>
      </c>
      <c r="X43" s="1509"/>
      <c r="Y43" s="349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0"/>
      <c r="Q44" s="1506">
        <f t="shared" si="14"/>
        <v>111</v>
      </c>
      <c r="R44" s="714" t="s">
        <v>17</v>
      </c>
      <c r="S44" s="715">
        <f t="shared" si="10"/>
        <v>100</v>
      </c>
      <c r="T44" s="714" t="s">
        <v>17</v>
      </c>
      <c r="U44" s="715">
        <f t="shared" si="11"/>
        <v>100</v>
      </c>
      <c r="V44" s="714" t="s">
        <v>17</v>
      </c>
      <c r="W44" s="715">
        <f t="shared" si="12"/>
        <v>100</v>
      </c>
      <c r="X44" s="1509"/>
      <c r="Y44" s="3490"/>
      <c r="Z44" s="1510">
        <f t="shared" si="13"/>
        <v>111</v>
      </c>
      <c r="AA44" s="1507">
        <f t="shared" si="3"/>
        <v>1</v>
      </c>
      <c r="AB44" s="1507">
        <f t="shared" si="4"/>
        <v>1</v>
      </c>
      <c r="AC44" s="1507">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0"/>
      <c r="Q45" s="1506">
        <f t="shared" si="14"/>
        <v>111</v>
      </c>
      <c r="R45" s="717" t="s">
        <v>17</v>
      </c>
      <c r="S45" s="718">
        <f t="shared" si="10"/>
        <v>100</v>
      </c>
      <c r="T45" s="717" t="s">
        <v>17</v>
      </c>
      <c r="U45" s="718">
        <f t="shared" si="11"/>
        <v>100</v>
      </c>
      <c r="V45" s="717" t="s">
        <v>17</v>
      </c>
      <c r="W45" s="718">
        <f t="shared" si="12"/>
        <v>100</v>
      </c>
      <c r="X45" s="719"/>
      <c r="Y45" s="3490"/>
      <c r="Z45" s="720">
        <f t="shared" si="13"/>
        <v>111</v>
      </c>
      <c r="AA45" s="1507">
        <f t="shared" si="3"/>
        <v>1</v>
      </c>
      <c r="AB45" s="1507">
        <f t="shared" si="4"/>
        <v>1</v>
      </c>
      <c r="AC45" s="1507">
        <f t="shared" si="5"/>
        <v>1</v>
      </c>
    </row>
    <row r="46" spans="1:29" ht="15">
      <c r="A46" s="438" t="s">
        <v>2480</v>
      </c>
      <c r="B46" s="2137" t="s">
        <v>2516</v>
      </c>
      <c r="C46" s="638" t="s">
        <v>1</v>
      </c>
      <c r="D46" s="440"/>
      <c r="E46" s="441"/>
      <c r="F46" s="442"/>
      <c r="G46" s="443"/>
      <c r="H46" s="444"/>
      <c r="I46" s="441"/>
      <c r="J46" s="444"/>
      <c r="K46" s="723"/>
      <c r="L46" s="2922"/>
      <c r="M46" s="2923"/>
      <c r="N46" s="2914"/>
      <c r="O46" s="2923"/>
      <c r="P46" s="3472" t="str">
        <f>A46</f>
        <v>成交单价</v>
      </c>
      <c r="Q46" s="3472"/>
      <c r="R46" s="3485">
        <f>E46</f>
        <v>0</v>
      </c>
      <c r="S46" s="3485"/>
      <c r="T46" s="3485">
        <f>G46</f>
        <v>0</v>
      </c>
      <c r="U46" s="3485"/>
      <c r="V46" s="3485">
        <f>I46</f>
        <v>0</v>
      </c>
      <c r="W46" s="3485"/>
      <c r="X46" s="699"/>
      <c r="Y46" s="721"/>
      <c r="Z46" s="699"/>
      <c r="AA46" s="699"/>
      <c r="AB46" s="699"/>
      <c r="AC46" s="699"/>
    </row>
    <row r="47" spans="1:29" ht="15.75" thickBot="1">
      <c r="A47" s="445" t="s">
        <v>2430</v>
      </c>
      <c r="B47" s="639"/>
      <c r="C47" s="448" t="e">
        <f>R48</f>
        <v>#DIV/0!</v>
      </c>
      <c r="D47" s="2507" t="s">
        <v>2817</v>
      </c>
      <c r="E47" s="448" t="e">
        <f>R47</f>
        <v>#DIV/0!</v>
      </c>
      <c r="F47" s="2508"/>
      <c r="G47" s="447" t="e">
        <f>T47</f>
        <v>#DIV/0!</v>
      </c>
      <c r="H47" s="2508"/>
      <c r="I47" s="448" t="e">
        <f>V47</f>
        <v>#DIV/0!</v>
      </c>
      <c r="J47" s="2508"/>
      <c r="K47" s="2510">
        <f>F47+H47+J47</f>
        <v>0</v>
      </c>
      <c r="L47" s="2922"/>
      <c r="M47" s="2923"/>
      <c r="N47" s="2923"/>
      <c r="O47" s="2923"/>
      <c r="P47" s="3472" t="str">
        <f>A47</f>
        <v>比较价值（元/平方米）</v>
      </c>
      <c r="Q47" s="3472"/>
      <c r="R47" s="3544" t="e">
        <f>ROUND(PRODUCT(R46,AA7:AA45),0)</f>
        <v>#DIV/0!</v>
      </c>
      <c r="S47" s="3544"/>
      <c r="T47" s="3544" t="e">
        <f>ROUND(PRODUCT(T46,AB7:AB45),0)</f>
        <v>#DIV/0!</v>
      </c>
      <c r="U47" s="3544"/>
      <c r="V47" s="3544" t="e">
        <f>ROUND(PRODUCT(V46,AC7:AC45),0)</f>
        <v>#DIV/0!</v>
      </c>
      <c r="W47" s="354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2"/>
      <c r="M48" s="2923"/>
      <c r="N48" s="2923"/>
      <c r="O48" s="2923"/>
      <c r="P48" s="3492" t="str">
        <f>A48</f>
        <v>估价对象XX用房的比较价值（楼面单价，元/平方米）</v>
      </c>
      <c r="Q48" s="3493"/>
      <c r="R48" s="3545" t="e">
        <f>ROUND(IF(D47="简单平均",AVERAGE(R47:W47),R47*F47+T47*H47+V47*J47),0)</f>
        <v>#DIV/0!</v>
      </c>
      <c r="S48" s="3545"/>
      <c r="T48" s="3545"/>
      <c r="U48" s="3545"/>
      <c r="V48" s="3545"/>
      <c r="W48" s="354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2518</v>
      </c>
      <c r="B55" s="641" t="s">
        <v>2519</v>
      </c>
      <c r="C55" s="2138" t="s">
        <v>2520</v>
      </c>
      <c r="D55" s="2139" t="s">
        <v>2521</v>
      </c>
      <c r="E55" s="642" t="s">
        <v>2522</v>
      </c>
      <c r="F55" s="1021" t="s">
        <v>2523</v>
      </c>
      <c r="G55" s="3473" t="s">
        <v>2524</v>
      </c>
      <c r="H55" s="3546"/>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2527</v>
      </c>
      <c r="B56" s="645" t="e">
        <f>C48</f>
        <v>#DIV/0!</v>
      </c>
      <c r="C56" s="646">
        <v>1</v>
      </c>
      <c r="D56" s="1075">
        <v>1</v>
      </c>
      <c r="E56" s="646">
        <f>'数据-汇总表'!E8+'数据-汇总表'!E9</f>
        <v>0</v>
      </c>
      <c r="F56" s="1017" t="e">
        <f t="shared" ref="F56:F65" si="15">ROUND(B56*E56/10000,0)</f>
        <v>#DIV/0!</v>
      </c>
      <c r="G56" s="3521"/>
      <c r="H56" s="3472"/>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2528</v>
      </c>
      <c r="B57" s="224" t="e">
        <f>ROUND($C$48*C57*D57,0)</f>
        <v>#DIV/0!</v>
      </c>
      <c r="C57" s="176">
        <f t="shared" ref="C57:C65" si="16">IF($C$55="北京市系数",I57,J57)</f>
        <v>0</v>
      </c>
      <c r="D57" s="1076">
        <v>0.25</v>
      </c>
      <c r="E57" s="650"/>
      <c r="F57" s="1017" t="e">
        <f t="shared" si="15"/>
        <v>#DIV/0!</v>
      </c>
      <c r="G57" s="3547" t="s">
        <v>2529</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2530</v>
      </c>
      <c r="B58" s="224" t="e">
        <f t="shared" ref="B58:B65" si="17">ROUND($C$48*C58*D58,0)</f>
        <v>#DIV/0!</v>
      </c>
      <c r="C58" s="176">
        <f t="shared" si="16"/>
        <v>0</v>
      </c>
      <c r="D58" s="1076">
        <v>0.25</v>
      </c>
      <c r="E58" s="650"/>
      <c r="F58" s="1017" t="e">
        <f t="shared" si="15"/>
        <v>#DIV/0!</v>
      </c>
      <c r="G58" s="3547"/>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2531</v>
      </c>
      <c r="B59" s="224" t="e">
        <f t="shared" si="17"/>
        <v>#DIV/0!</v>
      </c>
      <c r="C59" s="176">
        <f t="shared" si="16"/>
        <v>0</v>
      </c>
      <c r="D59" s="1076">
        <v>0.25</v>
      </c>
      <c r="E59" s="650"/>
      <c r="F59" s="1017" t="e">
        <f t="shared" si="15"/>
        <v>#DIV/0!</v>
      </c>
      <c r="G59" s="3547"/>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2532</v>
      </c>
      <c r="B60" s="224" t="e">
        <f t="shared" si="17"/>
        <v>#DIV/0!</v>
      </c>
      <c r="C60" s="176">
        <f t="shared" si="16"/>
        <v>0</v>
      </c>
      <c r="D60" s="1076">
        <v>0.25</v>
      </c>
      <c r="E60" s="650"/>
      <c r="F60" s="1017" t="e">
        <f t="shared" si="15"/>
        <v>#DIV/0!</v>
      </c>
      <c r="G60" s="3547"/>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2537</v>
      </c>
      <c r="B63" s="224" t="e">
        <f t="shared" si="17"/>
        <v>#DIV/0!</v>
      </c>
      <c r="C63" s="176">
        <f t="shared" si="16"/>
        <v>0.2</v>
      </c>
      <c r="D63" s="1076">
        <v>0.25</v>
      </c>
      <c r="E63" s="223">
        <f>'数据-汇总表'!E13</f>
        <v>32206.89000000029</v>
      </c>
      <c r="F63" s="1017" t="e">
        <f t="shared" si="15"/>
        <v>#DIV/0!</v>
      </c>
      <c r="G63" s="1023" t="s">
        <v>2538</v>
      </c>
      <c r="H63" s="1018" t="str">
        <f>IF(G63="商业",项目基本情况!B37,IF(G63="办公",项目基本情况!C37,IF(G63="住宅",项目基本情况!D37,项目基本情况!E37)))</f>
        <v>四级</v>
      </c>
      <c r="I63" s="1022">
        <f>SUMIF(修正!A45:A56,H63,修正!H45:H56)</f>
        <v>0.2</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2541</v>
      </c>
      <c r="B66" s="652" t="s">
        <v>28</v>
      </c>
      <c r="C66" s="652" t="s">
        <v>29</v>
      </c>
      <c r="D66" s="652" t="s">
        <v>997</v>
      </c>
      <c r="E66" s="652">
        <f>IF(B46="楼面地价",SUM(E56:E65),'数据-汇总表'!D3)</f>
        <v>32206.89000000029</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2544</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2545</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2546</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2510</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2552</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2553</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2554</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2555</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2506</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3" t="s">
        <v>2407</v>
      </c>
      <c r="D4" s="3474"/>
      <c r="E4" s="3475" t="s">
        <v>2408</v>
      </c>
      <c r="F4" s="3476"/>
      <c r="G4" s="3473" t="s">
        <v>2409</v>
      </c>
      <c r="H4" s="3474"/>
      <c r="I4" s="3473" t="s">
        <v>2410</v>
      </c>
      <c r="J4" s="3474"/>
      <c r="K4" s="567" t="s">
        <v>2411</v>
      </c>
      <c r="L4" s="2913"/>
      <c r="M4" s="2914"/>
      <c r="N4" s="2914"/>
      <c r="O4" s="2914"/>
      <c r="P4" s="3477" t="s">
        <v>2412</v>
      </c>
      <c r="Q4" s="3478"/>
      <c r="R4" s="3460" t="s">
        <v>2408</v>
      </c>
      <c r="S4" s="3461"/>
      <c r="T4" s="3460" t="s">
        <v>2409</v>
      </c>
      <c r="U4" s="3461"/>
      <c r="V4" s="3485" t="s">
        <v>2410</v>
      </c>
      <c r="W4" s="3485"/>
      <c r="X4" s="1509"/>
      <c r="Y4" s="3460" t="s">
        <v>2412</v>
      </c>
      <c r="Z4" s="3461"/>
      <c r="AA4" s="3455" t="s">
        <v>2408</v>
      </c>
      <c r="AB4" s="3456" t="s">
        <v>2409</v>
      </c>
      <c r="AC4" s="3455" t="s">
        <v>2410</v>
      </c>
    </row>
    <row r="5" spans="1:29" ht="15">
      <c r="A5" s="364"/>
      <c r="B5" s="365"/>
      <c r="C5" s="3466" t="s">
        <v>2303</v>
      </c>
      <c r="D5" s="3467"/>
      <c r="E5" s="3464" t="s">
        <v>2304</v>
      </c>
      <c r="F5" s="3465"/>
      <c r="G5" s="3466" t="s">
        <v>2305</v>
      </c>
      <c r="H5" s="3467"/>
      <c r="I5" s="3466" t="s">
        <v>2306</v>
      </c>
      <c r="J5" s="3467"/>
      <c r="K5" s="567"/>
      <c r="L5" s="2913"/>
      <c r="M5" s="2914"/>
      <c r="N5" s="2914"/>
      <c r="O5" s="2914"/>
      <c r="P5" s="3479"/>
      <c r="Q5" s="3480"/>
      <c r="R5" s="3462"/>
      <c r="S5" s="3463"/>
      <c r="T5" s="3462"/>
      <c r="U5" s="3463"/>
      <c r="V5" s="3485"/>
      <c r="W5" s="3485"/>
      <c r="X5" s="1509"/>
      <c r="Y5" s="3462"/>
      <c r="Z5" s="3463"/>
      <c r="AA5" s="3456"/>
      <c r="AB5" s="3456"/>
      <c r="AC5" s="3456"/>
    </row>
    <row r="6" spans="1:29" ht="15.75" thickBot="1">
      <c r="A6" s="366"/>
      <c r="B6" s="367"/>
      <c r="C6" s="3548" t="s">
        <v>2557</v>
      </c>
      <c r="D6" s="3549"/>
      <c r="E6" s="3550" t="s">
        <v>2557</v>
      </c>
      <c r="F6" s="3551"/>
      <c r="G6" s="3548" t="s">
        <v>2557</v>
      </c>
      <c r="H6" s="3549"/>
      <c r="I6" s="3548" t="s">
        <v>2557</v>
      </c>
      <c r="J6" s="3549"/>
      <c r="K6" s="567" t="s">
        <v>2308</v>
      </c>
      <c r="L6" s="2913"/>
      <c r="M6" s="2914"/>
      <c r="N6" s="2914"/>
      <c r="O6" s="2914"/>
      <c r="P6" s="3481"/>
      <c r="Q6" s="3482"/>
      <c r="R6" s="3462"/>
      <c r="S6" s="3463"/>
      <c r="T6" s="3483"/>
      <c r="U6" s="3484"/>
      <c r="V6" s="3485"/>
      <c r="W6" s="3485"/>
      <c r="X6" s="1509"/>
      <c r="Y6" s="3483"/>
      <c r="Z6" s="3484"/>
      <c r="AA6" s="3457"/>
      <c r="AB6" s="3457"/>
      <c r="AC6" s="3457"/>
    </row>
    <row r="7" spans="1:29" s="113" customFormat="1" ht="15.75" thickBot="1">
      <c r="A7" s="368" t="s">
        <v>2309</v>
      </c>
      <c r="B7" s="369"/>
      <c r="C7" s="370">
        <f>'数据-取费表'!B2</f>
        <v>44573</v>
      </c>
      <c r="D7" s="371">
        <v>100</v>
      </c>
      <c r="E7" s="372"/>
      <c r="F7" s="373">
        <f>SUMIF(65:65,YEAR(E7)&amp;"-"&amp;INT((MONTH(E7)+2)/3),66:66)</f>
        <v>0</v>
      </c>
      <c r="G7" s="2129"/>
      <c r="H7" s="371">
        <f>SUMIF(65:65,YEAR(G7)&amp;"-"&amp;INT((MONTH(G7)+2)/3),66:66)</f>
        <v>0</v>
      </c>
      <c r="I7" s="2129"/>
      <c r="J7" s="371">
        <f>SUMIF(65:65,YEAR(I7)&amp;"-"&amp;INT((MONTH(I7)+2)/3),66:66)</f>
        <v>0</v>
      </c>
      <c r="K7" s="568"/>
      <c r="L7" s="2915"/>
      <c r="M7" s="2916"/>
      <c r="N7" s="2916"/>
      <c r="O7" s="2916"/>
      <c r="P7" s="3458" t="s">
        <v>2310</v>
      </c>
      <c r="Q7" s="3486"/>
      <c r="R7" s="710" t="s">
        <v>17</v>
      </c>
      <c r="S7" s="711">
        <f t="shared" ref="S7:S15" si="0">F7</f>
        <v>0</v>
      </c>
      <c r="T7" s="710" t="s">
        <v>17</v>
      </c>
      <c r="U7" s="711">
        <f t="shared" ref="U7:U15" si="1">H7</f>
        <v>0</v>
      </c>
      <c r="V7" s="710" t="s">
        <v>17</v>
      </c>
      <c r="W7" s="711">
        <f t="shared" ref="W7:W15" si="2">J7</f>
        <v>0</v>
      </c>
      <c r="X7" s="712"/>
      <c r="Y7" s="3458" t="s">
        <v>2310</v>
      </c>
      <c r="Z7" s="345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58" t="s">
        <v>2313</v>
      </c>
      <c r="Q8" s="3459"/>
      <c r="R8" s="710" t="s">
        <v>17</v>
      </c>
      <c r="S8" s="711">
        <f t="shared" si="0"/>
        <v>0</v>
      </c>
      <c r="T8" s="710" t="s">
        <v>17</v>
      </c>
      <c r="U8" s="711">
        <f t="shared" si="1"/>
        <v>0</v>
      </c>
      <c r="V8" s="710" t="s">
        <v>17</v>
      </c>
      <c r="W8" s="711">
        <f t="shared" si="2"/>
        <v>0</v>
      </c>
      <c r="X8" s="712"/>
      <c r="Y8" s="3458" t="s">
        <v>2313</v>
      </c>
      <c r="Z8" s="3459"/>
      <c r="AA8" s="713" t="e">
        <f t="shared" ref="AA8:AA40" si="3">D8/F8</f>
        <v>#DIV/0!</v>
      </c>
      <c r="AB8" s="713" t="e">
        <f t="shared" ref="AB8:AB40" si="4">D8/H8</f>
        <v>#DIV/0!</v>
      </c>
      <c r="AC8" s="713" t="e">
        <f t="shared" ref="AC8:AC40" si="5">D8/J8</f>
        <v>#DIV/0!</v>
      </c>
    </row>
    <row r="9" spans="1:29" s="113" customFormat="1">
      <c r="A9" s="375" t="s">
        <v>2314</v>
      </c>
      <c r="B9" s="67" t="s">
        <v>2315</v>
      </c>
      <c r="C9" s="2132"/>
      <c r="D9" s="131">
        <v>100</v>
      </c>
      <c r="E9" s="2132"/>
      <c r="F9" s="131">
        <f>SUMIF(70:70,E9,71:71)-SUMIF(70:70,C9,71:71)+100</f>
        <v>100</v>
      </c>
      <c r="G9" s="2132"/>
      <c r="H9" s="131">
        <f>SUMIF(70:70,G9,71:71)-SUMIF(70:70,C9,71:71)+100</f>
        <v>100</v>
      </c>
      <c r="I9" s="2132"/>
      <c r="J9" s="131">
        <f>SUMIF(70:70,I9,71:71)-SUMIF(70:70,C9,71:71)+100</f>
        <v>100</v>
      </c>
      <c r="K9" s="568"/>
      <c r="L9" s="2915"/>
      <c r="M9" s="2916"/>
      <c r="N9" s="2916"/>
      <c r="O9" s="2970"/>
      <c r="P9" s="3472" t="s">
        <v>2316</v>
      </c>
      <c r="Q9" s="1497"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17"/>
      <c r="M10" s="2918"/>
      <c r="N10" s="2918"/>
      <c r="O10" s="2971"/>
      <c r="P10" s="3472"/>
      <c r="Q10" s="1497" t="str">
        <f t="shared" si="6"/>
        <v>土地使用年限（年）</v>
      </c>
      <c r="R10" s="710" t="s">
        <v>17</v>
      </c>
      <c r="S10" s="711">
        <f t="shared" si="0"/>
        <v>117</v>
      </c>
      <c r="T10" s="710" t="s">
        <v>17</v>
      </c>
      <c r="U10" s="711">
        <f t="shared" si="1"/>
        <v>117</v>
      </c>
      <c r="V10" s="710" t="s">
        <v>17</v>
      </c>
      <c r="W10" s="711">
        <f t="shared" si="2"/>
        <v>117</v>
      </c>
      <c r="X10" s="712"/>
      <c r="Y10" s="3428"/>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72"/>
      <c r="Q11" s="149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72"/>
      <c r="Q12" s="149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72"/>
      <c r="Q13" s="149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72"/>
      <c r="Q14" s="149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2320</v>
      </c>
      <c r="B15" s="585" t="s">
        <v>2558</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87" t="s">
        <v>2321</v>
      </c>
      <c r="Q15" s="1506" t="str">
        <f t="shared" si="6"/>
        <v>产业集聚程度</v>
      </c>
      <c r="R15" s="714" t="s">
        <v>17</v>
      </c>
      <c r="S15" s="715">
        <f t="shared" si="0"/>
        <v>100</v>
      </c>
      <c r="T15" s="714" t="s">
        <v>17</v>
      </c>
      <c r="U15" s="715">
        <f t="shared" si="1"/>
        <v>100</v>
      </c>
      <c r="V15" s="714" t="s">
        <v>17</v>
      </c>
      <c r="W15" s="715">
        <f t="shared" si="2"/>
        <v>100</v>
      </c>
      <c r="X15" s="1509"/>
      <c r="Y15" s="3487" t="s">
        <v>2321</v>
      </c>
      <c r="Z15" s="1510" t="str">
        <f t="shared" si="7"/>
        <v>产业集聚程度</v>
      </c>
      <c r="AA15" s="1507">
        <f t="shared" si="3"/>
        <v>1</v>
      </c>
      <c r="AB15" s="1507">
        <f t="shared" si="4"/>
        <v>1</v>
      </c>
      <c r="AC15" s="1507">
        <f t="shared" si="5"/>
        <v>1</v>
      </c>
    </row>
    <row r="16" spans="1:29" ht="15">
      <c r="A16" s="387"/>
      <c r="B16" s="586"/>
      <c r="C16" s="406"/>
      <c r="D16" s="407"/>
      <c r="E16" s="2059"/>
      <c r="F16" s="407"/>
      <c r="G16" s="2059"/>
      <c r="H16" s="409"/>
      <c r="I16" s="2059"/>
      <c r="J16" s="407"/>
      <c r="K16" s="628"/>
      <c r="L16" s="2920"/>
      <c r="M16" s="2914"/>
      <c r="N16" s="2914"/>
      <c r="O16" s="2972"/>
      <c r="P16" s="3488"/>
      <c r="Q16" s="1506"/>
      <c r="R16" s="714"/>
      <c r="S16" s="715"/>
      <c r="T16" s="714"/>
      <c r="U16" s="715"/>
      <c r="V16" s="714"/>
      <c r="W16" s="715"/>
      <c r="X16" s="1509"/>
      <c r="Y16" s="3488"/>
      <c r="Z16" s="1510"/>
      <c r="AA16" s="1507">
        <v>1</v>
      </c>
      <c r="AB16" s="1507">
        <v>1</v>
      </c>
      <c r="AC16" s="1507">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88"/>
      <c r="Q17" s="1506" t="str">
        <f>B17</f>
        <v>交通便捷度</v>
      </c>
      <c r="R17" s="714" t="s">
        <v>17</v>
      </c>
      <c r="S17" s="715">
        <f>F17</f>
        <v>100</v>
      </c>
      <c r="T17" s="714" t="s">
        <v>17</v>
      </c>
      <c r="U17" s="715">
        <f>H17</f>
        <v>100</v>
      </c>
      <c r="V17" s="714" t="s">
        <v>17</v>
      </c>
      <c r="W17" s="715">
        <f>J17</f>
        <v>100</v>
      </c>
      <c r="X17" s="1509"/>
      <c r="Y17" s="3488"/>
      <c r="Z17" s="1510" t="str">
        <f>Q17</f>
        <v>交通便捷度</v>
      </c>
      <c r="AA17" s="1507">
        <f t="shared" si="3"/>
        <v>1</v>
      </c>
      <c r="AB17" s="1507">
        <f t="shared" si="4"/>
        <v>1</v>
      </c>
      <c r="AC17" s="1507">
        <f t="shared" si="5"/>
        <v>1</v>
      </c>
    </row>
    <row r="18" spans="1:29" ht="15">
      <c r="A18" s="387"/>
      <c r="B18" s="588"/>
      <c r="C18" s="406"/>
      <c r="D18" s="407"/>
      <c r="E18" s="2053"/>
      <c r="F18" s="407"/>
      <c r="G18" s="2053"/>
      <c r="H18" s="407"/>
      <c r="I18" s="2052"/>
      <c r="J18" s="407"/>
      <c r="K18" s="628"/>
      <c r="L18" s="2920"/>
      <c r="M18" s="2914"/>
      <c r="N18" s="2914"/>
      <c r="O18" s="2972"/>
      <c r="P18" s="3488"/>
      <c r="Q18" s="1506"/>
      <c r="R18" s="714"/>
      <c r="S18" s="715"/>
      <c r="T18" s="714"/>
      <c r="U18" s="715"/>
      <c r="V18" s="714"/>
      <c r="W18" s="715"/>
      <c r="X18" s="1509"/>
      <c r="Y18" s="3488"/>
      <c r="Z18" s="1510"/>
      <c r="AA18" s="1507">
        <v>1</v>
      </c>
      <c r="AB18" s="1507">
        <v>1</v>
      </c>
      <c r="AC18" s="1507">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88"/>
      <c r="Q19" s="1506" t="str">
        <f t="shared" ref="Q19:Q33" si="8">B19</f>
        <v>区域土地利用方向</v>
      </c>
      <c r="R19" s="714" t="s">
        <v>17</v>
      </c>
      <c r="S19" s="715">
        <f>F19</f>
        <v>100</v>
      </c>
      <c r="T19" s="714" t="s">
        <v>17</v>
      </c>
      <c r="U19" s="715">
        <f>H19</f>
        <v>100</v>
      </c>
      <c r="V19" s="714" t="s">
        <v>17</v>
      </c>
      <c r="W19" s="715">
        <f>J19</f>
        <v>100</v>
      </c>
      <c r="X19" s="1509"/>
      <c r="Y19" s="3488"/>
      <c r="Z19" s="1510" t="str">
        <f>Q19</f>
        <v>区域土地利用方向</v>
      </c>
      <c r="AA19" s="1507">
        <f t="shared" si="3"/>
        <v>1</v>
      </c>
      <c r="AB19" s="1507">
        <f t="shared" si="4"/>
        <v>1</v>
      </c>
      <c r="AC19" s="1507">
        <f t="shared" si="5"/>
        <v>1</v>
      </c>
    </row>
    <row r="20" spans="1:29" ht="15">
      <c r="A20" s="364"/>
      <c r="B20" s="588"/>
      <c r="C20" s="406"/>
      <c r="D20" s="407"/>
      <c r="E20" s="2053"/>
      <c r="F20" s="407"/>
      <c r="G20" s="2053"/>
      <c r="H20" s="407"/>
      <c r="I20" s="2053"/>
      <c r="J20" s="407"/>
      <c r="K20" s="751"/>
      <c r="L20" s="2920"/>
      <c r="M20" s="2914"/>
      <c r="N20" s="2914"/>
      <c r="O20" s="2972"/>
      <c r="P20" s="3488"/>
      <c r="Q20" s="1506"/>
      <c r="R20" s="714"/>
      <c r="S20" s="715"/>
      <c r="T20" s="714"/>
      <c r="U20" s="715"/>
      <c r="V20" s="714"/>
      <c r="W20" s="715"/>
      <c r="X20" s="1509"/>
      <c r="Y20" s="3488"/>
      <c r="Z20" s="1510"/>
      <c r="AA20" s="1507"/>
      <c r="AB20" s="1507"/>
      <c r="AC20" s="1507"/>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88"/>
      <c r="Q21" s="1506" t="str">
        <f t="shared" si="8"/>
        <v>环境状况</v>
      </c>
      <c r="R21" s="714" t="s">
        <v>17</v>
      </c>
      <c r="S21" s="715">
        <f>F21</f>
        <v>100</v>
      </c>
      <c r="T21" s="714" t="s">
        <v>17</v>
      </c>
      <c r="U21" s="715">
        <f>H21</f>
        <v>100</v>
      </c>
      <c r="V21" s="714" t="s">
        <v>17</v>
      </c>
      <c r="W21" s="715">
        <f>J21</f>
        <v>100</v>
      </c>
      <c r="X21" s="1509"/>
      <c r="Y21" s="3488"/>
      <c r="Z21" s="1510" t="str">
        <f>Q21</f>
        <v>环境状况</v>
      </c>
      <c r="AA21" s="1507">
        <f t="shared" si="3"/>
        <v>1</v>
      </c>
      <c r="AB21" s="1507">
        <f t="shared" si="4"/>
        <v>1</v>
      </c>
      <c r="AC21" s="1507">
        <f t="shared" si="5"/>
        <v>1</v>
      </c>
    </row>
    <row r="22" spans="1:29" ht="15">
      <c r="A22" s="364"/>
      <c r="B22" s="588"/>
      <c r="C22" s="406"/>
      <c r="D22" s="407"/>
      <c r="E22" s="2059"/>
      <c r="F22" s="407"/>
      <c r="G22" s="2059"/>
      <c r="H22" s="407"/>
      <c r="I22" s="406"/>
      <c r="J22" s="407"/>
      <c r="K22" s="628"/>
      <c r="L22" s="2920"/>
      <c r="M22" s="2914"/>
      <c r="N22" s="2914"/>
      <c r="O22" s="2972"/>
      <c r="P22" s="3488"/>
      <c r="Q22" s="1506"/>
      <c r="R22" s="714"/>
      <c r="S22" s="715"/>
      <c r="T22" s="714"/>
      <c r="U22" s="715"/>
      <c r="V22" s="714"/>
      <c r="W22" s="715"/>
      <c r="X22" s="1509"/>
      <c r="Y22" s="3488"/>
      <c r="Z22" s="1510"/>
      <c r="AA22" s="1507">
        <v>1</v>
      </c>
      <c r="AB22" s="1507">
        <v>1</v>
      </c>
      <c r="AC22" s="1507">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88"/>
      <c r="Q23" s="1497" t="str">
        <f t="shared" si="8"/>
        <v>公共配套设施</v>
      </c>
      <c r="R23" s="710" t="s">
        <v>17</v>
      </c>
      <c r="S23" s="711">
        <f>F23</f>
        <v>100</v>
      </c>
      <c r="T23" s="710" t="s">
        <v>17</v>
      </c>
      <c r="U23" s="711">
        <f>H23</f>
        <v>100</v>
      </c>
      <c r="V23" s="710" t="s">
        <v>17</v>
      </c>
      <c r="W23" s="711">
        <f>J23</f>
        <v>100</v>
      </c>
      <c r="X23" s="712"/>
      <c r="Y23" s="3488"/>
      <c r="Z23" s="55" t="str">
        <f>Q23</f>
        <v>公共配套设施</v>
      </c>
      <c r="AA23" s="1507">
        <f>D23/F23</f>
        <v>1</v>
      </c>
      <c r="AB23" s="1507">
        <f>D23/H23</f>
        <v>1</v>
      </c>
      <c r="AC23" s="1507">
        <f>D23/J23</f>
        <v>1</v>
      </c>
    </row>
    <row r="24" spans="1:29" s="113" customFormat="1" ht="15">
      <c r="A24" s="605"/>
      <c r="B24" s="588"/>
      <c r="C24" s="2133"/>
      <c r="D24" s="407"/>
      <c r="E24" s="2059"/>
      <c r="F24" s="407"/>
      <c r="G24" s="2059"/>
      <c r="H24" s="407"/>
      <c r="I24" s="406"/>
      <c r="J24" s="407"/>
      <c r="K24" s="628"/>
      <c r="L24" s="2915"/>
      <c r="M24" s="2916"/>
      <c r="N24" s="2916"/>
      <c r="O24" s="2970"/>
      <c r="P24" s="3488"/>
      <c r="Q24" s="1497"/>
      <c r="R24" s="710"/>
      <c r="S24" s="711"/>
      <c r="T24" s="710"/>
      <c r="U24" s="711"/>
      <c r="V24" s="710"/>
      <c r="W24" s="711"/>
      <c r="X24" s="712"/>
      <c r="Y24" s="3488"/>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88"/>
      <c r="Q25" s="1497" t="str">
        <f t="shared" ref="Q25" si="9">B25</f>
        <v>基础设施水平</v>
      </c>
      <c r="R25" s="710" t="s">
        <v>17</v>
      </c>
      <c r="S25" s="711">
        <f>F25</f>
        <v>100</v>
      </c>
      <c r="T25" s="710" t="s">
        <v>17</v>
      </c>
      <c r="U25" s="711">
        <f>H25</f>
        <v>100</v>
      </c>
      <c r="V25" s="710" t="s">
        <v>17</v>
      </c>
      <c r="W25" s="711">
        <f>J25</f>
        <v>100</v>
      </c>
      <c r="X25" s="712"/>
      <c r="Y25" s="3488"/>
      <c r="Z25" s="55" t="str">
        <f>Q25</f>
        <v>基础设施水平</v>
      </c>
      <c r="AA25" s="1507">
        <f>D25/F25</f>
        <v>1</v>
      </c>
      <c r="AB25" s="1507">
        <f>D25/H25</f>
        <v>1</v>
      </c>
      <c r="AC25" s="1507">
        <f>D25/J25</f>
        <v>1</v>
      </c>
    </row>
    <row r="26" spans="1:29" s="113" customFormat="1" ht="15">
      <c r="A26" s="605"/>
      <c r="B26" s="588"/>
      <c r="C26" s="2133"/>
      <c r="D26" s="407"/>
      <c r="E26" s="2134"/>
      <c r="F26" s="407"/>
      <c r="G26" s="2134"/>
      <c r="H26" s="407"/>
      <c r="I26" s="2134"/>
      <c r="J26" s="407"/>
      <c r="K26" s="628"/>
      <c r="L26" s="2915"/>
      <c r="M26" s="2916"/>
      <c r="N26" s="2916"/>
      <c r="O26" s="2970"/>
      <c r="P26" s="3488"/>
      <c r="Q26" s="1497"/>
      <c r="R26" s="710"/>
      <c r="S26" s="711"/>
      <c r="T26" s="710"/>
      <c r="U26" s="711"/>
      <c r="V26" s="710"/>
      <c r="W26" s="711"/>
      <c r="X26" s="712"/>
      <c r="Y26" s="348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8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88"/>
      <c r="Z27" s="1510" t="str">
        <f t="shared" ref="Z27:Z40" si="13">Q27</f>
        <v>临街状况</v>
      </c>
      <c r="AA27" s="1507">
        <f t="shared" si="3"/>
        <v>1</v>
      </c>
      <c r="AB27" s="1507">
        <f t="shared" si="4"/>
        <v>1</v>
      </c>
      <c r="AC27" s="1507">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88"/>
      <c r="Q28" s="1506" t="str">
        <f t="shared" si="8"/>
        <v>毗邻道路的类型与等级</v>
      </c>
      <c r="R28" s="714" t="s">
        <v>17</v>
      </c>
      <c r="S28" s="715">
        <f t="shared" si="10"/>
        <v>100</v>
      </c>
      <c r="T28" s="714" t="s">
        <v>17</v>
      </c>
      <c r="U28" s="715">
        <f t="shared" si="11"/>
        <v>100</v>
      </c>
      <c r="V28" s="714" t="s">
        <v>17</v>
      </c>
      <c r="W28" s="715">
        <f t="shared" si="12"/>
        <v>100</v>
      </c>
      <c r="X28" s="1509"/>
      <c r="Y28" s="3488"/>
      <c r="Z28" s="1510" t="str">
        <f t="shared" si="13"/>
        <v>毗邻道路的类型与等级</v>
      </c>
      <c r="AA28" s="1507">
        <f t="shared" si="3"/>
        <v>1</v>
      </c>
      <c r="AB28" s="1507">
        <f t="shared" si="4"/>
        <v>1</v>
      </c>
      <c r="AC28" s="1507">
        <f t="shared" si="5"/>
        <v>1</v>
      </c>
    </row>
    <row r="29" spans="1:29" ht="15">
      <c r="A29" s="387"/>
      <c r="B29" s="588"/>
      <c r="C29" s="406"/>
      <c r="D29" s="407"/>
      <c r="E29" s="2059"/>
      <c r="F29" s="407"/>
      <c r="G29" s="2059"/>
      <c r="H29" s="407"/>
      <c r="I29" s="2059"/>
      <c r="J29" s="407"/>
      <c r="K29" s="570"/>
      <c r="L29" s="2920"/>
      <c r="M29" s="2914"/>
      <c r="N29" s="2914"/>
      <c r="O29" s="2972"/>
      <c r="P29" s="3488"/>
      <c r="Q29" s="1506"/>
      <c r="R29" s="714"/>
      <c r="S29" s="715"/>
      <c r="T29" s="714"/>
      <c r="U29" s="715"/>
      <c r="V29" s="714"/>
      <c r="W29" s="715"/>
      <c r="X29" s="1509"/>
      <c r="Y29" s="3488"/>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88"/>
      <c r="Q30" s="1506" t="str">
        <f t="shared" si="8"/>
        <v>土地级别</v>
      </c>
      <c r="R30" s="714" t="s">
        <v>17</v>
      </c>
      <c r="S30" s="715">
        <f t="shared" si="10"/>
        <v>100</v>
      </c>
      <c r="T30" s="714" t="s">
        <v>17</v>
      </c>
      <c r="U30" s="715">
        <f t="shared" si="11"/>
        <v>100</v>
      </c>
      <c r="V30" s="714" t="s">
        <v>17</v>
      </c>
      <c r="W30" s="715">
        <f t="shared" si="12"/>
        <v>100</v>
      </c>
      <c r="X30" s="1509"/>
      <c r="Y30" s="3488"/>
      <c r="Z30" s="1510" t="str">
        <f t="shared" si="13"/>
        <v>土地级别</v>
      </c>
      <c r="AA30" s="1507">
        <f t="shared" si="3"/>
        <v>1</v>
      </c>
      <c r="AB30" s="1507">
        <f t="shared" si="4"/>
        <v>1</v>
      </c>
      <c r="AC30" s="1507">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88"/>
      <c r="Q31" s="1506">
        <f t="shared" si="8"/>
        <v>111</v>
      </c>
      <c r="R31" s="714" t="s">
        <v>17</v>
      </c>
      <c r="S31" s="715">
        <f t="shared" si="10"/>
        <v>100</v>
      </c>
      <c r="T31" s="714" t="s">
        <v>17</v>
      </c>
      <c r="U31" s="715">
        <f t="shared" si="11"/>
        <v>100</v>
      </c>
      <c r="V31" s="714" t="s">
        <v>17</v>
      </c>
      <c r="W31" s="715">
        <f t="shared" si="12"/>
        <v>100</v>
      </c>
      <c r="X31" s="1509"/>
      <c r="Y31" s="3488"/>
      <c r="Z31" s="1510">
        <f t="shared" si="13"/>
        <v>111</v>
      </c>
      <c r="AA31" s="1507">
        <f t="shared" si="3"/>
        <v>1</v>
      </c>
      <c r="AB31" s="1507">
        <f t="shared" si="4"/>
        <v>1</v>
      </c>
      <c r="AC31" s="1507">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489" t="s">
        <v>2326</v>
      </c>
      <c r="Q32" s="1506">
        <f t="shared" si="8"/>
        <v>111</v>
      </c>
      <c r="R32" s="714" t="s">
        <v>17</v>
      </c>
      <c r="S32" s="715">
        <f t="shared" si="10"/>
        <v>100</v>
      </c>
      <c r="T32" s="714" t="s">
        <v>17</v>
      </c>
      <c r="U32" s="715">
        <f t="shared" si="11"/>
        <v>100</v>
      </c>
      <c r="V32" s="714" t="s">
        <v>17</v>
      </c>
      <c r="W32" s="715">
        <f t="shared" si="12"/>
        <v>100</v>
      </c>
      <c r="X32" s="1509"/>
      <c r="Y32" s="3490" t="s">
        <v>2326</v>
      </c>
      <c r="Z32" s="1510">
        <f t="shared" si="13"/>
        <v>111</v>
      </c>
      <c r="AA32" s="1507">
        <f t="shared" si="3"/>
        <v>1</v>
      </c>
      <c r="AB32" s="1507">
        <f t="shared" si="4"/>
        <v>1</v>
      </c>
      <c r="AC32" s="1507">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0"/>
      <c r="Q33" s="1506">
        <f t="shared" si="8"/>
        <v>111</v>
      </c>
      <c r="R33" s="717" t="s">
        <v>17</v>
      </c>
      <c r="S33" s="718">
        <f t="shared" si="10"/>
        <v>100</v>
      </c>
      <c r="T33" s="717" t="s">
        <v>17</v>
      </c>
      <c r="U33" s="718">
        <f t="shared" si="11"/>
        <v>100</v>
      </c>
      <c r="V33" s="717" t="s">
        <v>17</v>
      </c>
      <c r="W33" s="718">
        <f t="shared" si="12"/>
        <v>100</v>
      </c>
      <c r="X33" s="719"/>
      <c r="Y33" s="3490"/>
      <c r="Z33" s="720">
        <f t="shared" si="13"/>
        <v>111</v>
      </c>
      <c r="AA33" s="1507">
        <f t="shared" si="3"/>
        <v>1</v>
      </c>
      <c r="AB33" s="1507">
        <f t="shared" si="4"/>
        <v>1</v>
      </c>
      <c r="AC33" s="1507">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0"/>
      <c r="Q34" s="1506" t="str">
        <f>B34</f>
        <v>宗地面积</v>
      </c>
      <c r="R34" s="714" t="s">
        <v>17</v>
      </c>
      <c r="S34" s="715" t="e">
        <f t="shared" si="10"/>
        <v>#N/A</v>
      </c>
      <c r="T34" s="714" t="s">
        <v>17</v>
      </c>
      <c r="U34" s="715" t="e">
        <f t="shared" si="11"/>
        <v>#N/A</v>
      </c>
      <c r="V34" s="714" t="s">
        <v>17</v>
      </c>
      <c r="W34" s="715" t="e">
        <f t="shared" si="12"/>
        <v>#N/A</v>
      </c>
      <c r="X34" s="1509"/>
      <c r="Y34" s="3490"/>
      <c r="Z34" s="1510" t="str">
        <f t="shared" si="13"/>
        <v>宗地面积</v>
      </c>
      <c r="AA34" s="1507" t="e">
        <f t="shared" si="3"/>
        <v>#N/A</v>
      </c>
      <c r="AB34" s="1507" t="e">
        <f t="shared" si="4"/>
        <v>#N/A</v>
      </c>
      <c r="AC34" s="1507" t="e">
        <f t="shared" si="5"/>
        <v>#N/A</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20"/>
      <c r="M35" s="2914"/>
      <c r="N35" s="2914"/>
      <c r="O35" s="2972"/>
      <c r="P35" s="3490"/>
      <c r="Q35" s="1506" t="str">
        <f t="shared" ref="Q35:Q40" si="14">B35</f>
        <v>宗地形状</v>
      </c>
      <c r="R35" s="714" t="s">
        <v>17</v>
      </c>
      <c r="S35" s="715">
        <f t="shared" si="10"/>
        <v>100</v>
      </c>
      <c r="T35" s="714" t="s">
        <v>17</v>
      </c>
      <c r="U35" s="715">
        <f t="shared" si="11"/>
        <v>100</v>
      </c>
      <c r="V35" s="714" t="s">
        <v>17</v>
      </c>
      <c r="W35" s="715">
        <f t="shared" si="12"/>
        <v>100</v>
      </c>
      <c r="X35" s="1509"/>
      <c r="Y35" s="3490"/>
      <c r="Z35" s="1510" t="str">
        <f t="shared" si="13"/>
        <v>宗地形状</v>
      </c>
      <c r="AA35" s="1507">
        <f t="shared" si="3"/>
        <v>1</v>
      </c>
      <c r="AB35" s="1507">
        <f t="shared" si="4"/>
        <v>1</v>
      </c>
      <c r="AC35" s="1507">
        <f t="shared" si="5"/>
        <v>1</v>
      </c>
    </row>
    <row r="36" spans="1:31" s="113" customFormat="1" ht="15">
      <c r="A36" s="432"/>
      <c r="B36" s="381" t="s">
        <v>2514</v>
      </c>
      <c r="C36" s="2135"/>
      <c r="D36" s="132">
        <v>100</v>
      </c>
      <c r="E36" s="2135"/>
      <c r="F36" s="394">
        <f>SUMIF(112:112,E36,113:113)-SUMIF(112:112,C36,113:113)+100</f>
        <v>100</v>
      </c>
      <c r="G36" s="2135"/>
      <c r="H36" s="394">
        <f>SUMIF(112:112,G36,113:113)-SUMIF(112:112,C36,113:113)+100</f>
        <v>100</v>
      </c>
      <c r="I36" s="2135"/>
      <c r="J36" s="394">
        <f>SUMIF(112:112,I36,113:113)-SUMIF(112:112,C36,113:113)+100</f>
        <v>100</v>
      </c>
      <c r="K36" s="569"/>
      <c r="L36" s="2915"/>
      <c r="M36" s="2916"/>
      <c r="N36" s="2916"/>
      <c r="O36" s="2970"/>
      <c r="P36" s="3490"/>
      <c r="Q36" s="1506" t="str">
        <f t="shared" si="14"/>
        <v>宗地开发程度</v>
      </c>
      <c r="R36" s="710" t="s">
        <v>17</v>
      </c>
      <c r="S36" s="711">
        <f t="shared" si="10"/>
        <v>100</v>
      </c>
      <c r="T36" s="710" t="s">
        <v>17</v>
      </c>
      <c r="U36" s="711">
        <f t="shared" si="11"/>
        <v>100</v>
      </c>
      <c r="V36" s="710" t="s">
        <v>17</v>
      </c>
      <c r="W36" s="711">
        <f t="shared" si="12"/>
        <v>100</v>
      </c>
      <c r="X36" s="712"/>
      <c r="Y36" s="3490"/>
      <c r="Z36" s="55" t="str">
        <f t="shared" si="13"/>
        <v>宗地开发程度</v>
      </c>
      <c r="AA36" s="713">
        <f t="shared" si="3"/>
        <v>1</v>
      </c>
      <c r="AB36" s="713">
        <f t="shared" si="4"/>
        <v>1</v>
      </c>
      <c r="AC36" s="713">
        <f t="shared" si="5"/>
        <v>1</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20"/>
      <c r="M37" s="2914"/>
      <c r="N37" s="2914"/>
      <c r="O37" s="2972"/>
      <c r="P37" s="3490" t="s">
        <v>2326</v>
      </c>
      <c r="Q37" s="1506" t="str">
        <f t="shared" si="14"/>
        <v>工程地质条件</v>
      </c>
      <c r="R37" s="714" t="s">
        <v>17</v>
      </c>
      <c r="S37" s="715">
        <f t="shared" si="10"/>
        <v>100</v>
      </c>
      <c r="T37" s="714" t="s">
        <v>17</v>
      </c>
      <c r="U37" s="715">
        <f t="shared" si="11"/>
        <v>100</v>
      </c>
      <c r="V37" s="714" t="s">
        <v>17</v>
      </c>
      <c r="W37" s="715">
        <f t="shared" si="12"/>
        <v>100</v>
      </c>
      <c r="X37" s="1509"/>
      <c r="Y37" s="3490"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0"/>
      <c r="Q38" s="1506">
        <f t="shared" si="14"/>
        <v>111</v>
      </c>
      <c r="R38" s="714" t="s">
        <v>17</v>
      </c>
      <c r="S38" s="715">
        <f t="shared" si="10"/>
        <v>100</v>
      </c>
      <c r="T38" s="714" t="s">
        <v>17</v>
      </c>
      <c r="U38" s="715">
        <f t="shared" si="11"/>
        <v>100</v>
      </c>
      <c r="V38" s="714" t="s">
        <v>17</v>
      </c>
      <c r="W38" s="715">
        <f t="shared" si="12"/>
        <v>100</v>
      </c>
      <c r="X38" s="1509"/>
      <c r="Y38" s="349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0"/>
      <c r="Q39" s="1506">
        <f t="shared" si="14"/>
        <v>111</v>
      </c>
      <c r="R39" s="714" t="s">
        <v>17</v>
      </c>
      <c r="S39" s="715">
        <f t="shared" si="10"/>
        <v>100</v>
      </c>
      <c r="T39" s="714" t="s">
        <v>17</v>
      </c>
      <c r="U39" s="715">
        <f t="shared" si="11"/>
        <v>100</v>
      </c>
      <c r="V39" s="714" t="s">
        <v>17</v>
      </c>
      <c r="W39" s="715">
        <f t="shared" si="12"/>
        <v>100</v>
      </c>
      <c r="X39" s="1509"/>
      <c r="Y39" s="3490"/>
      <c r="Z39" s="1510">
        <f t="shared" si="13"/>
        <v>111</v>
      </c>
      <c r="AA39" s="1507">
        <f t="shared" si="3"/>
        <v>1</v>
      </c>
      <c r="AB39" s="1507">
        <f t="shared" si="4"/>
        <v>1</v>
      </c>
      <c r="AC39" s="1507">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0"/>
      <c r="Q40" s="1506">
        <f t="shared" si="14"/>
        <v>111</v>
      </c>
      <c r="R40" s="717" t="s">
        <v>17</v>
      </c>
      <c r="S40" s="718">
        <f t="shared" si="10"/>
        <v>100</v>
      </c>
      <c r="T40" s="717" t="s">
        <v>17</v>
      </c>
      <c r="U40" s="718">
        <f t="shared" si="11"/>
        <v>100</v>
      </c>
      <c r="V40" s="717" t="s">
        <v>17</v>
      </c>
      <c r="W40" s="718">
        <f t="shared" si="12"/>
        <v>100</v>
      </c>
      <c r="X40" s="719"/>
      <c r="Y40" s="3490"/>
      <c r="Z40" s="720">
        <f t="shared" si="13"/>
        <v>111</v>
      </c>
      <c r="AA40" s="1507">
        <f t="shared" si="3"/>
        <v>1</v>
      </c>
      <c r="AB40" s="1507">
        <f t="shared" si="4"/>
        <v>1</v>
      </c>
      <c r="AC40" s="1507">
        <f t="shared" si="5"/>
        <v>1</v>
      </c>
    </row>
    <row r="41" spans="1:31" ht="15">
      <c r="A41" s="438" t="s">
        <v>2480</v>
      </c>
      <c r="B41" s="2137" t="s">
        <v>2560</v>
      </c>
      <c r="C41" s="638" t="s">
        <v>1</v>
      </c>
      <c r="D41" s="440"/>
      <c r="E41" s="441"/>
      <c r="F41" s="442"/>
      <c r="G41" s="443"/>
      <c r="H41" s="444"/>
      <c r="I41" s="441"/>
      <c r="J41" s="444"/>
      <c r="K41" s="723"/>
      <c r="L41" s="2922"/>
      <c r="M41" s="2914"/>
      <c r="N41" s="2914"/>
      <c r="O41" s="2923"/>
      <c r="P41" s="3472" t="str">
        <f>A41</f>
        <v>成交单价</v>
      </c>
      <c r="Q41" s="3472"/>
      <c r="R41" s="3485">
        <f>E41</f>
        <v>0</v>
      </c>
      <c r="S41" s="3485"/>
      <c r="T41" s="3485">
        <f>G41</f>
        <v>0</v>
      </c>
      <c r="U41" s="3485"/>
      <c r="V41" s="3485">
        <f>I41</f>
        <v>0</v>
      </c>
      <c r="W41" s="3485"/>
      <c r="X41" s="699"/>
      <c r="Y41" s="721"/>
      <c r="Z41" s="699"/>
      <c r="AA41" s="699"/>
      <c r="AB41" s="699"/>
      <c r="AC41" s="699"/>
    </row>
    <row r="42" spans="1:31" ht="15.75" thickBot="1">
      <c r="A42" s="445" t="s">
        <v>2430</v>
      </c>
      <c r="B42" s="639"/>
      <c r="C42" s="448" t="e">
        <f>R43</f>
        <v>#DIV/0!</v>
      </c>
      <c r="D42" s="2507" t="s">
        <v>2817</v>
      </c>
      <c r="E42" s="448" t="e">
        <f>R42</f>
        <v>#DIV/0!</v>
      </c>
      <c r="F42" s="2508"/>
      <c r="G42" s="447" t="e">
        <f>T42</f>
        <v>#DIV/0!</v>
      </c>
      <c r="H42" s="2508"/>
      <c r="I42" s="448" t="e">
        <f>V42</f>
        <v>#DIV/0!</v>
      </c>
      <c r="J42" s="2508"/>
      <c r="K42" s="2510">
        <f>F42+H42+J42</f>
        <v>0</v>
      </c>
      <c r="L42" s="2922"/>
      <c r="M42" s="2914"/>
      <c r="N42" s="2914"/>
      <c r="O42" s="2923"/>
      <c r="P42" s="3472" t="str">
        <f>A42</f>
        <v>比较价值（元/平方米）</v>
      </c>
      <c r="Q42" s="3472"/>
      <c r="R42" s="3544" t="e">
        <f>ROUND(PRODUCT(R41,AA7:AA40),0)</f>
        <v>#DIV/0!</v>
      </c>
      <c r="S42" s="3544"/>
      <c r="T42" s="3544" t="e">
        <f>ROUND(PRODUCT(T41,AB7:AB40),0)</f>
        <v>#DIV/0!</v>
      </c>
      <c r="U42" s="3544"/>
      <c r="V42" s="3544" t="e">
        <f>ROUND(PRODUCT(V41,AC7:AC40),0)</f>
        <v>#DIV/0!</v>
      </c>
      <c r="W42" s="3544"/>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92" t="str">
        <f>A43</f>
        <v>估价对象XX用房的比较价值（楼面单价，元/平方米）</v>
      </c>
      <c r="Q43" s="3493"/>
      <c r="R43" s="3545" t="e">
        <f>ROUND(IF(D42="简单平均",AVERAGE(R42:W42),R42*F42+T42*H42+V42*J42),0)</f>
        <v>#DIV/0!</v>
      </c>
      <c r="S43" s="3545"/>
      <c r="T43" s="3545"/>
      <c r="U43" s="3545"/>
      <c r="V43" s="3545"/>
      <c r="W43" s="354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2518</v>
      </c>
      <c r="B50" s="641" t="s">
        <v>2519</v>
      </c>
      <c r="C50" s="2138" t="s">
        <v>2520</v>
      </c>
      <c r="D50" s="2139" t="s">
        <v>2521</v>
      </c>
      <c r="E50" s="642" t="s">
        <v>2522</v>
      </c>
      <c r="F50" s="643" t="s">
        <v>2523</v>
      </c>
      <c r="G50" s="3473" t="s">
        <v>2524</v>
      </c>
      <c r="H50" s="3546"/>
      <c r="I50" s="1510" t="s">
        <v>2561</v>
      </c>
      <c r="J50" s="1510">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2527</v>
      </c>
      <c r="B51" s="645" t="e">
        <f>C43</f>
        <v>#DIV/0!</v>
      </c>
      <c r="C51" s="646">
        <v>1</v>
      </c>
      <c r="D51" s="1075">
        <v>1</v>
      </c>
      <c r="E51" s="646">
        <f>'数据-汇总表'!E8+'数据-汇总表'!E9</f>
        <v>0</v>
      </c>
      <c r="F51" s="647" t="e">
        <f t="shared" ref="F51:F60" si="15">ROUND(B51*E51/10000,0)</f>
        <v>#DIV/0!</v>
      </c>
      <c r="G51" s="3521"/>
      <c r="H51" s="3472"/>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2528</v>
      </c>
      <c r="B52" s="224" t="e">
        <f>ROUND($C$43*C52*D52,0)</f>
        <v>#DIV/0!</v>
      </c>
      <c r="C52" s="176">
        <f t="shared" ref="C52:C60" si="16">IF($C$50="北京市系数",I52,J52)</f>
        <v>0</v>
      </c>
      <c r="D52" s="1076">
        <v>0.25</v>
      </c>
      <c r="E52" s="650"/>
      <c r="F52" s="647" t="e">
        <f t="shared" si="15"/>
        <v>#DIV/0!</v>
      </c>
      <c r="G52" s="3547" t="s">
        <v>2529</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2530</v>
      </c>
      <c r="B53" s="224" t="e">
        <f t="shared" ref="B53:B60" si="17">ROUND($C$43*C53*D53,0)</f>
        <v>#DIV/0!</v>
      </c>
      <c r="C53" s="176">
        <f t="shared" si="16"/>
        <v>0</v>
      </c>
      <c r="D53" s="1076">
        <v>0.25</v>
      </c>
      <c r="E53" s="650"/>
      <c r="F53" s="647" t="e">
        <f t="shared" si="15"/>
        <v>#DIV/0!</v>
      </c>
      <c r="G53" s="3547"/>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2531</v>
      </c>
      <c r="B54" s="224" t="e">
        <f t="shared" si="17"/>
        <v>#DIV/0!</v>
      </c>
      <c r="C54" s="176">
        <f t="shared" si="16"/>
        <v>0</v>
      </c>
      <c r="D54" s="1076">
        <v>0.25</v>
      </c>
      <c r="E54" s="650"/>
      <c r="F54" s="647" t="e">
        <f t="shared" si="15"/>
        <v>#DIV/0!</v>
      </c>
      <c r="G54" s="3547"/>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2532</v>
      </c>
      <c r="B55" s="224" t="e">
        <f t="shared" si="17"/>
        <v>#DIV/0!</v>
      </c>
      <c r="C55" s="176">
        <f t="shared" si="16"/>
        <v>0</v>
      </c>
      <c r="D55" s="1076">
        <v>0.25</v>
      </c>
      <c r="E55" s="650"/>
      <c r="F55" s="647" t="e">
        <f t="shared" si="15"/>
        <v>#DIV/0!</v>
      </c>
      <c r="G55" s="3547"/>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2533</v>
      </c>
      <c r="B56" s="224" t="e">
        <f t="shared" si="17"/>
        <v>#DIV/0!</v>
      </c>
      <c r="C56" s="176">
        <f t="shared" si="16"/>
        <v>0</v>
      </c>
      <c r="D56" s="1076">
        <v>0.25</v>
      </c>
      <c r="E56" s="223">
        <f>'数据-汇总表'!E11</f>
        <v>0</v>
      </c>
      <c r="F56" s="647" t="e">
        <f t="shared" si="15"/>
        <v>#DIV/0!</v>
      </c>
      <c r="G56" s="2142" t="s">
        <v>2534</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2537</v>
      </c>
      <c r="B58" s="224" t="e">
        <f t="shared" si="17"/>
        <v>#DIV/0!</v>
      </c>
      <c r="C58" s="176">
        <f t="shared" si="16"/>
        <v>0.2</v>
      </c>
      <c r="D58" s="1076">
        <v>0.25</v>
      </c>
      <c r="E58" s="223">
        <f>'数据-汇总表'!E13</f>
        <v>32206.89000000029</v>
      </c>
      <c r="F58" s="647" t="e">
        <f t="shared" si="15"/>
        <v>#DIV/0!</v>
      </c>
      <c r="G58" s="1023" t="s">
        <v>2538</v>
      </c>
      <c r="H58" s="1018" t="str">
        <f>IF(G58="商业",项目基本情况!B37,IF(G58="办公",项目基本情况!C37,IF(G58="住宅",项目基本情况!D37,项目基本情况!E37)))</f>
        <v>四级</v>
      </c>
      <c r="I58" s="879">
        <f>SUMIF(修正!A45:A56,H58,修正!H45:H56)</f>
        <v>0.2</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2539</v>
      </c>
      <c r="B59" s="224" t="e">
        <f t="shared" si="17"/>
        <v>#DIV/0!</v>
      </c>
      <c r="C59" s="176">
        <f t="shared" si="16"/>
        <v>0</v>
      </c>
      <c r="D59" s="1076">
        <v>0.25</v>
      </c>
      <c r="E59" s="223">
        <f>'数据-汇总表'!E14</f>
        <v>0</v>
      </c>
      <c r="F59" s="647" t="e">
        <f t="shared" si="15"/>
        <v>#DIV/0!</v>
      </c>
      <c r="G59" s="2142" t="s">
        <v>2529</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2540</v>
      </c>
      <c r="B60" s="224" t="e">
        <f t="shared" si="17"/>
        <v>#DIV/0!</v>
      </c>
      <c r="C60" s="176">
        <f t="shared" si="16"/>
        <v>0</v>
      </c>
      <c r="D60" s="1076">
        <v>0.25</v>
      </c>
      <c r="E60" s="223">
        <f>'数据-汇总表'!E15</f>
        <v>0</v>
      </c>
      <c r="F60" s="647" t="e">
        <f t="shared" si="15"/>
        <v>#DIV/0!</v>
      </c>
      <c r="G60" s="2143" t="s">
        <v>2534</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2541</v>
      </c>
      <c r="B61" s="652" t="s">
        <v>28</v>
      </c>
      <c r="C61" s="652" t="s">
        <v>29</v>
      </c>
      <c r="D61" s="652" t="s">
        <v>997</v>
      </c>
      <c r="E61" s="652">
        <f>IF(B41="楼面地价",SUM(E51:E60),'数据-汇总表'!D3)</f>
        <v>6976.24</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2545</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2546</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2510</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2552</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2554</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2555</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C17" sqref="C17"/>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33.93</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4" t="s">
        <v>2573</v>
      </c>
      <c r="D2" s="2155" t="s">
        <v>2574</v>
      </c>
      <c r="E2" s="2156" t="s">
        <v>3170</v>
      </c>
      <c r="F2" s="2155" t="s">
        <v>2575</v>
      </c>
      <c r="G2" s="2157" t="str">
        <f>IF(E2="商业",项目基本情况!B37,IF(E2="办公",项目基本情况!C37,IF(E2="住宅",项目基本情况!D37,项目基本情况!E37)))</f>
        <v>四级</v>
      </c>
      <c r="H2" s="2155" t="s">
        <v>2576</v>
      </c>
      <c r="I2" s="2157" t="str">
        <f>IF(E2="商业",项目基本情况!B38,IF(E2="办公",项目基本情况!C38,IF(E2="住宅",项目基本情况!D38,项目基本情况!E38)))</f>
        <v>Ⅳ-17</v>
      </c>
      <c r="J2" s="2158"/>
      <c r="K2" s="1252"/>
      <c r="L2" s="2159"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25.5">
      <c r="A3" s="209" t="s">
        <v>2578</v>
      </c>
      <c r="B3" s="210" t="e">
        <f>ROUND(B2*10000/D1,0)</f>
        <v>#DIV/0!</v>
      </c>
      <c r="C3" s="2154" t="s">
        <v>2579</v>
      </c>
      <c r="D3" s="2155" t="s">
        <v>2580</v>
      </c>
      <c r="E3" s="2160" t="s">
        <v>3171</v>
      </c>
      <c r="F3" s="2161" t="s">
        <v>3172</v>
      </c>
      <c r="G3" s="855">
        <f>IF(F3="宗地容积率",'数据-汇总表'!I4,IF(F3="估价对象容积率",'数据-汇总表'!I6,'数据-汇总表'!I7))</f>
        <v>3</v>
      </c>
      <c r="H3" s="175" t="s">
        <v>2581</v>
      </c>
      <c r="I3" s="881"/>
      <c r="J3" s="2158" t="s">
        <v>2582</v>
      </c>
      <c r="K3" s="1252"/>
      <c r="L3" s="2159"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71"/>
      <c r="B4" s="3572"/>
      <c r="C4" s="3572"/>
      <c r="D4" s="3573"/>
      <c r="E4" s="3573"/>
      <c r="F4" s="3573"/>
      <c r="G4" s="3573"/>
      <c r="H4" s="3573"/>
      <c r="I4" s="3573"/>
      <c r="J4" s="3574"/>
      <c r="K4" s="1252"/>
      <c r="L4" s="2159" t="s">
        <v>2584</v>
      </c>
      <c r="M4" s="995">
        <f>SUMPRODUCT((区片价!B49:B75=I2)*(区片价!C3:F3=E2)*(区片价!C49:F75))</f>
        <v>15060</v>
      </c>
      <c r="N4" s="997">
        <f>SUMPRODUCT((因素修正幅度!B49:B75=I2)*(因素修正幅度!C3:F3=E2)*(因素修正幅度!C49:F75))</f>
        <v>9.6000000000000002E-2</v>
      </c>
      <c r="O4" s="1252"/>
      <c r="P4" s="1252"/>
      <c r="Q4" s="1252"/>
      <c r="R4" s="1346">
        <v>3</v>
      </c>
      <c r="S4" s="1346">
        <f>ROUND(IF(G3&gt;1,IF(R4&lt;7,SUMPRODUCT((B93:B98=R4)*(C92:N92=G2)*(C93:N98)),SUMIF(C92:N92,G2,C100:N100)),IF(R4&lt;7,SUMPRODUCT((B102:B107=R4)*(C92:N92=G2)*(C102:N107)),SUMIF(C92:N92,G2,C109:N109))),4)</f>
        <v>1.0788</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1" customFormat="1" ht="15.75" thickBot="1">
      <c r="A5" s="2162" t="s">
        <v>807</v>
      </c>
      <c r="B5" s="2163" t="s">
        <v>2585</v>
      </c>
      <c r="C5" s="856">
        <f>ROUND(IF(E2="商业",C6*C7+C16,(IF(E2="住宅",C6*C12+C16,C6+C16))),0)</f>
        <v>16566</v>
      </c>
      <c r="D5" s="1493">
        <f>ROUND(C6+C16,0)</f>
        <v>15060</v>
      </c>
      <c r="E5" s="1493"/>
      <c r="F5" s="2164"/>
      <c r="G5" s="2165"/>
      <c r="H5" s="2165"/>
      <c r="I5" s="2165"/>
      <c r="J5" s="2166"/>
      <c r="K5" s="2167"/>
      <c r="L5" s="2159"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t="e">
        <f t="shared" si="0"/>
        <v>#DIV/0!</v>
      </c>
      <c r="U5" s="1347"/>
      <c r="V5" s="1346" t="e">
        <f t="shared" si="1"/>
        <v>#DIV/0!</v>
      </c>
      <c r="W5" s="1350"/>
      <c r="X5" s="1350"/>
      <c r="Y5" s="1350"/>
      <c r="Z5" s="1350"/>
      <c r="AA5" s="1350"/>
      <c r="AB5" s="1350"/>
      <c r="AC5" s="2168"/>
      <c r="AD5" s="2169"/>
      <c r="AE5" s="2169"/>
      <c r="AF5" s="2169"/>
      <c r="AG5" s="2169"/>
      <c r="AH5" s="2169"/>
      <c r="AI5" s="2169"/>
      <c r="AJ5" s="2170"/>
    </row>
    <row r="6" spans="1:36" ht="15.75" thickBot="1">
      <c r="A6" s="2172" t="s">
        <v>2587</v>
      </c>
      <c r="B6" s="2173" t="s">
        <v>2588</v>
      </c>
      <c r="C6" s="857">
        <f>SUMIF(L1:L12,G2,M1:M12)</f>
        <v>15060</v>
      </c>
      <c r="D6" s="2174" t="s">
        <v>2589</v>
      </c>
      <c r="E6" s="2175"/>
      <c r="F6" s="2175"/>
      <c r="G6" s="2176"/>
      <c r="H6" s="2176"/>
      <c r="I6" s="2176"/>
      <c r="J6" s="2177"/>
      <c r="K6" s="1538"/>
      <c r="L6" s="2159"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t="e">
        <f t="shared" si="0"/>
        <v>#DIV/0!</v>
      </c>
      <c r="U6" s="1347"/>
      <c r="V6" s="1346" t="e">
        <f t="shared" si="1"/>
        <v>#DIV/0!</v>
      </c>
      <c r="W6" s="1350"/>
      <c r="X6" s="1350"/>
      <c r="Y6" s="1350"/>
      <c r="Z6" s="1350"/>
      <c r="AA6" s="1350"/>
      <c r="AB6" s="1350"/>
      <c r="AC6" s="2168"/>
      <c r="AD6" s="2169"/>
      <c r="AE6" s="2169"/>
      <c r="AF6" s="2169"/>
      <c r="AG6" s="2169"/>
      <c r="AH6" s="2169"/>
      <c r="AI6" s="2169"/>
      <c r="AJ6" s="2170"/>
    </row>
    <row r="7" spans="1:36" ht="24">
      <c r="A7" s="3552" t="str">
        <f>IF(E2="商业",IF(C8="不临58条商业街","",2),"")</f>
        <v/>
      </c>
      <c r="B7" s="2178" t="s">
        <v>2591</v>
      </c>
      <c r="C7" s="858" t="e">
        <f>IF(C8="不临58条商业街",1,ROUND(1+(1.6*E8+1.2*E9+0.8*E10+0.4*E11)*C9,4))</f>
        <v>#DIV/0!</v>
      </c>
      <c r="D7" s="2179" t="s">
        <v>2592</v>
      </c>
      <c r="E7" s="882"/>
      <c r="F7" s="2180"/>
      <c r="G7" s="2181"/>
      <c r="H7" s="2181"/>
      <c r="I7" s="2181"/>
      <c r="J7" s="2182"/>
      <c r="K7" s="1538"/>
      <c r="L7" s="2159"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t="e">
        <f t="shared" si="0"/>
        <v>#DIV/0!</v>
      </c>
      <c r="U7" s="1347"/>
      <c r="V7" s="1346" t="e">
        <f t="shared" si="1"/>
        <v>#DIV/0!</v>
      </c>
      <c r="W7" s="1512" t="s">
        <v>2594</v>
      </c>
      <c r="X7" s="1348" t="str">
        <f>G2</f>
        <v>四级</v>
      </c>
      <c r="Y7" s="1348" t="s">
        <v>2595</v>
      </c>
      <c r="Z7" s="1349">
        <f>G3</f>
        <v>3</v>
      </c>
      <c r="AA7" s="1350"/>
      <c r="AB7" s="1350"/>
      <c r="AC7" s="1351"/>
      <c r="AD7" s="1352"/>
      <c r="AE7" s="1352"/>
      <c r="AF7" s="1352"/>
      <c r="AG7" s="1352"/>
      <c r="AH7" s="1352"/>
      <c r="AI7" s="1352"/>
      <c r="AJ7" s="1353"/>
    </row>
    <row r="8" spans="1:36" ht="15">
      <c r="A8" s="3575"/>
      <c r="B8" s="175" t="s">
        <v>2596</v>
      </c>
      <c r="C8" s="2183"/>
      <c r="D8" s="859" t="s">
        <v>139</v>
      </c>
      <c r="E8" s="860" t="e">
        <f>ROUND(C11/E7,4)</f>
        <v>#DIV/0!</v>
      </c>
      <c r="F8" s="2184" t="s">
        <v>2597</v>
      </c>
      <c r="G8" s="2185"/>
      <c r="H8" s="2185"/>
      <c r="I8" s="2185"/>
      <c r="J8" s="2186"/>
      <c r="K8" s="1252"/>
      <c r="L8" s="2159"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68" t="s">
        <v>2599</v>
      </c>
      <c r="X8" s="3569"/>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75"/>
      <c r="B9" s="175" t="s">
        <v>2612</v>
      </c>
      <c r="C9" s="861">
        <f>SUMIF(修正!C59:C119,C8,修正!E59:E119)</f>
        <v>0</v>
      </c>
      <c r="D9" s="176" t="s">
        <v>140</v>
      </c>
      <c r="E9" s="176" t="e">
        <f>ROUND(C11/E7,4)</f>
        <v>#DIV/0!</v>
      </c>
      <c r="F9" s="2184" t="s">
        <v>2613</v>
      </c>
      <c r="G9" s="2185"/>
      <c r="H9" s="2185"/>
      <c r="I9" s="2185"/>
      <c r="J9" s="2186"/>
      <c r="K9" s="1252"/>
      <c r="L9" s="2159"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70"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75"/>
      <c r="B10" s="175" t="s">
        <v>2617</v>
      </c>
      <c r="C10" s="176">
        <f>SUMIF(修正!C59:C119,C8,修正!F59:F119)</f>
        <v>0</v>
      </c>
      <c r="D10" s="176" t="s">
        <v>141</v>
      </c>
      <c r="E10" s="176" t="e">
        <f>ROUND(C11/E7,4)</f>
        <v>#DIV/0!</v>
      </c>
      <c r="F10" s="2184" t="s">
        <v>2618</v>
      </c>
      <c r="G10" s="2185"/>
      <c r="H10" s="2185"/>
      <c r="I10" s="2185"/>
      <c r="J10" s="2186"/>
      <c r="K10" s="1252"/>
      <c r="L10" s="2159"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7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75"/>
      <c r="B11" s="2187" t="s">
        <v>2620</v>
      </c>
      <c r="C11" s="862">
        <f>C10/4</f>
        <v>0</v>
      </c>
      <c r="D11" s="862" t="s">
        <v>142</v>
      </c>
      <c r="E11" s="862" t="e">
        <f>ROUND(C11/E7,4)</f>
        <v>#DIV/0!</v>
      </c>
      <c r="F11" s="2188" t="s">
        <v>2621</v>
      </c>
      <c r="G11" s="2189"/>
      <c r="H11" s="2189"/>
      <c r="I11" s="2189"/>
      <c r="J11" s="2190"/>
      <c r="K11" s="1252"/>
      <c r="L11" s="2159"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70" t="s">
        <v>2623</v>
      </c>
      <c r="X11" s="1358" t="s">
        <v>2624</v>
      </c>
      <c r="Y11" s="1359">
        <f>$G$3</f>
        <v>3</v>
      </c>
      <c r="Z11" s="1359">
        <f t="shared" ref="Z11:AJ11" si="3">$G$3</f>
        <v>3</v>
      </c>
      <c r="AA11" s="1359">
        <f t="shared" si="3"/>
        <v>3</v>
      </c>
      <c r="AB11" s="1359">
        <f t="shared" si="3"/>
        <v>3</v>
      </c>
      <c r="AC11" s="1359">
        <f t="shared" si="3"/>
        <v>3</v>
      </c>
      <c r="AD11" s="1359">
        <f t="shared" si="3"/>
        <v>3</v>
      </c>
      <c r="AE11" s="1359">
        <f t="shared" si="3"/>
        <v>3</v>
      </c>
      <c r="AF11" s="1359">
        <f t="shared" si="3"/>
        <v>3</v>
      </c>
      <c r="AG11" s="1359">
        <f t="shared" si="3"/>
        <v>3</v>
      </c>
      <c r="AH11" s="1359">
        <f t="shared" si="3"/>
        <v>3</v>
      </c>
      <c r="AI11" s="1359">
        <f t="shared" si="3"/>
        <v>3</v>
      </c>
      <c r="AJ11" s="1359">
        <f t="shared" si="3"/>
        <v>3</v>
      </c>
    </row>
    <row r="12" spans="1:36" ht="25.5" thickBot="1">
      <c r="A12" s="3552" t="s">
        <v>2625</v>
      </c>
      <c r="B12" s="2191" t="s">
        <v>2626</v>
      </c>
      <c r="C12" s="858">
        <f>ROUND(C15*D15*E15*F15*G15*H15*I15*J15,4)</f>
        <v>1.1000000000000001</v>
      </c>
      <c r="D12" s="2192" t="s">
        <v>2627</v>
      </c>
      <c r="E12" s="2193"/>
      <c r="F12" s="2193"/>
      <c r="G12" s="2194"/>
      <c r="H12" s="2194"/>
      <c r="I12" s="2194"/>
      <c r="J12" s="2195"/>
      <c r="K12" s="1252"/>
      <c r="L12" s="2196"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70"/>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76"/>
      <c r="B13" s="2197" t="s">
        <v>2630</v>
      </c>
      <c r="C13" s="2198" t="s">
        <v>2631</v>
      </c>
      <c r="D13" s="1504" t="s">
        <v>2632</v>
      </c>
      <c r="E13" s="1504" t="s">
        <v>2633</v>
      </c>
      <c r="F13" s="30" t="s">
        <v>2634</v>
      </c>
      <c r="G13" s="2199" t="s">
        <v>2635</v>
      </c>
      <c r="H13" s="2199" t="s">
        <v>2635</v>
      </c>
      <c r="I13" s="2199" t="s">
        <v>2635</v>
      </c>
      <c r="J13" s="2200" t="s">
        <v>2635</v>
      </c>
      <c r="K13" s="1252"/>
      <c r="L13" s="1252"/>
      <c r="M13" s="1252"/>
      <c r="N13" s="1252"/>
      <c r="O13" s="1252"/>
      <c r="P13" s="1252"/>
      <c r="Q13" s="1252"/>
      <c r="R13" s="1346">
        <v>12</v>
      </c>
      <c r="S13" s="1347"/>
      <c r="T13" s="1346" t="e">
        <f t="shared" si="0"/>
        <v>#DIV/0!</v>
      </c>
      <c r="U13" s="1347"/>
      <c r="V13" s="1346" t="e">
        <f t="shared" si="1"/>
        <v>#DIV/0!</v>
      </c>
      <c r="W13" s="3570"/>
      <c r="X13" s="1360"/>
      <c r="Y13" s="1357">
        <f>(-0.163*(Y12^2)-0.59*Y12+7617)*(10^(-4))/Y11</f>
        <v>0.25390000000000001</v>
      </c>
      <c r="Z13" s="1357">
        <f t="shared" ref="Z13:AJ13" si="5">(-0.163*(Z12^2)-0.59*Z12+7617)*(10^(-4))/Z11</f>
        <v>0.25390000000000001</v>
      </c>
      <c r="AA13" s="1357">
        <f t="shared" si="5"/>
        <v>0.25390000000000001</v>
      </c>
      <c r="AB13" s="1357">
        <f t="shared" si="5"/>
        <v>0.25390000000000001</v>
      </c>
      <c r="AC13" s="1357">
        <f t="shared" si="5"/>
        <v>0.25390000000000001</v>
      </c>
      <c r="AD13" s="1357">
        <f t="shared" si="5"/>
        <v>0.25390000000000001</v>
      </c>
      <c r="AE13" s="1357">
        <f t="shared" si="5"/>
        <v>0.25390000000000001</v>
      </c>
      <c r="AF13" s="1357">
        <f t="shared" si="5"/>
        <v>0.25390000000000001</v>
      </c>
      <c r="AG13" s="1357">
        <f t="shared" si="5"/>
        <v>0.25390000000000001</v>
      </c>
      <c r="AH13" s="1357">
        <f t="shared" si="5"/>
        <v>0.25390000000000001</v>
      </c>
      <c r="AI13" s="1357">
        <f t="shared" si="5"/>
        <v>0.25390000000000001</v>
      </c>
      <c r="AJ13" s="1357">
        <f t="shared" si="5"/>
        <v>0.25390000000000001</v>
      </c>
    </row>
    <row r="14" spans="1:36" ht="15">
      <c r="A14" s="3576"/>
      <c r="B14" s="2201"/>
      <c r="C14" s="2202" t="s">
        <v>3173</v>
      </c>
      <c r="D14" s="2203" t="s">
        <v>3174</v>
      </c>
      <c r="E14" s="2203" t="s">
        <v>3174</v>
      </c>
      <c r="F14" s="2204" t="s">
        <v>3175</v>
      </c>
      <c r="G14" s="2205" t="s">
        <v>2636</v>
      </c>
      <c r="H14" s="2206"/>
      <c r="I14" s="2207"/>
      <c r="J14" s="2208"/>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9"/>
      <c r="AE14" s="2989"/>
      <c r="AF14" s="2989"/>
      <c r="AG14" s="2989"/>
      <c r="AH14" s="2989"/>
      <c r="AI14" s="2989"/>
      <c r="AJ14" s="2990"/>
    </row>
    <row r="15" spans="1:36" ht="15.75" thickBot="1">
      <c r="A15" s="3577"/>
      <c r="B15" s="2209" t="s">
        <v>2637</v>
      </c>
      <c r="C15" s="193">
        <f>IF(C14="有",1.1,1)</f>
        <v>1.1000000000000001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6">
        <v>14</v>
      </c>
      <c r="S15" s="1347"/>
      <c r="T15" s="1346" t="e">
        <f t="shared" si="0"/>
        <v>#DIV/0!</v>
      </c>
      <c r="U15" s="1347"/>
      <c r="V15" s="1346" t="e">
        <f t="shared" si="1"/>
        <v>#DIV/0!</v>
      </c>
      <c r="W15" s="1350"/>
      <c r="X15" s="1350"/>
      <c r="Y15" s="1350"/>
      <c r="Z15" s="1350"/>
      <c r="AA15" s="1350"/>
      <c r="AB15" s="1350"/>
      <c r="AC15" s="1351"/>
      <c r="AD15" s="2989"/>
      <c r="AE15" s="2989"/>
      <c r="AF15" s="2989"/>
      <c r="AG15" s="2989"/>
      <c r="AH15" s="2989"/>
      <c r="AI15" s="2989"/>
      <c r="AJ15" s="2990"/>
    </row>
    <row r="16" spans="1:36" ht="24.6" customHeight="1">
      <c r="A16" s="3552" t="s">
        <v>2642</v>
      </c>
      <c r="B16" s="2178" t="s">
        <v>2643</v>
      </c>
      <c r="C16" s="2340">
        <f>ROUND(IF(F17="与级别开发程度一致",0,(G17-E17)/C17),0)</f>
        <v>0</v>
      </c>
      <c r="D16" s="3565" t="s">
        <v>2647</v>
      </c>
      <c r="E16" s="3566"/>
      <c r="F16" s="3565" t="s">
        <v>2644</v>
      </c>
      <c r="G16" s="3566"/>
      <c r="H16" s="2210" t="s">
        <v>3176</v>
      </c>
      <c r="I16" s="2210" t="s">
        <v>3177</v>
      </c>
      <c r="J16" s="2344" t="s">
        <v>3178</v>
      </c>
      <c r="K16" s="2210" t="s">
        <v>3179</v>
      </c>
      <c r="L16" s="2210" t="s">
        <v>3180</v>
      </c>
      <c r="M16" s="2210" t="s">
        <v>3181</v>
      </c>
      <c r="N16" s="2210" t="s">
        <v>3182</v>
      </c>
      <c r="O16" s="2211" t="s">
        <v>3183</v>
      </c>
      <c r="P16" s="2152"/>
      <c r="Q16" s="1252"/>
      <c r="R16" s="1346">
        <v>15</v>
      </c>
      <c r="S16" s="1347"/>
      <c r="T16" s="1346" t="e">
        <f t="shared" si="0"/>
        <v>#DIV/0!</v>
      </c>
      <c r="U16" s="1347"/>
      <c r="V16" s="1346" t="e">
        <f t="shared" si="1"/>
        <v>#DIV/0!</v>
      </c>
      <c r="W16" s="1350"/>
      <c r="X16" s="1350"/>
      <c r="Y16" s="1350"/>
      <c r="Z16" s="1350"/>
      <c r="AA16" s="1350"/>
      <c r="AB16" s="1350"/>
      <c r="AC16" s="1351"/>
      <c r="AD16" s="2989"/>
      <c r="AE16" s="2989"/>
      <c r="AF16" s="2989"/>
      <c r="AG16" s="2989"/>
      <c r="AH16" s="2989"/>
      <c r="AI16" s="2989"/>
      <c r="AJ16" s="2990"/>
    </row>
    <row r="17" spans="1:37" ht="26.25" thickBot="1">
      <c r="A17" s="3553"/>
      <c r="B17" s="2351" t="s">
        <v>2646</v>
      </c>
      <c r="C17" s="2352">
        <f>SUMPRODUCT((修正!A2:A5=E2)*(修正!B1:M1=G2)*(修正!B2:M5))</f>
        <v>2.5</v>
      </c>
      <c r="D17" s="193" t="str">
        <f>IF(OR(G2="八级",G2="九级",G2="十级",G2="十一级",G2="十二级"),"五通一平","七通一平")</f>
        <v>七通一平</v>
      </c>
      <c r="E17" s="2341">
        <f>SUMPRODUCT((修正!B1:M1=G2)*(修正!B15:M15))</f>
        <v>300</v>
      </c>
      <c r="F17" s="2342" t="s">
        <v>3184</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2650</v>
      </c>
      <c r="C19" s="863">
        <f>ROUND(IF(H19="按公示增长率计算",SUMPRODUCT((地价!A3:A37=YEAR(G19)&amp;"-"&amp;ROUNDUP(MONTH(G19)/3,0))*(地价!X2:AB2=E2)*(地价!X3:AB37)),IF(H19="地价指数",M20/M19,(1+I19)^O19)),4)</f>
        <v>1.7232000000000001</v>
      </c>
      <c r="D19" s="2220" t="s">
        <v>2651</v>
      </c>
      <c r="E19" s="864">
        <v>41640</v>
      </c>
      <c r="F19" s="2220" t="s">
        <v>2652</v>
      </c>
      <c r="G19" s="865">
        <f>'数据-取费表'!B2</f>
        <v>44573</v>
      </c>
      <c r="H19" s="2221" t="s">
        <v>3185</v>
      </c>
      <c r="I19" s="866" t="str">
        <f>IF(H19="季度增幅（自定义）",SUMIF(N21:N24,E2,O21:O24),"")</f>
        <v/>
      </c>
      <c r="J19" s="2218"/>
      <c r="K19" s="1259"/>
      <c r="L19" s="2222" t="s">
        <v>2653</v>
      </c>
      <c r="M19" s="1468">
        <f>ROUND(SUMIF(地价!B2:F2,E2,地价!B37:F37),0)</f>
        <v>423</v>
      </c>
      <c r="N19" s="2223"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2655</v>
      </c>
      <c r="C20" s="868" t="e">
        <f>ROUND(POWER(1+G20,J20-I20)*(POWER(1+G20,I20)-1)/(POWER(1+G20,J20)-1),4)</f>
        <v>#DIV/0!</v>
      </c>
      <c r="D20" s="2227" t="s">
        <v>2656</v>
      </c>
      <c r="E20" s="1475">
        <f>存贷款利率!E19/100</f>
        <v>4.3499999999999997E-2</v>
      </c>
      <c r="F20" s="2227" t="s">
        <v>2648</v>
      </c>
      <c r="G20" s="873">
        <f>SUMIF(M26:P26,E2,M28:P28)</f>
        <v>0.05</v>
      </c>
      <c r="H20" s="2227" t="s">
        <v>2657</v>
      </c>
      <c r="I20" s="874" t="e">
        <f>SUMIF('数据-取费表'!C6:C15,E2,'数据-取费表'!F6:F15)/COUNTIF('数据-取费表'!C6:C15,E2)</f>
        <v>#DIV/0!</v>
      </c>
      <c r="J20" s="875">
        <f>IF(E2="住宅",70,IF(E2="商业",40,50))</f>
        <v>70</v>
      </c>
      <c r="K20" s="1259"/>
      <c r="L20" s="2228" t="s">
        <v>2658</v>
      </c>
      <c r="M20" s="1469">
        <f>ROUND(SUMPRODUCT((地价!A4:A37=YEAR(G19)&amp;"-"&amp;ROUNDUP(MONTH(G19)/3,0))*(地价!B2:F2=E2)*(地价!B4:F37)),0)</f>
        <v>729</v>
      </c>
      <c r="N20" s="2229" t="s">
        <v>2659</v>
      </c>
      <c r="O20" s="2230" t="s">
        <v>2660</v>
      </c>
      <c r="P20" s="2231" t="s">
        <v>2661</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3186</v>
      </c>
      <c r="C21" s="876">
        <f>IF(B21="容积率修正",IF(G3&lt;=10,D22,J22),C23)</f>
        <v>0.95340000000000003</v>
      </c>
      <c r="D21" s="2234"/>
      <c r="E21" s="2234"/>
      <c r="F21" s="2234"/>
      <c r="G21" s="2234"/>
      <c r="H21" s="2234"/>
      <c r="I21" s="2234"/>
      <c r="J21" s="2235"/>
      <c r="K21" s="1259"/>
      <c r="L21" s="2988"/>
      <c r="M21" s="2988"/>
      <c r="N21" s="2236" t="s">
        <v>2662</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2663</v>
      </c>
      <c r="B22" s="2237" t="s">
        <v>2664</v>
      </c>
      <c r="C22" s="1506" t="s">
        <v>2665</v>
      </c>
      <c r="D22" s="1506">
        <f>IF(E22=G22,F22,IF(G3&lt;=10,ROUND(F22+(H22-F22)*(G3-E22)/(G22-E22),4),"——"))</f>
        <v>0.95340000000000003</v>
      </c>
      <c r="E22" s="855">
        <f>ROUNDDOWN(G3,1)</f>
        <v>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0.95340000000000003</v>
      </c>
      <c r="G22" s="855">
        <f>ROUNDUP(G3,1)</f>
        <v>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0.95340000000000003</v>
      </c>
      <c r="I22" s="1506" t="s">
        <v>155</v>
      </c>
      <c r="J22" s="877" t="str">
        <f>IF(G3&gt;10,D113,"——")</f>
        <v>——</v>
      </c>
      <c r="K22" s="1259"/>
      <c r="L22" s="2988"/>
      <c r="M22" s="2988"/>
      <c r="N22" s="2236" t="s">
        <v>2666</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2667</v>
      </c>
      <c r="B23" s="2238" t="s">
        <v>2668</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2669</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2670</v>
      </c>
      <c r="C24" s="863">
        <f>SUMIF(A45:A88,E2,B45:B88)</f>
        <v>1.03</v>
      </c>
      <c r="D24" s="2217"/>
      <c r="E24" s="2244"/>
      <c r="F24" s="2244"/>
      <c r="G24" s="2244"/>
      <c r="H24" s="2244"/>
      <c r="I24" s="2244"/>
      <c r="J24" s="2245"/>
      <c r="K24" s="1259"/>
      <c r="L24" s="2988"/>
      <c r="M24" s="2988"/>
      <c r="N24" s="2246" t="s">
        <v>2671</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2672</v>
      </c>
      <c r="C25" s="869"/>
      <c r="D25" s="2181"/>
      <c r="E25" s="2181"/>
      <c r="F25" s="2248"/>
      <c r="G25" s="2181"/>
      <c r="H25" s="2181"/>
      <c r="I25" s="2181"/>
      <c r="J25" s="2182"/>
      <c r="K25" s="1252"/>
      <c r="L25" s="2152"/>
      <c r="M25" s="2152"/>
      <c r="N25" s="2983" t="s">
        <v>2673</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2674</v>
      </c>
      <c r="C26" s="2511" t="e">
        <f>IF(B21="容积率修正",E29+SUM(E33:E39),SUM(V2:V16)+SUM(E33:E39))</f>
        <v>#DIV/0!</v>
      </c>
      <c r="D26" s="2250"/>
      <c r="E26" s="2206"/>
      <c r="F26" s="2251"/>
      <c r="G26" s="2206"/>
      <c r="H26" s="2206"/>
      <c r="I26" s="2206"/>
      <c r="J26" s="2252"/>
      <c r="K26" s="1252"/>
      <c r="L26" s="2986" t="s">
        <v>2574</v>
      </c>
      <c r="M26" s="2179" t="s">
        <v>2638</v>
      </c>
      <c r="N26" s="2179" t="s">
        <v>2639</v>
      </c>
      <c r="O26" s="2179" t="s">
        <v>2640</v>
      </c>
      <c r="P26" s="2987" t="s">
        <v>2641</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2675</v>
      </c>
      <c r="C27" s="870" t="e">
        <f>E30+SUM(I33:I39)</f>
        <v>#DIV/0!</v>
      </c>
      <c r="D27" s="2254"/>
      <c r="E27" s="2255"/>
      <c r="F27" s="2256"/>
      <c r="G27" s="2255"/>
      <c r="H27" s="2255"/>
      <c r="I27" s="2255"/>
      <c r="J27" s="2257"/>
      <c r="K27" s="1252"/>
      <c r="L27" s="2212"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2"/>
      <c r="L28" s="2213"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2680</v>
      </c>
      <c r="C29" s="180" t="e">
        <f>ROUND(C5*C18*C19*C20*C21*C24,0)</f>
        <v>#DIV/0!</v>
      </c>
      <c r="D29" s="2265"/>
      <c r="E29" s="879" t="e">
        <f>ROUND(C29*D29/10000,0)</f>
        <v>#DIV/0!</v>
      </c>
      <c r="F29" s="2266" t="s">
        <v>2681</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2682</v>
      </c>
      <c r="C30" s="193" t="e">
        <f>ROUND(IF(E2="工业",C29*M39,C29*M38),0)</f>
        <v>#DIV/0!</v>
      </c>
      <c r="D30" s="2271"/>
      <c r="E30" s="879" t="e">
        <f>ROUND(C30*D30/10000,0)</f>
        <v>#DIV/0!</v>
      </c>
      <c r="F30" s="2272" t="s">
        <v>2683</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2684</v>
      </c>
      <c r="C31" s="2277" t="s">
        <v>2685</v>
      </c>
      <c r="D31" s="2194"/>
      <c r="E31" s="2277"/>
      <c r="F31" s="2277"/>
      <c r="G31" s="2192" t="s">
        <v>2686</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2677</v>
      </c>
      <c r="D32" s="455" t="s">
        <v>2678</v>
      </c>
      <c r="E32" s="455" t="s">
        <v>2679</v>
      </c>
      <c r="F32" s="348" t="s">
        <v>2687</v>
      </c>
      <c r="G32" s="2280" t="s">
        <v>2677</v>
      </c>
      <c r="H32" s="2280" t="s">
        <v>2678</v>
      </c>
      <c r="I32" s="2280"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62"/>
      <c r="B33" s="2281" t="s">
        <v>2688</v>
      </c>
      <c r="C33" s="180" t="e">
        <f>ROUND(D5*C19*C20*C24*F33,0)</f>
        <v>#DIV/0!</v>
      </c>
      <c r="D33" s="2265"/>
      <c r="E33" s="176" t="e">
        <f>ROUND(C33*D33/10000,0)</f>
        <v>#DIV/0!</v>
      </c>
      <c r="F33" s="176">
        <f>SUMIF(修正!A45:A56,G2,修正!B45:B56)</f>
        <v>0.7</v>
      </c>
      <c r="G33" s="176" t="e">
        <f t="shared" ref="G33" si="6">ROUND(IF(E2="工业",C33*$M$39,C33*$M$38),0)</f>
        <v>#DIV/0!</v>
      </c>
      <c r="H33" s="176">
        <f>D33</f>
        <v>0</v>
      </c>
      <c r="I33" s="176" t="e">
        <f>ROUND(G33*H33/10000,0)</f>
        <v>#DIV/0!</v>
      </c>
      <c r="J33" s="3567"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63"/>
      <c r="B34" s="2198" t="s">
        <v>2689</v>
      </c>
      <c r="C34" s="180" t="e">
        <f>ROUND(D5*C19*C20*C24*F34,0)</f>
        <v>#DIV/0!</v>
      </c>
      <c r="D34" s="2265"/>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6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63"/>
      <c r="B35" s="2198" t="s">
        <v>2690</v>
      </c>
      <c r="C35" s="180" t="e">
        <f>ROUND(D5*C19*C20*C24*F35,0)</f>
        <v>#DIV/0!</v>
      </c>
      <c r="D35" s="2265"/>
      <c r="E35" s="176" t="e">
        <f t="shared" si="7"/>
        <v>#DIV/0!</v>
      </c>
      <c r="F35" s="176">
        <f>SUMIF(修正!A45:A56,G2,修正!D45:D56)</f>
        <v>0.28000000000000003</v>
      </c>
      <c r="G35" s="176" t="e">
        <f>ROUND(IF(E2="工业",C35*$M$39,C35*$M$38),0)</f>
        <v>#DIV/0!</v>
      </c>
      <c r="H35" s="176">
        <f t="shared" si="8"/>
        <v>0</v>
      </c>
      <c r="I35" s="176" t="e">
        <f t="shared" si="9"/>
        <v>#DIV/0!</v>
      </c>
      <c r="J35" s="356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64"/>
      <c r="B36" s="2198" t="s">
        <v>2691</v>
      </c>
      <c r="C36" s="180" t="e">
        <f>ROUND(D5*C19*C20*C24*F36,0)</f>
        <v>#DIV/0!</v>
      </c>
      <c r="D36" s="2265"/>
      <c r="E36" s="176" t="e">
        <f t="shared" si="7"/>
        <v>#DIV/0!</v>
      </c>
      <c r="F36" s="176">
        <f>SUMIF(修正!A45:A56,G2,修正!E45:E56)</f>
        <v>0.25</v>
      </c>
      <c r="G36" s="176" t="e">
        <f>ROUND(IF(E2="工业",C36*$M$39,C36*$M$38),0)</f>
        <v>#DIV/0!</v>
      </c>
      <c r="H36" s="176">
        <f t="shared" si="8"/>
        <v>0</v>
      </c>
      <c r="I36" s="176" t="e">
        <f t="shared" si="9"/>
        <v>#DIV/0!</v>
      </c>
      <c r="J36" s="3564"/>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2692</v>
      </c>
      <c r="C37" s="176" t="e">
        <f>ROUND(D5*C19*C20*C24*F37,0)</f>
        <v>#DIV/0!</v>
      </c>
      <c r="D37" s="2265"/>
      <c r="E37" s="176" t="e">
        <f t="shared" si="7"/>
        <v>#DIV/0!</v>
      </c>
      <c r="F37" s="180">
        <f>SUMIF(修正!A45:A56,G2,修正!F45:F56)</f>
        <v>0.25</v>
      </c>
      <c r="G37" s="176" t="e">
        <f>ROUND(IF(E2="工业",C37*$M$39,C37*$M$38),0)</f>
        <v>#DIV/0!</v>
      </c>
      <c r="H37" s="176">
        <f t="shared" si="8"/>
        <v>0</v>
      </c>
      <c r="I37" s="176" t="e">
        <f t="shared" si="9"/>
        <v>#DIV/0!</v>
      </c>
      <c r="J37" s="2282"/>
      <c r="K37" s="1252"/>
      <c r="L37" s="2284" t="s">
        <v>2693</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2694</v>
      </c>
      <c r="C38" s="176">
        <f>ROUND(D5*C19*C41*C24*F38,0)</f>
        <v>5804</v>
      </c>
      <c r="D38" s="2265"/>
      <c r="E38" s="176">
        <f t="shared" si="7"/>
        <v>0</v>
      </c>
      <c r="F38" s="180">
        <f>SUMIF(修正!A45:A56,G2,修正!G45:G56)</f>
        <v>0.25</v>
      </c>
      <c r="G38" s="176">
        <f>ROUND(IF(E2="工业",C38*$M$39,C38*$M$38),0)</f>
        <v>1451</v>
      </c>
      <c r="H38" s="176">
        <f t="shared" si="8"/>
        <v>0</v>
      </c>
      <c r="I38" s="176">
        <f t="shared" si="9"/>
        <v>0</v>
      </c>
      <c r="J38" s="2282"/>
      <c r="K38" s="1252"/>
      <c r="L38" s="1575" t="s">
        <v>2695</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2696</v>
      </c>
      <c r="C39" s="193">
        <f>ROUND(D5*C19*C41*C24*F39,0)</f>
        <v>4644</v>
      </c>
      <c r="D39" s="2271">
        <f>'数据-汇总表'!G19</f>
        <v>33.93</v>
      </c>
      <c r="E39" s="193">
        <f t="shared" si="7"/>
        <v>16</v>
      </c>
      <c r="F39" s="871">
        <f>SUMIF(修正!A45:A56,G2,修正!H45:H56)</f>
        <v>0.2</v>
      </c>
      <c r="G39" s="193">
        <f>ROUND(IF(E2="工业",C39*$M$39,C39*$M$38),0)</f>
        <v>1161</v>
      </c>
      <c r="H39" s="193">
        <f t="shared" si="8"/>
        <v>33.93</v>
      </c>
      <c r="I39" s="193">
        <f t="shared" si="9"/>
        <v>4</v>
      </c>
      <c r="J39" s="2288"/>
      <c r="K39" s="1252"/>
      <c r="L39" s="2289" t="s">
        <v>2641</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0.86860000000000004</v>
      </c>
      <c r="D41" s="176" t="s">
        <v>2648</v>
      </c>
      <c r="E41" s="2338">
        <f>G20</f>
        <v>0.05</v>
      </c>
      <c r="F41" s="176" t="s">
        <v>2657</v>
      </c>
      <c r="G41" s="189">
        <f>项目基本情况!G15</f>
        <v>32.270000000000003</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2697</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2698</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2699</v>
      </c>
      <c r="B47" s="1505" t="s">
        <v>2700</v>
      </c>
      <c r="C47" s="1505" t="s">
        <v>2701</v>
      </c>
      <c r="D47" s="1505" t="s">
        <v>2702</v>
      </c>
      <c r="E47" s="758" t="s">
        <v>2703</v>
      </c>
      <c r="F47" s="2299" t="s">
        <v>2704</v>
      </c>
      <c r="G47" s="1505" t="s">
        <v>754</v>
      </c>
      <c r="H47" s="2300" t="s">
        <v>2705</v>
      </c>
      <c r="I47" s="1505" t="s">
        <v>2706</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2707</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2708</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2709</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2710</v>
      </c>
      <c r="B51" s="2303" t="s">
        <v>2711</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2712</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2713</v>
      </c>
      <c r="B53" s="2304" t="s">
        <v>2714</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2715</v>
      </c>
      <c r="B54" s="1466"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2716</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2717</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2718</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2699</v>
      </c>
      <c r="B58" s="1505"/>
      <c r="C58" s="1505" t="s">
        <v>2701</v>
      </c>
      <c r="D58" s="1505" t="s">
        <v>2702</v>
      </c>
      <c r="E58" s="758" t="s">
        <v>2703</v>
      </c>
      <c r="F58" s="2299" t="s">
        <v>2719</v>
      </c>
      <c r="G58" s="1505" t="s">
        <v>754</v>
      </c>
      <c r="H58" s="2300" t="s">
        <v>2705</v>
      </c>
      <c r="I58" s="1505" t="s">
        <v>2706</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2720</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2708</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2709</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2710</v>
      </c>
      <c r="B62" s="2303" t="s">
        <v>2711</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2712</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2713</v>
      </c>
      <c r="B64" s="2304" t="s">
        <v>2714</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2715</v>
      </c>
      <c r="B65" s="1466"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2716</v>
      </c>
      <c r="B66" s="1466"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2717</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2721</v>
      </c>
      <c r="B68" s="2295">
        <f>1+E70</f>
        <v>1.03</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2699</v>
      </c>
      <c r="B69" s="1505"/>
      <c r="C69" s="1505" t="s">
        <v>2701</v>
      </c>
      <c r="D69" s="1505" t="s">
        <v>2702</v>
      </c>
      <c r="E69" s="758" t="s">
        <v>2703</v>
      </c>
      <c r="F69" s="2299" t="s">
        <v>2719</v>
      </c>
      <c r="G69" s="1505" t="s">
        <v>754</v>
      </c>
      <c r="H69" s="2300" t="s">
        <v>2705</v>
      </c>
      <c r="I69" s="1505" t="s">
        <v>2706</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2722</v>
      </c>
      <c r="B70" s="2301" t="str">
        <f>估价对象房地状况!C15</f>
        <v>估价对象周边居住用地比例、居住小区规模和社区发展完善程度，综合评价居住社区成熟度一般</v>
      </c>
      <c r="C70" s="2203" t="s">
        <v>3187</v>
      </c>
      <c r="D70" s="1196">
        <f t="shared" ref="D70:D78" si="20">SUMIF($J$69:$N$69,C70,J70:N70)</f>
        <v>6.7000000000000002E-3</v>
      </c>
      <c r="E70" s="760">
        <f>ROUND(SUM(D70:D78),4)</f>
        <v>0.03</v>
      </c>
      <c r="F70" s="1969">
        <f>IF(E2="住宅",SUMIF(L1:L12,G2,N1:N12),"——")</f>
        <v>9.6000000000000002E-2</v>
      </c>
      <c r="G70" s="1194">
        <f>H70</f>
        <v>6.7000000000000002E-3</v>
      </c>
      <c r="H70" s="1198">
        <f t="shared" ref="H70:H78" si="21">IFERROR(ROUNDDOWN($F$70*I70/2,4),"——")</f>
        <v>6.7000000000000002E-3</v>
      </c>
      <c r="I70" s="759">
        <v>0.14000000000000001</v>
      </c>
      <c r="J70" s="1195">
        <f t="shared" ref="J70:J78" si="22">K70+$G70</f>
        <v>1.34E-2</v>
      </c>
      <c r="K70" s="1195">
        <f t="shared" ref="K70:K78" si="23">$L70+$G70</f>
        <v>6.7000000000000002E-3</v>
      </c>
      <c r="L70" s="1195">
        <v>0</v>
      </c>
      <c r="M70" s="1195">
        <f t="shared" ref="M70:N78" si="24">L70-$G70</f>
        <v>-6.7000000000000002E-3</v>
      </c>
      <c r="N70" s="1195">
        <f t="shared" si="24"/>
        <v>-1.34E-2</v>
      </c>
      <c r="AA70" s="1253"/>
      <c r="AB70" s="1253"/>
      <c r="AC70" s="1253"/>
      <c r="AD70" s="1253"/>
      <c r="AE70" s="1253"/>
      <c r="AF70" s="1253"/>
      <c r="AG70" s="1253"/>
      <c r="AH70" s="1253"/>
      <c r="AI70" s="1253"/>
      <c r="AJ70" s="1253"/>
      <c r="AK70" s="1253"/>
    </row>
    <row r="71" spans="1:37" s="1252" customFormat="1" ht="51">
      <c r="A71" s="2298" t="s">
        <v>2708</v>
      </c>
      <c r="B71" s="2302" t="str">
        <f>估价对象房地状况!C18</f>
        <v>估价对象周边道路状况、公共交通通达情况、停车便捷程度，综合评价交通便捷度较好</v>
      </c>
      <c r="C71" s="2203" t="s">
        <v>3188</v>
      </c>
      <c r="D71" s="1196">
        <f t="shared" si="20"/>
        <v>0</v>
      </c>
      <c r="E71" s="765"/>
      <c r="F71" s="1969"/>
      <c r="G71" s="1194">
        <f t="shared" ref="G71:G78" si="25">H71</f>
        <v>1.44E-2</v>
      </c>
      <c r="H71" s="1198">
        <f t="shared" si="21"/>
        <v>1.44E-2</v>
      </c>
      <c r="I71" s="759">
        <v>0.3</v>
      </c>
      <c r="J71" s="1195">
        <f t="shared" si="22"/>
        <v>2.8799999999999999E-2</v>
      </c>
      <c r="K71" s="1195">
        <f t="shared" si="23"/>
        <v>1.44E-2</v>
      </c>
      <c r="L71" s="1195">
        <v>0</v>
      </c>
      <c r="M71" s="1195">
        <f t="shared" si="24"/>
        <v>-1.44E-2</v>
      </c>
      <c r="N71" s="1195">
        <f t="shared" si="24"/>
        <v>-2.8799999999999999E-2</v>
      </c>
      <c r="AA71" s="1253"/>
      <c r="AB71" s="1253"/>
      <c r="AC71" s="1253"/>
      <c r="AD71" s="1253"/>
      <c r="AE71" s="1253"/>
      <c r="AF71" s="1253"/>
      <c r="AG71" s="1253"/>
      <c r="AH71" s="1253"/>
      <c r="AI71" s="1253"/>
      <c r="AJ71" s="1253"/>
      <c r="AK71" s="1253"/>
    </row>
    <row r="72" spans="1:37" s="1252" customFormat="1" ht="24">
      <c r="A72" s="2298" t="s">
        <v>2709</v>
      </c>
      <c r="B72" s="2302">
        <f>估价对象房地状况!C19</f>
        <v>0</v>
      </c>
      <c r="C72" s="2203" t="s">
        <v>3187</v>
      </c>
      <c r="D72" s="1196">
        <f t="shared" si="20"/>
        <v>3.8E-3</v>
      </c>
      <c r="E72" s="765"/>
      <c r="F72" s="1969"/>
      <c r="G72" s="1194">
        <f t="shared" si="25"/>
        <v>3.8E-3</v>
      </c>
      <c r="H72" s="1198">
        <f t="shared" si="21"/>
        <v>3.8E-3</v>
      </c>
      <c r="I72" s="759">
        <v>0.08</v>
      </c>
      <c r="J72" s="1195">
        <f t="shared" si="22"/>
        <v>7.6E-3</v>
      </c>
      <c r="K72" s="1195">
        <f t="shared" si="23"/>
        <v>3.8E-3</v>
      </c>
      <c r="L72" s="1195">
        <v>0</v>
      </c>
      <c r="M72" s="1195">
        <f t="shared" si="24"/>
        <v>-3.8E-3</v>
      </c>
      <c r="N72" s="1195">
        <f t="shared" si="24"/>
        <v>-7.6E-3</v>
      </c>
      <c r="AA72" s="1253"/>
      <c r="AB72" s="1253"/>
      <c r="AC72" s="1253"/>
      <c r="AD72" s="1253"/>
      <c r="AE72" s="1253"/>
      <c r="AF72" s="1253"/>
      <c r="AG72" s="1253"/>
      <c r="AH72" s="1253"/>
      <c r="AI72" s="1253"/>
      <c r="AJ72" s="1253"/>
      <c r="AK72" s="1253"/>
    </row>
    <row r="73" spans="1:37" s="1252" customFormat="1" ht="14.25">
      <c r="A73" s="2298" t="s">
        <v>2723</v>
      </c>
      <c r="B73" s="2302">
        <f>估价对象房地状况!C24</f>
        <v>0</v>
      </c>
      <c r="C73" s="2203" t="s">
        <v>3188</v>
      </c>
      <c r="D73" s="1196">
        <f t="shared" si="20"/>
        <v>0</v>
      </c>
      <c r="E73" s="765"/>
      <c r="F73" s="1969"/>
      <c r="G73" s="1194">
        <f t="shared" si="25"/>
        <v>1.9E-3</v>
      </c>
      <c r="H73" s="1198">
        <f t="shared" si="21"/>
        <v>1.9E-3</v>
      </c>
      <c r="I73" s="759">
        <v>0.04</v>
      </c>
      <c r="J73" s="1195">
        <f t="shared" si="22"/>
        <v>3.8E-3</v>
      </c>
      <c r="K73" s="1195">
        <f t="shared" si="23"/>
        <v>1.9E-3</v>
      </c>
      <c r="L73" s="1195">
        <v>0</v>
      </c>
      <c r="M73" s="1195">
        <f t="shared" si="24"/>
        <v>-1.9E-3</v>
      </c>
      <c r="N73" s="1195">
        <f t="shared" si="24"/>
        <v>-3.8E-3</v>
      </c>
      <c r="AA73" s="1253"/>
      <c r="AB73" s="1253"/>
      <c r="AC73" s="1253"/>
      <c r="AD73" s="1253"/>
      <c r="AE73" s="1253"/>
      <c r="AF73" s="1253"/>
      <c r="AG73" s="1253"/>
      <c r="AH73" s="1253"/>
      <c r="AI73" s="1253"/>
      <c r="AJ73" s="1253"/>
      <c r="AK73" s="1253"/>
    </row>
    <row r="74" spans="1:37" s="1252" customFormat="1" ht="25.5">
      <c r="A74" s="2298" t="s">
        <v>2715</v>
      </c>
      <c r="B74" s="1466" t="str">
        <f>估价对象房地状况!C21</f>
        <v>估价对象所在区域公共配套设施齐备情况</v>
      </c>
      <c r="C74" s="2203" t="s">
        <v>3187</v>
      </c>
      <c r="D74" s="1196">
        <f t="shared" si="20"/>
        <v>3.8E-3</v>
      </c>
      <c r="E74" s="765"/>
      <c r="F74" s="1969"/>
      <c r="G74" s="1194">
        <f t="shared" si="25"/>
        <v>3.8E-3</v>
      </c>
      <c r="H74" s="1198">
        <f t="shared" si="21"/>
        <v>3.8E-3</v>
      </c>
      <c r="I74" s="759">
        <v>0.08</v>
      </c>
      <c r="J74" s="1195">
        <f t="shared" si="22"/>
        <v>7.6E-3</v>
      </c>
      <c r="K74" s="1195">
        <f t="shared" si="23"/>
        <v>3.8E-3</v>
      </c>
      <c r="L74" s="1195">
        <v>0</v>
      </c>
      <c r="M74" s="1195">
        <f t="shared" si="24"/>
        <v>-3.8E-3</v>
      </c>
      <c r="N74" s="1195">
        <f t="shared" si="24"/>
        <v>-7.6E-3</v>
      </c>
      <c r="AA74" s="1253"/>
      <c r="AB74" s="1253"/>
      <c r="AC74" s="1253"/>
      <c r="AD74" s="1253"/>
      <c r="AE74" s="1253"/>
      <c r="AF74" s="1253"/>
      <c r="AG74" s="1253"/>
      <c r="AH74" s="1253"/>
      <c r="AI74" s="1253"/>
      <c r="AJ74" s="1253"/>
      <c r="AK74" s="1253"/>
    </row>
    <row r="75" spans="1:37" s="1252" customFormat="1" ht="25.5">
      <c r="A75" s="2298" t="s">
        <v>2716</v>
      </c>
      <c r="B75" s="1466" t="str">
        <f>估价对象房地状况!C22</f>
        <v>估价对象所在区域基础设施水平</v>
      </c>
      <c r="C75" s="2203" t="s">
        <v>3189</v>
      </c>
      <c r="D75" s="1196">
        <f t="shared" si="20"/>
        <v>1.14E-2</v>
      </c>
      <c r="E75" s="765"/>
      <c r="F75" s="1969"/>
      <c r="G75" s="1194">
        <f t="shared" si="25"/>
        <v>5.7000000000000002E-3</v>
      </c>
      <c r="H75" s="1198">
        <f t="shared" si="21"/>
        <v>5.7000000000000002E-3</v>
      </c>
      <c r="I75" s="759">
        <v>0.12</v>
      </c>
      <c r="J75" s="1195">
        <f t="shared" si="22"/>
        <v>1.14E-2</v>
      </c>
      <c r="K75" s="1195">
        <f t="shared" si="23"/>
        <v>5.7000000000000002E-3</v>
      </c>
      <c r="L75" s="1195">
        <v>0</v>
      </c>
      <c r="M75" s="1195">
        <f t="shared" si="24"/>
        <v>-5.7000000000000002E-3</v>
      </c>
      <c r="N75" s="1195">
        <f t="shared" si="24"/>
        <v>-1.14E-2</v>
      </c>
      <c r="AA75" s="1253"/>
      <c r="AB75" s="1253"/>
      <c r="AC75" s="1253"/>
      <c r="AD75" s="1253"/>
      <c r="AE75" s="1253"/>
      <c r="AF75" s="1253"/>
      <c r="AG75" s="1253"/>
      <c r="AH75" s="1253"/>
      <c r="AI75" s="1253"/>
      <c r="AJ75" s="1253"/>
      <c r="AK75" s="1253"/>
    </row>
    <row r="76" spans="1:37" s="2152" customFormat="1" ht="24">
      <c r="A76" s="2298" t="s">
        <v>2713</v>
      </c>
      <c r="B76" s="2304" t="s">
        <v>2714</v>
      </c>
      <c r="C76" s="2203" t="s">
        <v>3187</v>
      </c>
      <c r="D76" s="1196">
        <f t="shared" si="20"/>
        <v>2.3999999999999998E-3</v>
      </c>
      <c r="E76" s="765"/>
      <c r="F76" s="1969"/>
      <c r="G76" s="1194">
        <f t="shared" si="25"/>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09"/>
      <c r="AB76" s="1253"/>
      <c r="AC76" s="1253"/>
      <c r="AD76" s="1253"/>
      <c r="AE76" s="1253"/>
      <c r="AF76" s="1253"/>
      <c r="AG76" s="1253"/>
      <c r="AH76" s="2309"/>
      <c r="AI76" s="2309"/>
      <c r="AJ76" s="2309"/>
      <c r="AK76" s="2309"/>
    </row>
    <row r="77" spans="1:37" ht="38.25">
      <c r="A77" s="2298" t="s">
        <v>2717</v>
      </c>
      <c r="B77" s="2301" t="str">
        <f>估价对象房地状况!C20</f>
        <v>区域自然环境：；人文环境；综合评价环境状况一般</v>
      </c>
      <c r="C77" s="2203" t="s">
        <v>3188</v>
      </c>
      <c r="D77" s="1196">
        <f t="shared" si="20"/>
        <v>0</v>
      </c>
      <c r="E77" s="765"/>
      <c r="F77" s="1969"/>
      <c r="G77" s="1194">
        <f t="shared" si="25"/>
        <v>7.1999999999999998E-3</v>
      </c>
      <c r="H77" s="1198">
        <f t="shared" si="21"/>
        <v>7.1999999999999998E-3</v>
      </c>
      <c r="I77" s="759">
        <v>0.15</v>
      </c>
      <c r="J77" s="1195">
        <f t="shared" si="22"/>
        <v>1.44E-2</v>
      </c>
      <c r="K77" s="1195">
        <f t="shared" si="23"/>
        <v>7.1999999999999998E-3</v>
      </c>
      <c r="L77" s="1195">
        <v>0</v>
      </c>
      <c r="M77" s="1195">
        <f t="shared" si="24"/>
        <v>-7.1999999999999998E-3</v>
      </c>
      <c r="N77" s="1195">
        <f t="shared" si="24"/>
        <v>-1.44E-2</v>
      </c>
      <c r="Z77" s="2153"/>
      <c r="AA77" s="2219"/>
      <c r="AG77" s="1254"/>
      <c r="AK77" s="2219"/>
    </row>
    <row r="78" spans="1:37" ht="24.75" thickBot="1">
      <c r="A78" s="2306" t="s">
        <v>2724</v>
      </c>
      <c r="B78" s="2310"/>
      <c r="C78" s="2203" t="s">
        <v>3187</v>
      </c>
      <c r="D78" s="1196">
        <f t="shared" si="20"/>
        <v>1.9E-3</v>
      </c>
      <c r="E78" s="766"/>
      <c r="F78" s="1969"/>
      <c r="G78" s="1194">
        <f t="shared" si="25"/>
        <v>1.9E-3</v>
      </c>
      <c r="H78" s="1198">
        <f t="shared" si="21"/>
        <v>1.9E-3</v>
      </c>
      <c r="I78" s="763">
        <v>0.04</v>
      </c>
      <c r="J78" s="1195">
        <f t="shared" si="22"/>
        <v>3.8E-3</v>
      </c>
      <c r="K78" s="1195">
        <f t="shared" si="23"/>
        <v>1.9E-3</v>
      </c>
      <c r="L78" s="1195">
        <v>0</v>
      </c>
      <c r="M78" s="1195">
        <f t="shared" si="24"/>
        <v>-1.9E-3</v>
      </c>
      <c r="N78" s="1195">
        <f t="shared" si="24"/>
        <v>-3.8E-3</v>
      </c>
      <c r="Z78" s="2153"/>
      <c r="AA78" s="2219"/>
      <c r="AG78" s="1254"/>
      <c r="AK78" s="2219"/>
    </row>
    <row r="79" spans="1:37" ht="15">
      <c r="A79" s="2294" t="s">
        <v>2725</v>
      </c>
      <c r="B79" s="2295">
        <f>1+E81</f>
        <v>1</v>
      </c>
      <c r="C79" s="753"/>
      <c r="D79" s="753"/>
      <c r="E79" s="754"/>
      <c r="F79" s="2297"/>
      <c r="G79" s="6"/>
      <c r="H79" s="6"/>
      <c r="I79" s="6"/>
      <c r="J79" s="7"/>
      <c r="K79" s="7"/>
      <c r="L79" s="7"/>
      <c r="M79" s="7"/>
      <c r="N79" s="7"/>
      <c r="Z79" s="2153"/>
      <c r="AA79" s="2219"/>
      <c r="AG79" s="1254"/>
      <c r="AK79" s="2219"/>
    </row>
    <row r="80" spans="1:37" ht="24.75">
      <c r="A80" s="2298" t="s">
        <v>2699</v>
      </c>
      <c r="B80" s="1505"/>
      <c r="C80" s="1505" t="s">
        <v>2701</v>
      </c>
      <c r="D80" s="1505" t="s">
        <v>2702</v>
      </c>
      <c r="E80" s="758" t="s">
        <v>2703</v>
      </c>
      <c r="F80" s="2299" t="s">
        <v>2719</v>
      </c>
      <c r="G80" s="1505" t="s">
        <v>754</v>
      </c>
      <c r="H80" s="2300" t="s">
        <v>2705</v>
      </c>
      <c r="I80" s="1505" t="s">
        <v>2706</v>
      </c>
      <c r="J80" s="560" t="s">
        <v>2358</v>
      </c>
      <c r="K80" s="560" t="s">
        <v>2359</v>
      </c>
      <c r="L80" s="560" t="s">
        <v>2360</v>
      </c>
      <c r="M80" s="560" t="s">
        <v>2361</v>
      </c>
      <c r="N80" s="560" t="s">
        <v>2362</v>
      </c>
      <c r="Z80" s="2153"/>
      <c r="AA80" s="2219"/>
      <c r="AG80" s="1254"/>
      <c r="AK80" s="2219"/>
    </row>
    <row r="81" spans="1:37" ht="38.25">
      <c r="A81" s="2298" t="s">
        <v>2726</v>
      </c>
      <c r="B81" s="2302" t="str">
        <f>估价对象房地状况!G15</f>
        <v>估价对象位于XX开发区，园区建设成熟度XX，产业集聚程度XX</v>
      </c>
      <c r="C81" s="2203"/>
      <c r="D81" s="1196">
        <f t="shared" ref="D81:D88" si="26">SUMIF($J$80:$N$80,C81,J81:N81)</f>
        <v>0</v>
      </c>
      <c r="E81" s="760">
        <f>ROUND(SUM(D81:D88),4)</f>
        <v>0</v>
      </c>
      <c r="F81" s="196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3"/>
      <c r="AA81" s="2219"/>
      <c r="AG81" s="1254"/>
      <c r="AK81" s="2219"/>
    </row>
    <row r="82" spans="1:37" ht="51">
      <c r="A82" s="2298" t="s">
        <v>2708</v>
      </c>
      <c r="B82" s="2302" t="str">
        <f>估价对象房地状况!G16</f>
        <v>估价对象周边道路状况、公共交通通达情况、停车便捷程度，综合评价交通便捷度较好</v>
      </c>
      <c r="C82" s="2203"/>
      <c r="D82" s="1196">
        <f t="shared" si="26"/>
        <v>0</v>
      </c>
      <c r="E82" s="765"/>
      <c r="F82" s="1969"/>
      <c r="G82" s="1194"/>
      <c r="H82" s="1198" t="str">
        <f t="shared" si="27"/>
        <v>——</v>
      </c>
      <c r="I82" s="759">
        <v>0.33</v>
      </c>
      <c r="J82" s="1195">
        <f t="shared" si="28"/>
        <v>0</v>
      </c>
      <c r="K82" s="1195">
        <f t="shared" si="29"/>
        <v>0</v>
      </c>
      <c r="L82" s="1195">
        <v>0</v>
      </c>
      <c r="M82" s="1195">
        <f t="shared" si="30"/>
        <v>0</v>
      </c>
      <c r="N82" s="1195">
        <f t="shared" si="30"/>
        <v>0</v>
      </c>
      <c r="Z82" s="2153"/>
      <c r="AA82" s="2219"/>
      <c r="AG82" s="1254"/>
      <c r="AK82" s="2219"/>
    </row>
    <row r="83" spans="1:37" ht="24">
      <c r="A83" s="2298" t="s">
        <v>2709</v>
      </c>
      <c r="B83" s="2302">
        <f>估价对象房地状况!G17</f>
        <v>0</v>
      </c>
      <c r="C83" s="2203"/>
      <c r="D83" s="1196">
        <f t="shared" si="26"/>
        <v>0</v>
      </c>
      <c r="E83" s="765"/>
      <c r="F83" s="1969"/>
      <c r="G83" s="1194"/>
      <c r="H83" s="1198" t="str">
        <f t="shared" si="27"/>
        <v>——</v>
      </c>
      <c r="I83" s="759">
        <v>0.05</v>
      </c>
      <c r="J83" s="1195">
        <f t="shared" si="28"/>
        <v>0</v>
      </c>
      <c r="K83" s="1195">
        <f t="shared" si="29"/>
        <v>0</v>
      </c>
      <c r="L83" s="1195">
        <v>0</v>
      </c>
      <c r="M83" s="1195">
        <f t="shared" si="30"/>
        <v>0</v>
      </c>
      <c r="N83" s="1195">
        <f t="shared" si="30"/>
        <v>0</v>
      </c>
      <c r="Z83" s="2153"/>
      <c r="AA83" s="2219"/>
      <c r="AG83" s="1254"/>
      <c r="AK83" s="2219"/>
    </row>
    <row r="84" spans="1:37" ht="14.25">
      <c r="A84" s="2298" t="s">
        <v>2723</v>
      </c>
      <c r="B84" s="2302">
        <f>估价对象房地状况!G22</f>
        <v>0</v>
      </c>
      <c r="C84" s="2203"/>
      <c r="D84" s="1196">
        <f t="shared" si="26"/>
        <v>0</v>
      </c>
      <c r="E84" s="765"/>
      <c r="F84" s="1969"/>
      <c r="G84" s="1194"/>
      <c r="H84" s="1198" t="str">
        <f t="shared" si="27"/>
        <v>——</v>
      </c>
      <c r="I84" s="759">
        <v>0.04</v>
      </c>
      <c r="J84" s="1195">
        <f t="shared" si="28"/>
        <v>0</v>
      </c>
      <c r="K84" s="1195">
        <f t="shared" si="29"/>
        <v>0</v>
      </c>
      <c r="L84" s="1195">
        <v>0</v>
      </c>
      <c r="M84" s="1195">
        <f t="shared" si="30"/>
        <v>0</v>
      </c>
      <c r="N84" s="1195">
        <f t="shared" si="30"/>
        <v>0</v>
      </c>
      <c r="Z84" s="2153"/>
      <c r="AA84" s="2219"/>
      <c r="AG84" s="1254"/>
      <c r="AK84" s="2219"/>
    </row>
    <row r="85" spans="1:37" ht="25.5">
      <c r="A85" s="2298" t="s">
        <v>2715</v>
      </c>
      <c r="B85" s="1466" t="str">
        <f>估价对象房地状况!G19</f>
        <v>估价对象所在区域公共配套设施齐备情况</v>
      </c>
      <c r="C85" s="2203"/>
      <c r="D85" s="1196">
        <f t="shared" si="26"/>
        <v>0</v>
      </c>
      <c r="E85" s="765"/>
      <c r="F85" s="1969"/>
      <c r="G85" s="1194"/>
      <c r="H85" s="1198" t="str">
        <f t="shared" si="27"/>
        <v>——</v>
      </c>
      <c r="I85" s="759">
        <v>0.06</v>
      </c>
      <c r="J85" s="1195">
        <f t="shared" si="28"/>
        <v>0</v>
      </c>
      <c r="K85" s="1195">
        <f t="shared" si="29"/>
        <v>0</v>
      </c>
      <c r="L85" s="1195">
        <v>0</v>
      </c>
      <c r="M85" s="1195">
        <f t="shared" si="30"/>
        <v>0</v>
      </c>
      <c r="N85" s="1195">
        <f t="shared" si="30"/>
        <v>0</v>
      </c>
      <c r="Z85" s="2153"/>
      <c r="AA85" s="2219"/>
      <c r="AG85" s="1254"/>
      <c r="AK85" s="2219"/>
    </row>
    <row r="86" spans="1:37" ht="25.5">
      <c r="A86" s="2298" t="s">
        <v>2716</v>
      </c>
      <c r="B86" s="1466" t="str">
        <f>估价对象房地状况!G20</f>
        <v>估价对象所在区域基础设施水平</v>
      </c>
      <c r="C86" s="2203"/>
      <c r="D86" s="1196">
        <f t="shared" si="26"/>
        <v>0</v>
      </c>
      <c r="E86" s="765"/>
      <c r="F86" s="1969"/>
      <c r="G86" s="1194"/>
      <c r="H86" s="1198" t="str">
        <f t="shared" si="27"/>
        <v>——</v>
      </c>
      <c r="I86" s="759">
        <v>0.15</v>
      </c>
      <c r="J86" s="1195">
        <f t="shared" si="28"/>
        <v>0</v>
      </c>
      <c r="K86" s="1195">
        <f t="shared" si="29"/>
        <v>0</v>
      </c>
      <c r="L86" s="1195">
        <v>0</v>
      </c>
      <c r="M86" s="1195">
        <f t="shared" si="30"/>
        <v>0</v>
      </c>
      <c r="N86" s="1195">
        <f t="shared" si="30"/>
        <v>0</v>
      </c>
      <c r="Z86" s="2153"/>
      <c r="AA86" s="2219"/>
      <c r="AG86" s="1254"/>
      <c r="AK86" s="2219"/>
    </row>
    <row r="87" spans="1:37" ht="24">
      <c r="A87" s="2298" t="s">
        <v>2713</v>
      </c>
      <c r="B87" s="2304" t="s">
        <v>2727</v>
      </c>
      <c r="C87" s="2203"/>
      <c r="D87" s="1196">
        <f t="shared" si="26"/>
        <v>0</v>
      </c>
      <c r="E87" s="765"/>
      <c r="F87" s="1969"/>
      <c r="G87" s="1194"/>
      <c r="H87" s="1198" t="str">
        <f t="shared" si="27"/>
        <v>——</v>
      </c>
      <c r="I87" s="759">
        <v>0.05</v>
      </c>
      <c r="J87" s="1195">
        <f t="shared" si="28"/>
        <v>0</v>
      </c>
      <c r="K87" s="1195">
        <f t="shared" si="29"/>
        <v>0</v>
      </c>
      <c r="L87" s="1195">
        <v>0</v>
      </c>
      <c r="M87" s="1195">
        <f t="shared" si="30"/>
        <v>0</v>
      </c>
      <c r="N87" s="1195">
        <f t="shared" si="30"/>
        <v>0</v>
      </c>
      <c r="Z87" s="2153"/>
      <c r="AA87" s="2219"/>
      <c r="AG87" s="1254"/>
      <c r="AK87" s="2219"/>
    </row>
    <row r="88" spans="1:37" ht="39" thickBot="1">
      <c r="A88" s="2306" t="s">
        <v>2728</v>
      </c>
      <c r="B88" s="2311" t="str">
        <f>估价对象房地状况!G18</f>
        <v>该园区内是否有污染型企业，绿化情况，卫生条件，整体环境状况判断</v>
      </c>
      <c r="C88" s="2203"/>
      <c r="D88" s="1196">
        <f t="shared" si="26"/>
        <v>0</v>
      </c>
      <c r="E88" s="766"/>
      <c r="F88" s="1969"/>
      <c r="G88" s="1194"/>
      <c r="H88" s="1198" t="str">
        <f t="shared" si="27"/>
        <v>——</v>
      </c>
      <c r="I88" s="763">
        <v>0.06</v>
      </c>
      <c r="J88" s="1195">
        <f t="shared" si="28"/>
        <v>0</v>
      </c>
      <c r="K88" s="1195">
        <f t="shared" si="29"/>
        <v>0</v>
      </c>
      <c r="L88" s="1195">
        <v>0</v>
      </c>
      <c r="M88" s="1195">
        <f t="shared" si="30"/>
        <v>0</v>
      </c>
      <c r="N88" s="1195">
        <f t="shared" si="30"/>
        <v>0</v>
      </c>
      <c r="Z88" s="2153"/>
      <c r="AA88" s="2219"/>
      <c r="AG88" s="1254"/>
      <c r="AK88" s="2219"/>
    </row>
    <row r="90" spans="1:37">
      <c r="A90" s="3554" t="s">
        <v>2729</v>
      </c>
      <c r="B90" s="3554"/>
      <c r="C90" s="3554"/>
      <c r="D90" s="3554"/>
      <c r="E90" s="3554"/>
      <c r="F90" s="3554"/>
      <c r="G90" s="3554"/>
      <c r="H90" s="3554"/>
      <c r="I90" s="3554"/>
      <c r="J90" s="3554"/>
      <c r="K90" s="2312"/>
      <c r="L90" s="2312"/>
      <c r="M90" s="2312"/>
      <c r="N90" s="2312"/>
    </row>
    <row r="91" spans="1:37">
      <c r="A91" s="3556" t="s">
        <v>2730</v>
      </c>
      <c r="B91" s="3556" t="s">
        <v>2731</v>
      </c>
      <c r="C91" s="2266" t="s">
        <v>2732</v>
      </c>
      <c r="D91" s="2267"/>
      <c r="E91" s="2267"/>
      <c r="F91" s="2267"/>
      <c r="G91" s="2267"/>
      <c r="H91" s="2267"/>
      <c r="I91" s="2267"/>
      <c r="J91" s="2313"/>
      <c r="K91" s="2314"/>
      <c r="L91" s="2314"/>
      <c r="M91" s="2314"/>
      <c r="N91" s="2314"/>
    </row>
    <row r="92" spans="1:37">
      <c r="A92" s="3556"/>
      <c r="B92" s="355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57"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8"/>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8"/>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8"/>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8"/>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8"/>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8"/>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59"/>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7" t="s">
        <v>2734</v>
      </c>
      <c r="B101" s="2319" t="s">
        <v>2735</v>
      </c>
      <c r="C101" s="2320">
        <f>$G$3</f>
        <v>3</v>
      </c>
      <c r="D101" s="2320">
        <f t="shared" ref="D101:N101" si="32">$G$3</f>
        <v>3</v>
      </c>
      <c r="E101" s="2320">
        <f t="shared" si="32"/>
        <v>3</v>
      </c>
      <c r="F101" s="2320">
        <f t="shared" si="32"/>
        <v>3</v>
      </c>
      <c r="G101" s="2320">
        <f t="shared" si="32"/>
        <v>3</v>
      </c>
      <c r="H101" s="2320">
        <f t="shared" si="32"/>
        <v>3</v>
      </c>
      <c r="I101" s="2320">
        <f t="shared" si="32"/>
        <v>3</v>
      </c>
      <c r="J101" s="2320">
        <f t="shared" si="32"/>
        <v>3</v>
      </c>
      <c r="K101" s="2320">
        <f t="shared" si="32"/>
        <v>3</v>
      </c>
      <c r="L101" s="2320">
        <f t="shared" si="32"/>
        <v>3</v>
      </c>
      <c r="M101" s="2320">
        <f t="shared" si="32"/>
        <v>3</v>
      </c>
      <c r="N101" s="2320">
        <f t="shared" si="32"/>
        <v>3</v>
      </c>
    </row>
    <row r="102" spans="1:14">
      <c r="A102" s="3558"/>
      <c r="B102" s="2315">
        <v>1</v>
      </c>
      <c r="C102" s="2316">
        <f>1.9362/C101</f>
        <v>0.64539999999999997</v>
      </c>
      <c r="D102" s="2316">
        <f>1.9362/D101</f>
        <v>0.64539999999999997</v>
      </c>
      <c r="E102" s="2316">
        <f>1.8629/E101</f>
        <v>0.62096666666666667</v>
      </c>
      <c r="F102" s="2316">
        <f>1.8629/F101</f>
        <v>0.62096666666666667</v>
      </c>
      <c r="G102" s="2316">
        <f>1.8629/G101</f>
        <v>0.62096666666666667</v>
      </c>
      <c r="H102" s="2316">
        <f>1.8629/H101</f>
        <v>0.62096666666666667</v>
      </c>
      <c r="I102" s="2316">
        <f>1.8629/I101</f>
        <v>0.62096666666666667</v>
      </c>
      <c r="J102" s="2316">
        <f>1.942/J101</f>
        <v>0.64733333333333332</v>
      </c>
      <c r="K102" s="2316">
        <f>1.942/K101</f>
        <v>0.64733333333333332</v>
      </c>
      <c r="L102" s="2316">
        <f>1.942/L101</f>
        <v>0.64733333333333332</v>
      </c>
      <c r="M102" s="2316">
        <f>1.942/M101</f>
        <v>0.64733333333333332</v>
      </c>
      <c r="N102" s="2316">
        <f>1.942/N101</f>
        <v>0.64733333333333332</v>
      </c>
    </row>
    <row r="103" spans="1:14">
      <c r="A103" s="3558"/>
      <c r="B103" s="2315">
        <v>2</v>
      </c>
      <c r="C103" s="2316">
        <f>1.4198/C101</f>
        <v>0.47326666666666667</v>
      </c>
      <c r="D103" s="2316">
        <f>1.4198/D101</f>
        <v>0.47326666666666667</v>
      </c>
      <c r="E103" s="2316">
        <f>1.3372/E101</f>
        <v>0.44573333333333331</v>
      </c>
      <c r="F103" s="2316">
        <f>1.3372/F101</f>
        <v>0.44573333333333331</v>
      </c>
      <c r="G103" s="2316">
        <f>1.3372/G101</f>
        <v>0.44573333333333331</v>
      </c>
      <c r="H103" s="2316">
        <f>1.3372/H101</f>
        <v>0.44573333333333331</v>
      </c>
      <c r="I103" s="2316">
        <f>1.3372/I101</f>
        <v>0.44573333333333331</v>
      </c>
      <c r="J103" s="2316">
        <f>1.2799/J101</f>
        <v>0.42663333333333336</v>
      </c>
      <c r="K103" s="2316">
        <f>1.2799/K101</f>
        <v>0.42663333333333336</v>
      </c>
      <c r="L103" s="2316">
        <f>1.2799/L101</f>
        <v>0.42663333333333336</v>
      </c>
      <c r="M103" s="2316">
        <f>1.2799/M101</f>
        <v>0.42663333333333336</v>
      </c>
      <c r="N103" s="2316">
        <f>1.2799/N101</f>
        <v>0.42663333333333336</v>
      </c>
    </row>
    <row r="104" spans="1:14">
      <c r="A104" s="3558"/>
      <c r="B104" s="2315">
        <v>3</v>
      </c>
      <c r="C104" s="2316">
        <f>1.1594/C101</f>
        <v>0.38646666666666668</v>
      </c>
      <c r="D104" s="2316">
        <f>1.1594/D101</f>
        <v>0.38646666666666668</v>
      </c>
      <c r="E104" s="2316">
        <f>1.0788/E101</f>
        <v>0.35959999999999998</v>
      </c>
      <c r="F104" s="2316">
        <f>1.0788/F101</f>
        <v>0.35959999999999998</v>
      </c>
      <c r="G104" s="2316">
        <f>1.0788/G101</f>
        <v>0.35959999999999998</v>
      </c>
      <c r="H104" s="2316">
        <f>1.0788/H101</f>
        <v>0.35959999999999998</v>
      </c>
      <c r="I104" s="2316">
        <f>1.0788/I101</f>
        <v>0.35959999999999998</v>
      </c>
      <c r="J104" s="2316">
        <f>1.0072/J101</f>
        <v>0.33573333333333338</v>
      </c>
      <c r="K104" s="2316">
        <f>1.0072/K101</f>
        <v>0.33573333333333338</v>
      </c>
      <c r="L104" s="2316">
        <f>1.0072/L101</f>
        <v>0.33573333333333338</v>
      </c>
      <c r="M104" s="2316">
        <f>1.0072/M101</f>
        <v>0.33573333333333338</v>
      </c>
      <c r="N104" s="2316">
        <f>1.0072/N101</f>
        <v>0.33573333333333338</v>
      </c>
    </row>
    <row r="105" spans="1:14">
      <c r="A105" s="3558"/>
      <c r="B105" s="2315">
        <v>4</v>
      </c>
      <c r="C105" s="2316">
        <f>0.9622/C101</f>
        <v>0.32073333333333337</v>
      </c>
      <c r="D105" s="2316">
        <f>0.9622/D101</f>
        <v>0.32073333333333337</v>
      </c>
      <c r="E105" s="2316">
        <f>0.8656/E101</f>
        <v>0.28853333333333336</v>
      </c>
      <c r="F105" s="2316">
        <f>0.8656/F101</f>
        <v>0.28853333333333336</v>
      </c>
      <c r="G105" s="2316">
        <f>0.8656/G101</f>
        <v>0.28853333333333336</v>
      </c>
      <c r="H105" s="2316">
        <f>0.8656/H101</f>
        <v>0.28853333333333336</v>
      </c>
      <c r="I105" s="2316">
        <f>0.8656/I101</f>
        <v>0.28853333333333336</v>
      </c>
      <c r="J105" s="2316">
        <f>0.7525/J101</f>
        <v>0.2508333333333333</v>
      </c>
      <c r="K105" s="2316">
        <f>0.7525/K101</f>
        <v>0.2508333333333333</v>
      </c>
      <c r="L105" s="2316">
        <f>0.7525/L101</f>
        <v>0.2508333333333333</v>
      </c>
      <c r="M105" s="2316">
        <f>0.7525/M101</f>
        <v>0.2508333333333333</v>
      </c>
      <c r="N105" s="2316">
        <f>0.7525/N101</f>
        <v>0.2508333333333333</v>
      </c>
    </row>
    <row r="106" spans="1:14">
      <c r="A106" s="3558"/>
      <c r="B106" s="2315">
        <v>5</v>
      </c>
      <c r="C106" s="2316">
        <f>0.8417/C101</f>
        <v>0.28056666666666669</v>
      </c>
      <c r="D106" s="2316">
        <f>0.8417/D101</f>
        <v>0.28056666666666669</v>
      </c>
      <c r="E106" s="2316">
        <f>0.7371/E101</f>
        <v>0.2457</v>
      </c>
      <c r="F106" s="2316">
        <f>0.7371/F101</f>
        <v>0.2457</v>
      </c>
      <c r="G106" s="2316">
        <f>0.7371/G101</f>
        <v>0.2457</v>
      </c>
      <c r="H106" s="2316">
        <f>0.7371/H101</f>
        <v>0.2457</v>
      </c>
      <c r="I106" s="2316">
        <f>0.7371/I101</f>
        <v>0.2457</v>
      </c>
      <c r="J106" s="2316">
        <f>0.5659/J101</f>
        <v>0.18863333333333332</v>
      </c>
      <c r="K106" s="2316">
        <f>0.5659/K101</f>
        <v>0.18863333333333332</v>
      </c>
      <c r="L106" s="2316">
        <f>0.5659/L101</f>
        <v>0.18863333333333332</v>
      </c>
      <c r="M106" s="2316">
        <f>0.5659/M101</f>
        <v>0.18863333333333332</v>
      </c>
      <c r="N106" s="2316">
        <f>0.5659/N101</f>
        <v>0.18863333333333332</v>
      </c>
    </row>
    <row r="107" spans="1:14">
      <c r="A107" s="3558"/>
      <c r="B107" s="2315">
        <v>6</v>
      </c>
      <c r="C107" s="2316">
        <f>0.7608/C101</f>
        <v>0.25359999999999999</v>
      </c>
      <c r="D107" s="2316">
        <f>0.7608/D101</f>
        <v>0.25359999999999999</v>
      </c>
      <c r="E107" s="2316">
        <f>0.6482/E101</f>
        <v>0.21606666666666666</v>
      </c>
      <c r="F107" s="2316">
        <f>0.6482/F101</f>
        <v>0.21606666666666666</v>
      </c>
      <c r="G107" s="2316">
        <f>0.6482/G101</f>
        <v>0.21606666666666666</v>
      </c>
      <c r="H107" s="2316">
        <f>0.6482/H101</f>
        <v>0.21606666666666666</v>
      </c>
      <c r="I107" s="2316">
        <f>0.6482/I101</f>
        <v>0.21606666666666666</v>
      </c>
      <c r="J107" s="2316">
        <f>0.4525/J101</f>
        <v>0.15083333333333335</v>
      </c>
      <c r="K107" s="2316">
        <f>0.4525/K101</f>
        <v>0.15083333333333335</v>
      </c>
      <c r="L107" s="2316">
        <f>0.4525/L101</f>
        <v>0.15083333333333335</v>
      </c>
      <c r="M107" s="2316">
        <f>0.4525/M101</f>
        <v>0.15083333333333335</v>
      </c>
      <c r="N107" s="2316">
        <f>0.4525/N101</f>
        <v>0.15083333333333335</v>
      </c>
    </row>
    <row r="108" spans="1:14">
      <c r="A108" s="3558"/>
      <c r="B108" s="3560"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59"/>
      <c r="B109" s="3561"/>
      <c r="C109" s="2318">
        <f>(-0.163*(C108^2)-0.59*C108+7617)*(10^(-4))/C101</f>
        <v>0.25390000000000001</v>
      </c>
      <c r="D109" s="2318">
        <f>(-0.163*(D108^2)-0.59*D108+7617)*(10^(-4))/D101</f>
        <v>0.25390000000000001</v>
      </c>
      <c r="E109" s="2318">
        <f>(-0.161*(E108^2)-7.509*E108+6533)*(10^(-4))/E101</f>
        <v>0.21776666666666666</v>
      </c>
      <c r="F109" s="2318">
        <f>(-0.161*(F108^2)-7.509*F108+6533)*(10^(-4))/F101</f>
        <v>0.21776666666666666</v>
      </c>
      <c r="G109" s="2318">
        <f>(-0.161*(G108^2)-7.509*G108+6533)*(10^(-4))/G101</f>
        <v>0.21776666666666666</v>
      </c>
      <c r="H109" s="2318">
        <f>(-0.161*(H108^2)-7.509*H108+6533)*(10^(-4))/H101</f>
        <v>0.21776666666666666</v>
      </c>
      <c r="I109" s="2318">
        <f>(-0.161*(I108^2)-7.509*I108+6533)*(10^(-4))/I101</f>
        <v>0.21776666666666666</v>
      </c>
      <c r="J109" s="2318">
        <f>(-0.214*(J108^2)-21.991*J108+4665)*(10^(-4))/J101</f>
        <v>0.1555</v>
      </c>
      <c r="K109" s="2318">
        <f>(-0.214*(K108^2)-21.991*K108+4665)*(10^(-4))/K101</f>
        <v>0.1555</v>
      </c>
      <c r="L109" s="2318">
        <f>(-0.214*(L108^2)-21.991*L108+4665)*(10^(-4))/L101</f>
        <v>0.1555</v>
      </c>
      <c r="M109" s="2318">
        <f>(-0.214*(M108^2)-21.991*M108+4665)*(10^(-4))/M101</f>
        <v>0.1555</v>
      </c>
      <c r="N109" s="2318">
        <f>(-0.214*(N108^2)-21.991*N108+4665)*(10^(-4))/N101</f>
        <v>0.1555</v>
      </c>
    </row>
    <row r="110" spans="1:14">
      <c r="A110" s="3555" t="s">
        <v>2737</v>
      </c>
      <c r="B110" s="3555"/>
      <c r="C110" s="3555"/>
      <c r="D110" s="3555"/>
      <c r="E110" s="3555"/>
      <c r="F110" s="3555"/>
      <c r="G110" s="3555"/>
      <c r="H110" s="3555"/>
      <c r="I110" s="3555"/>
      <c r="J110" s="3555"/>
      <c r="K110" s="2321"/>
      <c r="L110" s="2321"/>
      <c r="M110" s="2321"/>
      <c r="N110" s="2321"/>
    </row>
    <row r="112" spans="1:14" ht="13.5" thickBot="1"/>
    <row r="113" spans="1:13" ht="25.5" thickBot="1">
      <c r="A113" s="842" t="s">
        <v>2738</v>
      </c>
      <c r="B113" s="1197">
        <f>G3</f>
        <v>3</v>
      </c>
      <c r="C113" s="843" t="s">
        <v>2739</v>
      </c>
      <c r="D113" s="844">
        <f>SUMPRODUCT((A115:A118=F113)*(B114:M114=H113)*B115:M118)</f>
        <v>0.8508</v>
      </c>
      <c r="E113" s="2157" t="s">
        <v>2574</v>
      </c>
      <c r="F113" s="2323" t="str">
        <f>E2</f>
        <v>住宅</v>
      </c>
      <c r="G113" s="2157" t="s">
        <v>2575</v>
      </c>
      <c r="H113" s="2323" t="str">
        <f>G2</f>
        <v>四级</v>
      </c>
      <c r="I113" s="2157"/>
      <c r="J113" s="2324"/>
      <c r="K113" s="2324"/>
      <c r="L113" s="2324"/>
      <c r="M113" s="2324"/>
    </row>
    <row r="114" spans="1:13">
      <c r="A114" s="847"/>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8" t="s">
        <v>2638</v>
      </c>
      <c r="B115" s="849">
        <f>ROUND(0.9335-0.0094*B113,4)</f>
        <v>0.90529999999999999</v>
      </c>
      <c r="C115" s="849">
        <f>B115</f>
        <v>0.90529999999999999</v>
      </c>
      <c r="D115" s="849">
        <f>ROUND(0.8331-0.0109*B113,4)</f>
        <v>0.8004</v>
      </c>
      <c r="E115" s="849">
        <f>D115</f>
        <v>0.8004</v>
      </c>
      <c r="F115" s="849">
        <f>E115</f>
        <v>0.8004</v>
      </c>
      <c r="G115" s="849">
        <f>F115</f>
        <v>0.8004</v>
      </c>
      <c r="H115" s="849">
        <f>G115</f>
        <v>0.8004</v>
      </c>
      <c r="I115" s="849">
        <f>ROUND(0.689-0.0155*B113,4)</f>
        <v>0.64249999999999996</v>
      </c>
      <c r="J115" s="849">
        <f t="shared" ref="J115:M118" si="34">I115</f>
        <v>0.64249999999999996</v>
      </c>
      <c r="K115" s="849">
        <f t="shared" si="34"/>
        <v>0.64249999999999996</v>
      </c>
      <c r="L115" s="849">
        <f t="shared" si="34"/>
        <v>0.64249999999999996</v>
      </c>
      <c r="M115" s="850">
        <f t="shared" si="34"/>
        <v>0.64249999999999996</v>
      </c>
    </row>
    <row r="116" spans="1:13">
      <c r="A116" s="848" t="s">
        <v>2639</v>
      </c>
      <c r="B116" s="849">
        <f>ROUND(0.949-0.012*B113,4)</f>
        <v>0.91300000000000003</v>
      </c>
      <c r="C116" s="849">
        <f>B116</f>
        <v>0.91300000000000003</v>
      </c>
      <c r="D116" s="849">
        <f>ROUND(0.8567-0.013*B113,4)</f>
        <v>0.81769999999999998</v>
      </c>
      <c r="E116" s="849">
        <f t="shared" ref="E116:H117" si="35">D116</f>
        <v>0.81769999999999998</v>
      </c>
      <c r="F116" s="849">
        <f t="shared" si="35"/>
        <v>0.81769999999999998</v>
      </c>
      <c r="G116" s="849">
        <f t="shared" si="35"/>
        <v>0.81769999999999998</v>
      </c>
      <c r="H116" s="849">
        <f t="shared" si="35"/>
        <v>0.81769999999999998</v>
      </c>
      <c r="I116" s="849">
        <f>ROUND(0.7694-0.014*B113,4)</f>
        <v>0.72740000000000005</v>
      </c>
      <c r="J116" s="849">
        <f t="shared" si="34"/>
        <v>0.72740000000000005</v>
      </c>
      <c r="K116" s="849">
        <f t="shared" si="34"/>
        <v>0.72740000000000005</v>
      </c>
      <c r="L116" s="849">
        <f t="shared" si="34"/>
        <v>0.72740000000000005</v>
      </c>
      <c r="M116" s="850">
        <f t="shared" si="34"/>
        <v>0.72740000000000005</v>
      </c>
    </row>
    <row r="117" spans="1:13">
      <c r="A117" s="848" t="s">
        <v>2640</v>
      </c>
      <c r="B117" s="849">
        <f>ROUND(0.8808-0.006*B113,4)</f>
        <v>0.86280000000000001</v>
      </c>
      <c r="C117" s="849">
        <f>B117</f>
        <v>0.86280000000000001</v>
      </c>
      <c r="D117" s="849">
        <f>ROUND(0.8748-0.008*B113,4)</f>
        <v>0.8508</v>
      </c>
      <c r="E117" s="849">
        <f t="shared" si="35"/>
        <v>0.8508</v>
      </c>
      <c r="F117" s="849">
        <f t="shared" si="35"/>
        <v>0.8508</v>
      </c>
      <c r="G117" s="849">
        <f t="shared" si="35"/>
        <v>0.8508</v>
      </c>
      <c r="H117" s="849">
        <f t="shared" si="35"/>
        <v>0.8508</v>
      </c>
      <c r="I117" s="849">
        <f>ROUND(0.7412-0.0095*B113,4)</f>
        <v>0.7127</v>
      </c>
      <c r="J117" s="849">
        <f t="shared" si="34"/>
        <v>0.7127</v>
      </c>
      <c r="K117" s="849">
        <f t="shared" si="34"/>
        <v>0.7127</v>
      </c>
      <c r="L117" s="849">
        <f t="shared" si="34"/>
        <v>0.7127</v>
      </c>
      <c r="M117" s="850">
        <f t="shared" si="34"/>
        <v>0.7127</v>
      </c>
    </row>
    <row r="118" spans="1:13" ht="13.5" thickBot="1">
      <c r="A118" s="670" t="s">
        <v>2641</v>
      </c>
      <c r="B118" s="851">
        <f>ROUND(0.7275-0.01*B113,4)</f>
        <v>0.69750000000000001</v>
      </c>
      <c r="C118" s="851">
        <f>B118</f>
        <v>0.69750000000000001</v>
      </c>
      <c r="D118" s="851">
        <f>ROUND(0.7043-0.012*B113,4)</f>
        <v>0.66830000000000001</v>
      </c>
      <c r="E118" s="851">
        <f>D118</f>
        <v>0.66830000000000001</v>
      </c>
      <c r="F118" s="851">
        <f>E118</f>
        <v>0.66830000000000001</v>
      </c>
      <c r="G118" s="851">
        <f>ROUND(0.6299-0.0122*B113,4)</f>
        <v>0.59330000000000005</v>
      </c>
      <c r="H118" s="851">
        <f>G118</f>
        <v>0.59330000000000005</v>
      </c>
      <c r="I118" s="851">
        <f>ROUND(0.5667-0.0136*B113,4)</f>
        <v>0.52590000000000003</v>
      </c>
      <c r="J118" s="851">
        <f t="shared" si="34"/>
        <v>0.52590000000000003</v>
      </c>
      <c r="K118" s="851">
        <f t="shared" si="34"/>
        <v>0.52590000000000003</v>
      </c>
      <c r="L118" s="851">
        <f t="shared" si="34"/>
        <v>0.52590000000000003</v>
      </c>
      <c r="M118" s="852">
        <f t="shared" si="34"/>
        <v>0.52590000000000003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8" t="s">
        <v>183</v>
      </c>
      <c r="B18" s="821" t="s">
        <v>560</v>
      </c>
      <c r="C18" s="822" t="s">
        <v>561</v>
      </c>
      <c r="D18" s="823"/>
      <c r="E18" s="821">
        <v>1</v>
      </c>
      <c r="F18" s="824" t="s">
        <v>562</v>
      </c>
      <c r="G18" s="825"/>
      <c r="H18" s="817"/>
      <c r="I18" s="817"/>
    </row>
    <row r="19" spans="1:9" s="826" customFormat="1" ht="19.5" customHeight="1">
      <c r="A19" s="3578"/>
      <c r="B19" s="3578" t="s">
        <v>563</v>
      </c>
      <c r="C19" s="822" t="s">
        <v>564</v>
      </c>
      <c r="D19" s="823"/>
      <c r="E19" s="821">
        <v>0.9</v>
      </c>
      <c r="F19" s="824" t="s">
        <v>565</v>
      </c>
      <c r="G19" s="825"/>
      <c r="H19" s="817"/>
      <c r="I19" s="817"/>
    </row>
    <row r="20" spans="1:9" s="826" customFormat="1" ht="19.5" customHeight="1">
      <c r="A20" s="3578"/>
      <c r="B20" s="3578"/>
      <c r="C20" s="822" t="s">
        <v>566</v>
      </c>
      <c r="D20" s="823"/>
      <c r="E20" s="821">
        <v>1.1000000000000001</v>
      </c>
      <c r="F20" s="824" t="s">
        <v>567</v>
      </c>
      <c r="G20" s="825"/>
      <c r="H20" s="817"/>
      <c r="I20" s="817"/>
    </row>
    <row r="21" spans="1:9" s="826" customFormat="1" ht="19.5" customHeight="1">
      <c r="A21" s="3578"/>
      <c r="B21" s="3578"/>
      <c r="C21" s="822" t="s">
        <v>568</v>
      </c>
      <c r="D21" s="823"/>
      <c r="E21" s="821">
        <v>0.8</v>
      </c>
      <c r="F21" s="824" t="s">
        <v>569</v>
      </c>
      <c r="G21" s="825"/>
      <c r="H21" s="817"/>
      <c r="I21" s="817"/>
    </row>
    <row r="22" spans="1:9" s="826" customFormat="1" ht="19.5" customHeight="1">
      <c r="A22" s="3578"/>
      <c r="B22" s="3578"/>
      <c r="C22" s="822" t="s">
        <v>570</v>
      </c>
      <c r="D22" s="823"/>
      <c r="E22" s="821">
        <v>0.5</v>
      </c>
      <c r="F22" s="824"/>
      <c r="G22" s="825"/>
      <c r="H22" s="817"/>
      <c r="I22" s="817"/>
    </row>
    <row r="23" spans="1:9" s="826" customFormat="1" ht="19.5" customHeight="1">
      <c r="A23" s="3578" t="s">
        <v>184</v>
      </c>
      <c r="B23" s="821" t="s">
        <v>560</v>
      </c>
      <c r="C23" s="822" t="s">
        <v>571</v>
      </c>
      <c r="D23" s="823"/>
      <c r="E23" s="821">
        <v>1</v>
      </c>
      <c r="F23" s="824" t="s">
        <v>572</v>
      </c>
      <c r="G23" s="825"/>
      <c r="H23" s="817"/>
      <c r="I23" s="817"/>
    </row>
    <row r="24" spans="1:9" s="826" customFormat="1" ht="19.5" customHeight="1">
      <c r="A24" s="3578"/>
      <c r="B24" s="3578" t="s">
        <v>563</v>
      </c>
      <c r="C24" s="822" t="s">
        <v>573</v>
      </c>
      <c r="D24" s="823"/>
      <c r="E24" s="821">
        <v>0.5</v>
      </c>
      <c r="F24" s="824"/>
      <c r="G24" s="825"/>
      <c r="H24" s="817"/>
      <c r="I24" s="817"/>
    </row>
    <row r="25" spans="1:9" s="826" customFormat="1" ht="19.5" customHeight="1">
      <c r="A25" s="3578"/>
      <c r="B25" s="3578"/>
      <c r="C25" s="822" t="s">
        <v>574</v>
      </c>
      <c r="D25" s="823"/>
      <c r="E25" s="821">
        <v>1.1000000000000001</v>
      </c>
      <c r="F25" s="824"/>
      <c r="G25" s="825"/>
      <c r="H25" s="817"/>
      <c r="I25" s="817"/>
    </row>
    <row r="26" spans="1:9" s="826" customFormat="1" ht="19.5" customHeight="1">
      <c r="A26" s="3578"/>
      <c r="B26" s="3578"/>
      <c r="C26" s="822" t="s">
        <v>575</v>
      </c>
      <c r="D26" s="823"/>
      <c r="E26" s="821">
        <v>1.1000000000000001</v>
      </c>
      <c r="F26" s="824"/>
      <c r="G26" s="825"/>
      <c r="H26" s="817"/>
      <c r="I26" s="817"/>
    </row>
    <row r="27" spans="1:9" s="826" customFormat="1" ht="19.5" customHeight="1">
      <c r="A27" s="3578"/>
      <c r="B27" s="3578"/>
      <c r="C27" s="822" t="s">
        <v>576</v>
      </c>
      <c r="D27" s="823"/>
      <c r="E27" s="821">
        <v>0.9</v>
      </c>
      <c r="F27" s="824" t="s">
        <v>577</v>
      </c>
      <c r="G27" s="825"/>
      <c r="H27" s="817"/>
      <c r="I27" s="817"/>
    </row>
    <row r="28" spans="1:9" s="826" customFormat="1" ht="19.5" customHeight="1">
      <c r="A28" s="3578"/>
      <c r="B28" s="3578"/>
      <c r="C28" s="822" t="s">
        <v>578</v>
      </c>
      <c r="D28" s="823"/>
      <c r="E28" s="821">
        <v>0.9</v>
      </c>
      <c r="F28" s="824" t="s">
        <v>579</v>
      </c>
      <c r="G28" s="825"/>
      <c r="H28" s="817"/>
      <c r="I28" s="817"/>
    </row>
    <row r="29" spans="1:9" s="826" customFormat="1" ht="19.5" customHeight="1">
      <c r="A29" s="3578"/>
      <c r="B29" s="3578"/>
      <c r="C29" s="822" t="s">
        <v>580</v>
      </c>
      <c r="D29" s="823"/>
      <c r="E29" s="821">
        <v>0.9</v>
      </c>
      <c r="F29" s="824" t="s">
        <v>581</v>
      </c>
      <c r="G29" s="825"/>
      <c r="H29" s="817"/>
      <c r="I29" s="817"/>
    </row>
    <row r="30" spans="1:9" s="826" customFormat="1" ht="19.5" customHeight="1">
      <c r="A30" s="3578"/>
      <c r="B30" s="3578"/>
      <c r="C30" s="822" t="s">
        <v>582</v>
      </c>
      <c r="D30" s="823"/>
      <c r="E30" s="821">
        <v>0.9</v>
      </c>
      <c r="F30" s="824" t="s">
        <v>583</v>
      </c>
      <c r="G30" s="825"/>
      <c r="H30" s="817"/>
      <c r="I30" s="817"/>
    </row>
    <row r="31" spans="1:9" s="826" customFormat="1" ht="19.5" customHeight="1">
      <c r="A31" s="3578"/>
      <c r="B31" s="3578"/>
      <c r="C31" s="822" t="s">
        <v>584</v>
      </c>
      <c r="D31" s="823"/>
      <c r="E31" s="821">
        <v>0.8</v>
      </c>
      <c r="F31" s="824" t="s">
        <v>585</v>
      </c>
      <c r="G31" s="825"/>
      <c r="H31" s="817"/>
      <c r="I31" s="817"/>
    </row>
    <row r="32" spans="1:9" s="826" customFormat="1" ht="19.5" customHeight="1">
      <c r="A32" s="3578"/>
      <c r="B32" s="3578"/>
      <c r="C32" s="822" t="s">
        <v>586</v>
      </c>
      <c r="D32" s="823"/>
      <c r="E32" s="821">
        <v>0.8</v>
      </c>
      <c r="F32" s="824" t="s">
        <v>587</v>
      </c>
      <c r="G32" s="825"/>
      <c r="H32" s="817"/>
      <c r="I32" s="817"/>
    </row>
    <row r="33" spans="1:9" s="826" customFormat="1" ht="19.5" customHeight="1">
      <c r="A33" s="3578" t="s">
        <v>185</v>
      </c>
      <c r="B33" s="821" t="s">
        <v>560</v>
      </c>
      <c r="C33" s="822" t="s">
        <v>588</v>
      </c>
      <c r="D33" s="823"/>
      <c r="E33" s="821">
        <v>1</v>
      </c>
      <c r="F33" s="824" t="s">
        <v>589</v>
      </c>
      <c r="G33" s="825"/>
      <c r="H33" s="817"/>
      <c r="I33" s="817"/>
    </row>
    <row r="34" spans="1:9" s="826" customFormat="1" ht="19.5" customHeight="1">
      <c r="A34" s="3578"/>
      <c r="B34" s="821" t="s">
        <v>563</v>
      </c>
      <c r="C34" s="822" t="s">
        <v>590</v>
      </c>
      <c r="D34" s="823"/>
      <c r="E34" s="821">
        <v>1.5</v>
      </c>
      <c r="F34" s="824" t="s">
        <v>591</v>
      </c>
      <c r="G34" s="825"/>
      <c r="H34" s="817"/>
      <c r="I34" s="817"/>
    </row>
    <row r="35" spans="1:9" s="826" customFormat="1" ht="19.5" customHeight="1">
      <c r="A35" s="3578" t="s">
        <v>186</v>
      </c>
      <c r="B35" s="821" t="s">
        <v>560</v>
      </c>
      <c r="C35" s="822" t="s">
        <v>592</v>
      </c>
      <c r="D35" s="823"/>
      <c r="E35" s="821">
        <v>1</v>
      </c>
      <c r="F35" s="824" t="s">
        <v>593</v>
      </c>
      <c r="G35" s="825"/>
      <c r="H35" s="817"/>
      <c r="I35" s="817"/>
    </row>
    <row r="36" spans="1:9" s="826" customFormat="1" ht="19.5" customHeight="1">
      <c r="A36" s="3578"/>
      <c r="B36" s="3578" t="s">
        <v>563</v>
      </c>
      <c r="C36" s="822" t="s">
        <v>594</v>
      </c>
      <c r="D36" s="823"/>
      <c r="E36" s="821">
        <v>1</v>
      </c>
      <c r="F36" s="824" t="s">
        <v>595</v>
      </c>
      <c r="G36" s="825"/>
      <c r="H36" s="817"/>
      <c r="I36" s="817"/>
    </row>
    <row r="37" spans="1:9" s="826" customFormat="1" ht="19.5" customHeight="1">
      <c r="A37" s="3578"/>
      <c r="B37" s="3578"/>
      <c r="C37" s="822" t="s">
        <v>596</v>
      </c>
      <c r="D37" s="823"/>
      <c r="E37" s="821">
        <v>1.5</v>
      </c>
      <c r="F37" s="824" t="s">
        <v>597</v>
      </c>
      <c r="G37" s="825"/>
      <c r="H37" s="817"/>
      <c r="I37" s="817"/>
    </row>
    <row r="38" spans="1:9" s="826" customFormat="1" ht="19.5" customHeight="1">
      <c r="A38" s="3578"/>
      <c r="B38" s="3578"/>
      <c r="C38" s="822" t="s">
        <v>598</v>
      </c>
      <c r="D38" s="823"/>
      <c r="E38" s="821">
        <v>1</v>
      </c>
      <c r="F38" s="824" t="s">
        <v>599</v>
      </c>
      <c r="G38" s="825"/>
      <c r="H38" s="817"/>
      <c r="I38" s="817"/>
    </row>
    <row r="39" spans="1:9" s="826" customFormat="1" ht="19.5" customHeight="1">
      <c r="A39" s="3578"/>
      <c r="B39" s="35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8" t="s">
        <v>614</v>
      </c>
      <c r="C61" s="757" t="s">
        <v>615</v>
      </c>
      <c r="D61" s="757" t="s">
        <v>616</v>
      </c>
      <c r="E61" s="834">
        <v>0.5</v>
      </c>
      <c r="F61" s="821">
        <v>80</v>
      </c>
    </row>
    <row r="62" spans="1:8" s="817" customFormat="1" ht="24">
      <c r="A62" s="821">
        <v>2</v>
      </c>
      <c r="B62" s="3578"/>
      <c r="C62" s="757" t="s">
        <v>617</v>
      </c>
      <c r="D62" s="757" t="s">
        <v>618</v>
      </c>
      <c r="E62" s="834">
        <v>0.5</v>
      </c>
      <c r="F62" s="821">
        <v>80</v>
      </c>
    </row>
    <row r="63" spans="1:8" s="817" customFormat="1" ht="36">
      <c r="A63" s="821">
        <v>3</v>
      </c>
      <c r="B63" s="3578"/>
      <c r="C63" s="757" t="s">
        <v>619</v>
      </c>
      <c r="D63" s="757" t="s">
        <v>620</v>
      </c>
      <c r="E63" s="834">
        <v>0.5</v>
      </c>
      <c r="F63" s="821">
        <v>80</v>
      </c>
    </row>
    <row r="64" spans="1:8" s="817" customFormat="1" ht="36">
      <c r="A64" s="821">
        <v>4</v>
      </c>
      <c r="B64" s="3578"/>
      <c r="C64" s="757" t="s">
        <v>621</v>
      </c>
      <c r="D64" s="757" t="s">
        <v>622</v>
      </c>
      <c r="E64" s="834">
        <v>0.4</v>
      </c>
      <c r="F64" s="821">
        <v>60</v>
      </c>
    </row>
    <row r="65" spans="1:6" s="817" customFormat="1" ht="36">
      <c r="A65" s="821">
        <v>5</v>
      </c>
      <c r="B65" s="3578"/>
      <c r="C65" s="757" t="s">
        <v>623</v>
      </c>
      <c r="D65" s="757" t="s">
        <v>624</v>
      </c>
      <c r="E65" s="834">
        <v>0.2</v>
      </c>
      <c r="F65" s="821">
        <v>30</v>
      </c>
    </row>
    <row r="66" spans="1:6" s="817" customFormat="1" ht="36">
      <c r="A66" s="821">
        <v>6</v>
      </c>
      <c r="B66" s="3578"/>
      <c r="C66" s="757" t="s">
        <v>625</v>
      </c>
      <c r="D66" s="757" t="s">
        <v>626</v>
      </c>
      <c r="E66" s="834">
        <v>0.3</v>
      </c>
      <c r="F66" s="821">
        <v>50</v>
      </c>
    </row>
    <row r="67" spans="1:6" s="817" customFormat="1" ht="36">
      <c r="A67" s="821">
        <v>7</v>
      </c>
      <c r="B67" s="3578"/>
      <c r="C67" s="757" t="s">
        <v>627</v>
      </c>
      <c r="D67" s="757" t="s">
        <v>628</v>
      </c>
      <c r="E67" s="834">
        <v>0.2</v>
      </c>
      <c r="F67" s="821">
        <v>30</v>
      </c>
    </row>
    <row r="68" spans="1:6" s="817" customFormat="1" ht="36">
      <c r="A68" s="821">
        <v>8</v>
      </c>
      <c r="B68" s="3578"/>
      <c r="C68" s="757" t="s">
        <v>629</v>
      </c>
      <c r="D68" s="757" t="s">
        <v>630</v>
      </c>
      <c r="E68" s="834">
        <v>0.2</v>
      </c>
      <c r="F68" s="821">
        <v>30</v>
      </c>
    </row>
    <row r="69" spans="1:6" s="817" customFormat="1" ht="36">
      <c r="A69" s="821">
        <v>9</v>
      </c>
      <c r="B69" s="3578"/>
      <c r="C69" s="757" t="s">
        <v>631</v>
      </c>
      <c r="D69" s="757" t="s">
        <v>632</v>
      </c>
      <c r="E69" s="834">
        <v>0.2</v>
      </c>
      <c r="F69" s="821">
        <v>30</v>
      </c>
    </row>
    <row r="70" spans="1:6" s="817" customFormat="1" ht="48">
      <c r="A70" s="821">
        <v>10</v>
      </c>
      <c r="B70" s="3578"/>
      <c r="C70" s="757" t="s">
        <v>633</v>
      </c>
      <c r="D70" s="757" t="s">
        <v>634</v>
      </c>
      <c r="E70" s="834">
        <v>0.2</v>
      </c>
      <c r="F70" s="821">
        <v>30</v>
      </c>
    </row>
    <row r="71" spans="1:6" s="817" customFormat="1" ht="48">
      <c r="A71" s="821">
        <v>11</v>
      </c>
      <c r="B71" s="3578"/>
      <c r="C71" s="757" t="s">
        <v>635</v>
      </c>
      <c r="D71" s="757" t="s">
        <v>636</v>
      </c>
      <c r="E71" s="834">
        <v>0.2</v>
      </c>
      <c r="F71" s="821">
        <v>30</v>
      </c>
    </row>
    <row r="72" spans="1:6" s="817" customFormat="1" ht="36">
      <c r="A72" s="821">
        <v>12</v>
      </c>
      <c r="B72" s="3578"/>
      <c r="C72" s="757" t="s">
        <v>637</v>
      </c>
      <c r="D72" s="757" t="s">
        <v>638</v>
      </c>
      <c r="E72" s="834">
        <v>0.5</v>
      </c>
      <c r="F72" s="821">
        <v>80</v>
      </c>
    </row>
    <row r="73" spans="1:6" s="817" customFormat="1" ht="24">
      <c r="A73" s="821">
        <v>13</v>
      </c>
      <c r="B73" s="3578"/>
      <c r="C73" s="757" t="s">
        <v>639</v>
      </c>
      <c r="D73" s="757" t="s">
        <v>640</v>
      </c>
      <c r="E73" s="834">
        <v>0.4</v>
      </c>
      <c r="F73" s="821">
        <v>60</v>
      </c>
    </row>
    <row r="74" spans="1:6" s="817" customFormat="1" ht="24">
      <c r="A74" s="821">
        <v>14</v>
      </c>
      <c r="B74" s="3578"/>
      <c r="C74" s="757" t="s">
        <v>641</v>
      </c>
      <c r="D74" s="757" t="s">
        <v>642</v>
      </c>
      <c r="E74" s="834">
        <v>0.2</v>
      </c>
      <c r="F74" s="821">
        <v>30</v>
      </c>
    </row>
    <row r="75" spans="1:6" s="817" customFormat="1" ht="24">
      <c r="A75" s="821">
        <v>15</v>
      </c>
      <c r="B75" s="3578"/>
      <c r="C75" s="757" t="s">
        <v>643</v>
      </c>
      <c r="D75" s="757" t="s">
        <v>644</v>
      </c>
      <c r="E75" s="834">
        <v>0.2</v>
      </c>
      <c r="F75" s="821">
        <v>30</v>
      </c>
    </row>
    <row r="76" spans="1:6" s="817" customFormat="1" ht="24">
      <c r="A76" s="821">
        <v>16</v>
      </c>
      <c r="B76" s="3578" t="s">
        <v>645</v>
      </c>
      <c r="C76" s="757" t="s">
        <v>646</v>
      </c>
      <c r="D76" s="757" t="s">
        <v>647</v>
      </c>
      <c r="E76" s="834">
        <v>0.5</v>
      </c>
      <c r="F76" s="821">
        <v>80</v>
      </c>
    </row>
    <row r="77" spans="1:6" s="817" customFormat="1" ht="24">
      <c r="A77" s="821">
        <v>17</v>
      </c>
      <c r="B77" s="3578"/>
      <c r="C77" s="757" t="s">
        <v>648</v>
      </c>
      <c r="D77" s="757" t="s">
        <v>649</v>
      </c>
      <c r="E77" s="834">
        <v>0.5</v>
      </c>
      <c r="F77" s="821">
        <v>80</v>
      </c>
    </row>
    <row r="78" spans="1:6" s="817" customFormat="1" ht="24">
      <c r="A78" s="821">
        <v>18</v>
      </c>
      <c r="B78" s="3578"/>
      <c r="C78" s="757" t="s">
        <v>650</v>
      </c>
      <c r="D78" s="757" t="s">
        <v>651</v>
      </c>
      <c r="E78" s="834">
        <v>0.2</v>
      </c>
      <c r="F78" s="821">
        <v>30</v>
      </c>
    </row>
    <row r="79" spans="1:6" s="817" customFormat="1" ht="24">
      <c r="A79" s="821">
        <v>19</v>
      </c>
      <c r="B79" s="3578"/>
      <c r="C79" s="757" t="s">
        <v>652</v>
      </c>
      <c r="D79" s="757" t="s">
        <v>653</v>
      </c>
      <c r="E79" s="834">
        <v>0.5</v>
      </c>
      <c r="F79" s="821">
        <v>80</v>
      </c>
    </row>
    <row r="80" spans="1:6" s="817" customFormat="1" ht="36">
      <c r="A80" s="821">
        <v>20</v>
      </c>
      <c r="B80" s="3578"/>
      <c r="C80" s="757" t="s">
        <v>654</v>
      </c>
      <c r="D80" s="757" t="s">
        <v>655</v>
      </c>
      <c r="E80" s="834">
        <v>0.2</v>
      </c>
      <c r="F80" s="821">
        <v>30</v>
      </c>
    </row>
    <row r="81" spans="1:6" s="817" customFormat="1" ht="36">
      <c r="A81" s="821">
        <v>21</v>
      </c>
      <c r="B81" s="3578"/>
      <c r="C81" s="757" t="s">
        <v>656</v>
      </c>
      <c r="D81" s="757" t="s">
        <v>657</v>
      </c>
      <c r="E81" s="834">
        <v>0.2</v>
      </c>
      <c r="F81" s="821">
        <v>30</v>
      </c>
    </row>
    <row r="82" spans="1:6" s="817" customFormat="1" ht="48">
      <c r="A82" s="821">
        <v>22</v>
      </c>
      <c r="B82" s="3578"/>
      <c r="C82" s="757" t="s">
        <v>658</v>
      </c>
      <c r="D82" s="757" t="s">
        <v>659</v>
      </c>
      <c r="E82" s="834">
        <v>0.2</v>
      </c>
      <c r="F82" s="821">
        <v>30</v>
      </c>
    </row>
    <row r="83" spans="1:6" s="817" customFormat="1" ht="48">
      <c r="A83" s="821">
        <v>23</v>
      </c>
      <c r="B83" s="3578"/>
      <c r="C83" s="757" t="s">
        <v>660</v>
      </c>
      <c r="D83" s="757" t="s">
        <v>661</v>
      </c>
      <c r="E83" s="834">
        <v>0.2</v>
      </c>
      <c r="F83" s="821">
        <v>30</v>
      </c>
    </row>
    <row r="84" spans="1:6" s="817" customFormat="1" ht="36">
      <c r="A84" s="821">
        <v>24</v>
      </c>
      <c r="B84" s="3578"/>
      <c r="C84" s="757" t="s">
        <v>662</v>
      </c>
      <c r="D84" s="757" t="s">
        <v>663</v>
      </c>
      <c r="E84" s="834">
        <v>0.2</v>
      </c>
      <c r="F84" s="821">
        <v>30</v>
      </c>
    </row>
    <row r="85" spans="1:6" s="817" customFormat="1" ht="36">
      <c r="A85" s="821">
        <v>25</v>
      </c>
      <c r="B85" s="3578"/>
      <c r="C85" s="757" t="s">
        <v>664</v>
      </c>
      <c r="D85" s="757" t="s">
        <v>665</v>
      </c>
      <c r="E85" s="834">
        <v>0.5</v>
      </c>
      <c r="F85" s="821">
        <v>80</v>
      </c>
    </row>
    <row r="86" spans="1:6" s="817" customFormat="1" ht="36">
      <c r="A86" s="821">
        <v>26</v>
      </c>
      <c r="B86" s="3578"/>
      <c r="C86" s="757" t="s">
        <v>666</v>
      </c>
      <c r="D86" s="757" t="s">
        <v>667</v>
      </c>
      <c r="E86" s="834">
        <v>0.2</v>
      </c>
      <c r="F86" s="821">
        <v>30</v>
      </c>
    </row>
    <row r="87" spans="1:6" s="817" customFormat="1" ht="36">
      <c r="A87" s="821">
        <v>27</v>
      </c>
      <c r="B87" s="3578"/>
      <c r="C87" s="757" t="s">
        <v>668</v>
      </c>
      <c r="D87" s="757" t="s">
        <v>669</v>
      </c>
      <c r="E87" s="834">
        <v>0.2</v>
      </c>
      <c r="F87" s="821">
        <v>30</v>
      </c>
    </row>
    <row r="88" spans="1:6" s="817" customFormat="1" ht="36">
      <c r="A88" s="821">
        <v>28</v>
      </c>
      <c r="B88" s="3578"/>
      <c r="C88" s="757" t="s">
        <v>670</v>
      </c>
      <c r="D88" s="757" t="s">
        <v>671</v>
      </c>
      <c r="E88" s="834">
        <v>0.2</v>
      </c>
      <c r="F88" s="821">
        <v>30</v>
      </c>
    </row>
    <row r="89" spans="1:6" s="817" customFormat="1" ht="24">
      <c r="A89" s="821">
        <v>29</v>
      </c>
      <c r="B89" s="3578"/>
      <c r="C89" s="757" t="s">
        <v>672</v>
      </c>
      <c r="D89" s="757" t="s">
        <v>673</v>
      </c>
      <c r="E89" s="834">
        <v>0.2</v>
      </c>
      <c r="F89" s="821">
        <v>30</v>
      </c>
    </row>
    <row r="90" spans="1:6" s="817" customFormat="1" ht="24">
      <c r="A90" s="821">
        <v>30</v>
      </c>
      <c r="B90" s="3578"/>
      <c r="C90" s="757" t="s">
        <v>674</v>
      </c>
      <c r="D90" s="757" t="s">
        <v>675</v>
      </c>
      <c r="E90" s="834">
        <v>0.2</v>
      </c>
      <c r="F90" s="821">
        <v>30</v>
      </c>
    </row>
    <row r="91" spans="1:6" s="817" customFormat="1" ht="36">
      <c r="A91" s="821">
        <v>31</v>
      </c>
      <c r="B91" s="3578"/>
      <c r="C91" s="757" t="s">
        <v>676</v>
      </c>
      <c r="D91" s="757" t="s">
        <v>677</v>
      </c>
      <c r="E91" s="834">
        <v>0.2</v>
      </c>
      <c r="F91" s="821">
        <v>30</v>
      </c>
    </row>
    <row r="92" spans="1:6" s="817" customFormat="1" ht="24">
      <c r="A92" s="821">
        <v>32</v>
      </c>
      <c r="B92" s="3578" t="s">
        <v>678</v>
      </c>
      <c r="C92" s="821" t="s">
        <v>679</v>
      </c>
      <c r="D92" s="757" t="s">
        <v>680</v>
      </c>
      <c r="E92" s="834">
        <v>0.2</v>
      </c>
      <c r="F92" s="821">
        <v>30</v>
      </c>
    </row>
    <row r="93" spans="1:6" s="817" customFormat="1" ht="36">
      <c r="A93" s="821">
        <v>33</v>
      </c>
      <c r="B93" s="3578"/>
      <c r="C93" s="821" t="s">
        <v>681</v>
      </c>
      <c r="D93" s="757" t="s">
        <v>682</v>
      </c>
      <c r="E93" s="834">
        <v>0.2</v>
      </c>
      <c r="F93" s="821">
        <v>30</v>
      </c>
    </row>
    <row r="94" spans="1:6" s="817" customFormat="1" ht="48">
      <c r="A94" s="821">
        <v>34</v>
      </c>
      <c r="B94" s="3578"/>
      <c r="C94" s="821" t="s">
        <v>683</v>
      </c>
      <c r="D94" s="757" t="s">
        <v>684</v>
      </c>
      <c r="E94" s="834">
        <v>0.2</v>
      </c>
      <c r="F94" s="821">
        <v>30</v>
      </c>
    </row>
    <row r="95" spans="1:6" s="817" customFormat="1" ht="36">
      <c r="A95" s="821">
        <v>35</v>
      </c>
      <c r="B95" s="3578"/>
      <c r="C95" s="821" t="s">
        <v>685</v>
      </c>
      <c r="D95" s="757" t="s">
        <v>686</v>
      </c>
      <c r="E95" s="834">
        <v>0.2</v>
      </c>
      <c r="F95" s="821">
        <v>30</v>
      </c>
    </row>
    <row r="96" spans="1:6" s="817" customFormat="1" ht="48">
      <c r="A96" s="821">
        <v>36</v>
      </c>
      <c r="B96" s="3578"/>
      <c r="C96" s="757" t="s">
        <v>687</v>
      </c>
      <c r="D96" s="757" t="s">
        <v>688</v>
      </c>
      <c r="E96" s="834">
        <v>0.2</v>
      </c>
      <c r="F96" s="821">
        <v>30</v>
      </c>
    </row>
    <row r="97" spans="1:6" s="817" customFormat="1" ht="36">
      <c r="A97" s="821">
        <v>37</v>
      </c>
      <c r="B97" s="3578"/>
      <c r="C97" s="821" t="s">
        <v>689</v>
      </c>
      <c r="D97" s="757" t="s">
        <v>690</v>
      </c>
      <c r="E97" s="834">
        <v>0.2</v>
      </c>
      <c r="F97" s="821">
        <v>30</v>
      </c>
    </row>
    <row r="98" spans="1:6" s="817" customFormat="1" ht="36">
      <c r="A98" s="821">
        <v>38</v>
      </c>
      <c r="B98" s="3578"/>
      <c r="C98" s="821" t="s">
        <v>691</v>
      </c>
      <c r="D98" s="757" t="s">
        <v>692</v>
      </c>
      <c r="E98" s="834">
        <v>0.2</v>
      </c>
      <c r="F98" s="821">
        <v>30</v>
      </c>
    </row>
    <row r="99" spans="1:6" s="817" customFormat="1" ht="36">
      <c r="A99" s="821">
        <v>39</v>
      </c>
      <c r="B99" s="3578" t="s">
        <v>693</v>
      </c>
      <c r="C99" s="821" t="s">
        <v>694</v>
      </c>
      <c r="D99" s="757" t="s">
        <v>695</v>
      </c>
      <c r="E99" s="834">
        <v>0.3</v>
      </c>
      <c r="F99" s="821">
        <v>50</v>
      </c>
    </row>
    <row r="100" spans="1:6" s="817" customFormat="1" ht="24">
      <c r="A100" s="821">
        <v>40</v>
      </c>
      <c r="B100" s="3578"/>
      <c r="C100" s="821" t="s">
        <v>696</v>
      </c>
      <c r="D100" s="757" t="s">
        <v>697</v>
      </c>
      <c r="E100" s="834">
        <v>0.2</v>
      </c>
      <c r="F100" s="821">
        <v>30</v>
      </c>
    </row>
    <row r="101" spans="1:6" s="817" customFormat="1" ht="36">
      <c r="A101" s="821">
        <v>41</v>
      </c>
      <c r="B101" s="35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8" t="s">
        <v>708</v>
      </c>
      <c r="C105" s="821" t="s">
        <v>709</v>
      </c>
      <c r="D105" s="757" t="s">
        <v>710</v>
      </c>
      <c r="E105" s="834">
        <v>0.2</v>
      </c>
      <c r="F105" s="821">
        <v>30</v>
      </c>
    </row>
    <row r="106" spans="1:6" s="817" customFormat="1" ht="36">
      <c r="A106" s="821">
        <v>46</v>
      </c>
      <c r="B106" s="3578"/>
      <c r="C106" s="821" t="s">
        <v>711</v>
      </c>
      <c r="D106" s="757" t="s">
        <v>712</v>
      </c>
      <c r="E106" s="834">
        <v>0.2</v>
      </c>
      <c r="F106" s="821">
        <v>30</v>
      </c>
    </row>
    <row r="107" spans="1:6" s="817" customFormat="1" ht="36">
      <c r="A107" s="821">
        <v>47</v>
      </c>
      <c r="B107" s="3578" t="s">
        <v>713</v>
      </c>
      <c r="C107" s="821" t="s">
        <v>714</v>
      </c>
      <c r="D107" s="757" t="s">
        <v>715</v>
      </c>
      <c r="E107" s="834">
        <v>0.3</v>
      </c>
      <c r="F107" s="821">
        <v>50</v>
      </c>
    </row>
    <row r="108" spans="1:6" s="817" customFormat="1" ht="36">
      <c r="A108" s="821">
        <v>48</v>
      </c>
      <c r="B108" s="35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8" t="s">
        <v>724</v>
      </c>
      <c r="C111" s="821" t="s">
        <v>725</v>
      </c>
      <c r="D111" s="757" t="s">
        <v>726</v>
      </c>
      <c r="E111" s="834">
        <v>0.2</v>
      </c>
      <c r="F111" s="821">
        <v>30</v>
      </c>
    </row>
    <row r="112" spans="1:6" s="817" customFormat="1" ht="24">
      <c r="A112" s="821">
        <v>52</v>
      </c>
      <c r="B112" s="3578"/>
      <c r="C112" s="821" t="s">
        <v>727</v>
      </c>
      <c r="D112" s="757" t="s">
        <v>728</v>
      </c>
      <c r="E112" s="834">
        <v>0.2</v>
      </c>
      <c r="F112" s="821">
        <v>30</v>
      </c>
    </row>
    <row r="113" spans="1:6" s="817" customFormat="1" ht="24">
      <c r="A113" s="821">
        <v>53</v>
      </c>
      <c r="B113" s="35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8" t="s">
        <v>737</v>
      </c>
      <c r="C116" s="821" t="s">
        <v>738</v>
      </c>
      <c r="D116" s="757" t="s">
        <v>739</v>
      </c>
      <c r="E116" s="834">
        <v>0.2</v>
      </c>
      <c r="F116" s="821">
        <v>30</v>
      </c>
    </row>
    <row r="117" spans="1:6" ht="36">
      <c r="A117" s="821">
        <v>57</v>
      </c>
      <c r="B117" s="35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0.94299999999999995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t="e">
        <f ca="1">SUMIF(B6:B13,"&lt;&gt;#ref!",B6:B13)</f>
        <v>#DIV/0!</v>
      </c>
      <c r="C2" s="2330" t="s">
        <v>2753</v>
      </c>
      <c r="D2" s="2330" t="s">
        <v>2754</v>
      </c>
      <c r="E2" s="2807">
        <f ca="1">SUMIF(E6:E13,"&lt;&gt;#ref!",E6:E13)</f>
        <v>33.93</v>
      </c>
      <c r="F2" s="2993"/>
      <c r="G2" s="2993"/>
      <c r="H2" s="2993"/>
      <c r="I2" s="2993"/>
      <c r="J2" s="2993"/>
      <c r="K2" s="2993"/>
      <c r="L2" s="2993"/>
      <c r="M2" s="2993"/>
      <c r="N2" s="2993"/>
      <c r="O2" s="2993"/>
      <c r="P2" s="2993"/>
    </row>
    <row r="3" spans="1:16" ht="15.75">
      <c r="A3" s="2330" t="s">
        <v>2755</v>
      </c>
      <c r="B3" s="2797" t="e">
        <f ca="1">ROUND(B2*10000/E2,0)</f>
        <v>#DIV/0!</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t="e">
        <f ca="1">SUMIF(INDIRECT("'"&amp;A6&amp;"'"&amp;"!A:A"),"总价",INDIRECT("'"&amp;A6&amp;"'"&amp;"!B:B"))</f>
        <v>#DIV/0!</v>
      </c>
      <c r="C6" s="2330" t="s">
        <v>2753</v>
      </c>
      <c r="D6" s="2993"/>
      <c r="E6" s="2807">
        <f ca="1">SUMIF(INDIRECT("'"&amp;A6&amp;"'"&amp;"!C:C"),"建筑面积",INDIRECT("'"&amp;A6&amp;"'"&amp;"!D:D"))</f>
        <v>33.93</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4" t="s">
        <v>1058</v>
      </c>
      <c r="C1" s="3584"/>
      <c r="D1" s="3584"/>
      <c r="E1" s="3584"/>
      <c r="F1" s="3584"/>
      <c r="G1" s="3580" t="s">
        <v>1059</v>
      </c>
      <c r="H1" s="3580"/>
      <c r="I1" s="3580"/>
      <c r="J1" s="3580"/>
      <c r="K1" s="3580"/>
      <c r="L1" s="3580"/>
      <c r="N1" s="3580" t="s">
        <v>1060</v>
      </c>
      <c r="O1" s="3580"/>
      <c r="P1" s="3580"/>
      <c r="Q1" s="3580"/>
      <c r="S1" s="3580" t="s">
        <v>1061</v>
      </c>
      <c r="T1" s="3580"/>
      <c r="U1" s="3580"/>
      <c r="V1" s="3580"/>
      <c r="X1" s="3579" t="s">
        <v>1062</v>
      </c>
      <c r="Y1" s="3580"/>
      <c r="Z1" s="3580"/>
      <c r="AA1" s="3580"/>
      <c r="AB1" s="3580"/>
      <c r="AD1" s="3579" t="s">
        <v>1063</v>
      </c>
      <c r="AE1" s="3580"/>
      <c r="AF1" s="3580"/>
      <c r="AG1" s="3580"/>
      <c r="AH1" s="358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58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9.5" thickBot="1">
      <c r="A4" s="1648"/>
      <c r="B4" s="3267" t="s">
        <v>1535</v>
      </c>
      <c r="C4" s="3267"/>
      <c r="D4" s="3267"/>
      <c r="E4" s="1648"/>
    </row>
    <row r="5" spans="1:5" ht="16.5" thickTop="1">
      <c r="A5" s="1646"/>
      <c r="B5" s="3265" t="s">
        <v>1527</v>
      </c>
      <c r="C5" s="1649" t="s">
        <v>1528</v>
      </c>
      <c r="D5" s="959">
        <f ca="1">结果表!H101</f>
        <v>18313</v>
      </c>
      <c r="E5" s="1646"/>
    </row>
    <row r="6" spans="1:5" ht="15.75">
      <c r="A6" s="1646"/>
      <c r="B6" s="3265"/>
      <c r="C6" s="1649" t="s">
        <v>1529</v>
      </c>
      <c r="D6" s="959" t="str">
        <f ca="1">NUMBERSTRING(INT(D5*10000),2)&amp;"元整"</f>
        <v>壹亿捌仟叁佰壹拾叁万元整</v>
      </c>
      <c r="E6" s="1646"/>
    </row>
    <row r="7" spans="1:5" ht="15.75">
      <c r="A7" s="1646"/>
      <c r="B7" s="3270"/>
      <c r="C7" s="1650" t="s">
        <v>1530</v>
      </c>
      <c r="D7" s="960">
        <f ca="1">结果表!H102</f>
        <v>5686</v>
      </c>
      <c r="E7" s="1646"/>
    </row>
    <row r="8" spans="1:5" ht="15.75">
      <c r="A8" s="1646"/>
      <c r="B8" s="3271" t="str">
        <f>结果表!E103</f>
        <v>2.估价师知悉的法定优先受偿款</v>
      </c>
      <c r="C8" s="1651" t="s">
        <v>1531</v>
      </c>
      <c r="D8" s="960">
        <f>结果表!H103</f>
        <v>0</v>
      </c>
      <c r="E8" s="1646"/>
    </row>
    <row r="9" spans="1:5" ht="15.75">
      <c r="A9" s="1646"/>
      <c r="B9" s="327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64" t="str">
        <f>结果表!E107</f>
        <v>3.房地产抵押价值</v>
      </c>
      <c r="C13" s="1654" t="s">
        <v>1528</v>
      </c>
      <c r="D13" s="962">
        <f ca="1">结果表!H107</f>
        <v>18313</v>
      </c>
      <c r="E13" s="1646"/>
    </row>
    <row r="14" spans="1:5" ht="15.75">
      <c r="A14" s="1646"/>
      <c r="B14" s="3265"/>
      <c r="C14" s="1649" t="s">
        <v>1529</v>
      </c>
      <c r="D14" s="959" t="str">
        <f ca="1">NUMBERSTRING(INT(D13*10000),2)&amp;"元整"</f>
        <v>壹亿捌仟叁佰壹拾叁万元整</v>
      </c>
      <c r="E14" s="1646"/>
    </row>
    <row r="15" spans="1:5" ht="15">
      <c r="A15" s="1646"/>
      <c r="B15" s="3270"/>
      <c r="C15" s="1650" t="s">
        <v>1539</v>
      </c>
      <c r="D15" s="968">
        <f ca="1">结果表!H108</f>
        <v>5686</v>
      </c>
      <c r="E15" s="1646"/>
    </row>
    <row r="16" spans="1:5" ht="15">
      <c r="A16" s="1646"/>
      <c r="B16" s="3271" t="str">
        <f>结果表!E109</f>
        <v>——</v>
      </c>
      <c r="C16" s="1654" t="s">
        <v>1540</v>
      </c>
      <c r="D16" s="1655" t="str">
        <f>结果表!H109</f>
        <v>——</v>
      </c>
      <c r="E16" s="1646"/>
    </row>
    <row r="17" spans="1:5" ht="15.75">
      <c r="A17" s="1646"/>
      <c r="B17" s="3272"/>
      <c r="C17" s="1649" t="s">
        <v>1541</v>
      </c>
      <c r="D17" s="959" t="e">
        <f>NUMBERSTRING(INT(D16*10000),2)&amp;"元整"</f>
        <v>#VALUE!</v>
      </c>
      <c r="E17" s="1646"/>
    </row>
    <row r="18" spans="1:5" ht="15">
      <c r="A18" s="1646"/>
      <c r="B18" s="3273"/>
      <c r="C18" s="1650" t="s">
        <v>1530</v>
      </c>
      <c r="D18" s="968" t="str">
        <f>结果表!H110</f>
        <v>——</v>
      </c>
      <c r="E18" s="1646"/>
    </row>
    <row r="19" spans="1:5" ht="15.75">
      <c r="A19" s="1646"/>
      <c r="B19" s="3264" t="str">
        <f>结果表!E111</f>
        <v>——</v>
      </c>
      <c r="C19" s="1654" t="s">
        <v>1528</v>
      </c>
      <c r="D19" s="960" t="str">
        <f>结果表!H111</f>
        <v>——</v>
      </c>
      <c r="E19" s="1646"/>
    </row>
    <row r="20" spans="1:5" ht="15.75">
      <c r="A20" s="1646"/>
      <c r="B20" s="3265"/>
      <c r="C20" s="1649" t="s">
        <v>1541</v>
      </c>
      <c r="D20" s="959" t="e">
        <f>NUMBERSTRING(INT(D19*10000),2)&amp;"元整"</f>
        <v>#VALUE!</v>
      </c>
      <c r="E20" s="1646"/>
    </row>
    <row r="21" spans="1:5" ht="15.75" thickBot="1">
      <c r="A21" s="1646"/>
      <c r="B21" s="326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42"/>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20" width="9" style="734"/>
    <col min="21" max="21" width="10.125" style="734" bestFit="1" customWidth="1"/>
    <col min="22" max="45" width="9" style="734"/>
    <col min="46" max="16384" width="9" style="135"/>
  </cols>
  <sheetData>
    <row r="1" spans="1:45" ht="14.25" customHeight="1" thickBot="1">
      <c r="A1" s="151"/>
      <c r="B1" s="1114" t="s">
        <v>2762</v>
      </c>
      <c r="C1" s="3593" t="s">
        <v>2763</v>
      </c>
      <c r="D1" s="3594"/>
      <c r="E1" s="3594"/>
      <c r="F1" s="3594"/>
      <c r="G1" s="3594"/>
      <c r="H1" s="3594"/>
      <c r="I1" s="3594"/>
      <c r="J1" s="3594"/>
      <c r="K1" s="3594"/>
      <c r="L1" s="3594"/>
      <c r="M1" s="3594"/>
      <c r="N1" s="3594"/>
      <c r="O1" s="3594"/>
      <c r="P1" s="3594"/>
      <c r="Q1" s="3594"/>
      <c r="R1" s="3594"/>
      <c r="S1" s="3595"/>
      <c r="T1" s="1114" t="s">
        <v>2764</v>
      </c>
    </row>
    <row r="2" spans="1:45" s="663" customFormat="1" ht="25.5">
      <c r="A2" s="1115"/>
      <c r="B2" s="659" t="s">
        <v>2765</v>
      </c>
      <c r="C2" s="660" t="str">
        <f t="shared" ref="C2:L2" si="0">C3&amp;"(含)"&amp;"-"&amp;D3</f>
        <v>25(含)-30</v>
      </c>
      <c r="D2" s="661" t="str">
        <f t="shared" si="0"/>
        <v>30(含)-35</v>
      </c>
      <c r="E2" s="661" t="str">
        <f t="shared" si="0"/>
        <v>35(含)-45</v>
      </c>
      <c r="F2" s="661" t="str">
        <f t="shared" si="0"/>
        <v>45(含)-50</v>
      </c>
      <c r="G2" s="661" t="str">
        <f t="shared" si="0"/>
        <v>50(含)-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25</v>
      </c>
      <c r="D3" s="666">
        <v>30</v>
      </c>
      <c r="E3" s="666">
        <v>35</v>
      </c>
      <c r="F3" s="1445">
        <v>45</v>
      </c>
      <c r="G3" s="1445">
        <v>50</v>
      </c>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101</v>
      </c>
      <c r="D4" s="1121">
        <v>100</v>
      </c>
      <c r="E4" s="1121">
        <v>99</v>
      </c>
      <c r="F4" s="1449">
        <v>98</v>
      </c>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2772</v>
      </c>
      <c r="B17" s="2334"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2774</v>
      </c>
      <c r="E19" s="1494"/>
      <c r="F19" s="1494"/>
      <c r="G19" s="1494"/>
      <c r="H19" s="1190"/>
      <c r="I19" s="164"/>
      <c r="J19" s="164"/>
      <c r="K19" s="164"/>
      <c r="L19" s="164"/>
      <c r="M19" s="164"/>
      <c r="N19" s="164"/>
      <c r="O19" s="164"/>
      <c r="P19" s="164"/>
      <c r="Q19" s="164"/>
      <c r="R19" s="727"/>
      <c r="S19" s="134"/>
    </row>
    <row r="20" spans="1:45" ht="16.5" thickBot="1">
      <c r="A20" s="671" t="s">
        <v>2775</v>
      </c>
      <c r="B20" s="300">
        <f ca="1">IF(D20="——",S22,S22-F20)</f>
        <v>18313</v>
      </c>
      <c r="C20" s="164"/>
      <c r="D20" s="2336" t="s">
        <v>70</v>
      </c>
      <c r="E20" s="1495"/>
      <c r="F20" s="1114" t="e">
        <f ca="1">SUMIF(INDIRECT("'"&amp;H20&amp;"'"&amp;"!A:A"),"承租人权益价值",INDIRECT("'"&amp;H20&amp;"'"&amp;"!c:c"))</f>
        <v>#REF!</v>
      </c>
      <c r="G20" s="1114" t="s">
        <v>2776</v>
      </c>
      <c r="H20" s="2337"/>
      <c r="I20" s="164"/>
      <c r="J20" s="164"/>
      <c r="K20" s="164"/>
      <c r="L20" s="164"/>
      <c r="M20" s="164"/>
      <c r="N20" s="164"/>
      <c r="O20" s="164"/>
      <c r="P20" s="164"/>
      <c r="Q20" s="164"/>
      <c r="R20" s="727"/>
      <c r="S20" s="134"/>
    </row>
    <row r="21" spans="1:45" ht="15.75">
      <c r="A21" s="671" t="s">
        <v>2777</v>
      </c>
      <c r="B21" s="300">
        <f ca="1">ROUND(B20*10000/B22,0)</f>
        <v>5686</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32206.89000000029</v>
      </c>
      <c r="C22" s="3590" t="s">
        <v>33</v>
      </c>
      <c r="D22" s="3591"/>
      <c r="E22" s="3591"/>
      <c r="F22" s="3591"/>
      <c r="G22" s="3591"/>
      <c r="H22" s="3591"/>
      <c r="I22" s="3591"/>
      <c r="J22" s="3591"/>
      <c r="K22" s="3591"/>
      <c r="L22" s="3591"/>
      <c r="M22" s="3591"/>
      <c r="N22" s="3591"/>
      <c r="O22" s="3591"/>
      <c r="P22" s="3591"/>
      <c r="Q22" s="3592"/>
      <c r="R22" s="672">
        <f ca="1">ROUND(S22*10000/B22,0)</f>
        <v>5686</v>
      </c>
      <c r="S22" s="24">
        <f ca="1">SUM(S24:S10000)</f>
        <v>18313</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Sheet2!E4</f>
        <v>B078</v>
      </c>
      <c r="B24" s="3235">
        <f>Sheet2!F4</f>
        <v>33.93</v>
      </c>
      <c r="C24" s="3010">
        <v>1</v>
      </c>
      <c r="D24" s="3011"/>
      <c r="E24" s="3010">
        <v>1</v>
      </c>
      <c r="F24" s="3011"/>
      <c r="G24" s="3010">
        <v>1</v>
      </c>
      <c r="H24" s="3011"/>
      <c r="I24" s="3010">
        <v>1</v>
      </c>
      <c r="J24" s="3011"/>
      <c r="K24" s="3010">
        <v>1</v>
      </c>
      <c r="L24" s="3011"/>
      <c r="M24" s="3010">
        <v>1</v>
      </c>
      <c r="N24" s="3011"/>
      <c r="O24" s="3010">
        <v>1</v>
      </c>
      <c r="P24" s="3011"/>
      <c r="Q24" s="3010">
        <v>1</v>
      </c>
      <c r="R24" s="677">
        <f ca="1">'结果表 基准'!G20</f>
        <v>5764</v>
      </c>
      <c r="S24" s="675">
        <f t="shared" ref="S24:S54" ca="1" si="11">ROUND(R24*B24/10000,0)</f>
        <v>20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Sheet2!E5</f>
        <v>B089</v>
      </c>
      <c r="B25" s="3235">
        <f>Sheet2!F5</f>
        <v>33.93</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5764</v>
      </c>
      <c r="S25" s="322">
        <f t="shared" ca="1" si="11"/>
        <v>20</v>
      </c>
    </row>
    <row r="26" spans="1:45">
      <c r="A26" s="674" t="str">
        <f>Sheet2!E6</f>
        <v>D097</v>
      </c>
      <c r="B26" s="3235">
        <f>Sheet2!F6</f>
        <v>33.93</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5764</v>
      </c>
      <c r="S26" s="322">
        <f t="shared" ca="1" si="11"/>
        <v>20</v>
      </c>
      <c r="U26" s="734">
        <f ca="1">S22-S24</f>
        <v>18293</v>
      </c>
    </row>
    <row r="27" spans="1:45">
      <c r="A27" s="674" t="str">
        <f>Sheet2!E7</f>
        <v>D101</v>
      </c>
      <c r="B27" s="3235">
        <f>Sheet2!F7</f>
        <v>33.93</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5764</v>
      </c>
      <c r="S27" s="322">
        <f t="shared" ca="1" si="11"/>
        <v>20</v>
      </c>
      <c r="U27" s="3631">
        <f>B22-B24</f>
        <v>32172.96000000029</v>
      </c>
    </row>
    <row r="28" spans="1:45">
      <c r="A28" s="674" t="str">
        <f>Sheet2!E8</f>
        <v>F051</v>
      </c>
      <c r="B28" s="3235">
        <f>Sheet2!F8</f>
        <v>33.93</v>
      </c>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5764</v>
      </c>
      <c r="S28" s="322">
        <f t="shared" ca="1" si="11"/>
        <v>20</v>
      </c>
      <c r="U28" s="3631">
        <f ca="1">ROUND(U26/U27*10000,0)</f>
        <v>5686</v>
      </c>
    </row>
    <row r="29" spans="1:45">
      <c r="A29" s="674" t="str">
        <f>Sheet2!E9</f>
        <v>G004</v>
      </c>
      <c r="B29" s="3235">
        <f>Sheet2!F9</f>
        <v>33.93</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5764</v>
      </c>
      <c r="S29" s="322">
        <f t="shared" ca="1" si="11"/>
        <v>20</v>
      </c>
    </row>
    <row r="30" spans="1:45">
      <c r="A30" s="674" t="str">
        <f>Sheet2!E10</f>
        <v>G005</v>
      </c>
      <c r="B30" s="3235">
        <f>Sheet2!F10</f>
        <v>33.93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5764</v>
      </c>
      <c r="S30" s="322">
        <f t="shared" ca="1" si="11"/>
        <v>20</v>
      </c>
    </row>
    <row r="31" spans="1:45">
      <c r="A31" s="674" t="str">
        <f>Sheet2!E11</f>
        <v>G006</v>
      </c>
      <c r="B31" s="3235">
        <f>Sheet2!F11</f>
        <v>33.93</v>
      </c>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5764</v>
      </c>
      <c r="S31" s="322">
        <f t="shared" ca="1" si="11"/>
        <v>20</v>
      </c>
    </row>
    <row r="32" spans="1:45">
      <c r="A32" s="674" t="str">
        <f>Sheet2!E12</f>
        <v>G007</v>
      </c>
      <c r="B32" s="3235">
        <f>Sheet2!F12</f>
        <v>33.93</v>
      </c>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ca="1" si="20"/>
        <v>5764</v>
      </c>
      <c r="S32" s="322">
        <f t="shared" ca="1" si="11"/>
        <v>20</v>
      </c>
    </row>
    <row r="33" spans="1:19">
      <c r="A33" s="674" t="str">
        <f>Sheet2!E13</f>
        <v>G093</v>
      </c>
      <c r="B33" s="3235">
        <f>Sheet2!F13</f>
        <v>33.93</v>
      </c>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ca="1" si="20"/>
        <v>5764</v>
      </c>
      <c r="S33" s="322">
        <f t="shared" ca="1" si="11"/>
        <v>20</v>
      </c>
    </row>
    <row r="34" spans="1:19">
      <c r="A34" s="674" t="str">
        <f>Sheet2!E14</f>
        <v>G094</v>
      </c>
      <c r="B34" s="3235">
        <f>Sheet2!F14</f>
        <v>33.93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ca="1" si="20"/>
        <v>5764</v>
      </c>
      <c r="S34" s="322">
        <f t="shared" ca="1" si="11"/>
        <v>20</v>
      </c>
    </row>
    <row r="35" spans="1:19">
      <c r="A35" s="674" t="str">
        <f>Sheet2!E15</f>
        <v>G095</v>
      </c>
      <c r="B35" s="3235">
        <f>Sheet2!F15</f>
        <v>33.93</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ca="1" si="20"/>
        <v>5764</v>
      </c>
      <c r="S35" s="322">
        <f t="shared" ca="1" si="11"/>
        <v>20</v>
      </c>
    </row>
    <row r="36" spans="1:19">
      <c r="A36" s="674" t="str">
        <f>Sheet2!E16</f>
        <v>H027</v>
      </c>
      <c r="B36" s="3235">
        <f>Sheet2!F16</f>
        <v>33.93</v>
      </c>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ca="1" si="20"/>
        <v>5764</v>
      </c>
      <c r="S36" s="322">
        <f t="shared" ca="1" si="11"/>
        <v>20</v>
      </c>
    </row>
    <row r="37" spans="1:19">
      <c r="A37" s="674" t="str">
        <f>Sheet2!E17</f>
        <v>H032</v>
      </c>
      <c r="B37" s="3235">
        <f>Sheet2!F17</f>
        <v>33.93</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ca="1" si="20"/>
        <v>5764</v>
      </c>
      <c r="S37" s="322">
        <f t="shared" ca="1" si="11"/>
        <v>20</v>
      </c>
    </row>
    <row r="38" spans="1:19">
      <c r="A38" s="674" t="str">
        <f>Sheet2!E18</f>
        <v>K113</v>
      </c>
      <c r="B38" s="3235">
        <f>Sheet2!F18</f>
        <v>32.58</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ca="1" si="20"/>
        <v>5764</v>
      </c>
      <c r="S38" s="322">
        <f t="shared" ca="1" si="11"/>
        <v>19</v>
      </c>
    </row>
    <row r="39" spans="1:19">
      <c r="A39" s="674" t="str">
        <f>Sheet2!E19</f>
        <v>K114</v>
      </c>
      <c r="B39" s="3235">
        <f>Sheet2!F19</f>
        <v>33.93</v>
      </c>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ca="1" si="20"/>
        <v>5764</v>
      </c>
      <c r="S39" s="322">
        <f t="shared" ca="1" si="11"/>
        <v>20</v>
      </c>
    </row>
    <row r="40" spans="1:19">
      <c r="A40" s="674" t="str">
        <f>Sheet2!E20</f>
        <v>K123</v>
      </c>
      <c r="B40" s="3235">
        <f>Sheet2!F20</f>
        <v>33.93</v>
      </c>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ca="1" si="20"/>
        <v>5764</v>
      </c>
      <c r="S40" s="322">
        <f t="shared" ca="1" si="11"/>
        <v>20</v>
      </c>
    </row>
    <row r="41" spans="1:19">
      <c r="A41" s="674" t="str">
        <f>Sheet2!E21</f>
        <v>K124</v>
      </c>
      <c r="B41" s="3235">
        <f>Sheet2!F21</f>
        <v>33.93</v>
      </c>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ca="1" si="20"/>
        <v>5764</v>
      </c>
      <c r="S41" s="322">
        <f t="shared" ca="1" si="11"/>
        <v>20</v>
      </c>
    </row>
    <row r="42" spans="1:19">
      <c r="A42" s="674" t="str">
        <f>Sheet2!E22</f>
        <v>K125</v>
      </c>
      <c r="B42" s="3235">
        <f>Sheet2!F22</f>
        <v>33.93</v>
      </c>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ca="1" si="20"/>
        <v>5764</v>
      </c>
      <c r="S42" s="322">
        <f t="shared" ca="1" si="11"/>
        <v>20</v>
      </c>
    </row>
    <row r="43" spans="1:19">
      <c r="A43" s="674" t="str">
        <f>Sheet2!E23</f>
        <v>K126</v>
      </c>
      <c r="B43" s="3235">
        <f>Sheet2!F23</f>
        <v>33.93</v>
      </c>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ca="1" si="20"/>
        <v>5764</v>
      </c>
      <c r="S43" s="322">
        <f t="shared" ca="1" si="11"/>
        <v>20</v>
      </c>
    </row>
    <row r="44" spans="1:19">
      <c r="A44" s="674" t="str">
        <f>Sheet2!E24</f>
        <v>L006</v>
      </c>
      <c r="B44" s="3235">
        <f>Sheet2!F24</f>
        <v>32.58</v>
      </c>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ca="1" si="20"/>
        <v>5764</v>
      </c>
      <c r="S44" s="322">
        <f t="shared" ca="1" si="11"/>
        <v>19</v>
      </c>
    </row>
    <row r="45" spans="1:19">
      <c r="A45" s="674" t="str">
        <f>Sheet2!E25</f>
        <v>L090</v>
      </c>
      <c r="B45" s="3235">
        <f>Sheet2!F25</f>
        <v>33.93</v>
      </c>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ca="1" si="20"/>
        <v>5764</v>
      </c>
      <c r="S45" s="322">
        <f t="shared" ca="1" si="11"/>
        <v>20</v>
      </c>
    </row>
    <row r="46" spans="1:19">
      <c r="A46" s="674" t="str">
        <f>Sheet2!E26</f>
        <v>L096</v>
      </c>
      <c r="B46" s="3235">
        <f>Sheet2!F26</f>
        <v>33.93</v>
      </c>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ca="1" si="20"/>
        <v>5764</v>
      </c>
      <c r="S46" s="322">
        <f t="shared" ca="1" si="11"/>
        <v>20</v>
      </c>
    </row>
    <row r="47" spans="1:19">
      <c r="A47" s="674" t="str">
        <f>Sheet2!E27</f>
        <v>L098</v>
      </c>
      <c r="B47" s="3235">
        <f>Sheet2!F27</f>
        <v>33.93</v>
      </c>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ca="1" si="20"/>
        <v>5764</v>
      </c>
      <c r="S47" s="322">
        <f t="shared" ca="1" si="11"/>
        <v>20</v>
      </c>
    </row>
    <row r="48" spans="1:19">
      <c r="A48" s="674" t="str">
        <f>Sheet2!E28</f>
        <v>M001</v>
      </c>
      <c r="B48" s="3235">
        <f>Sheet2!F28</f>
        <v>32.58</v>
      </c>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ca="1" si="20"/>
        <v>5764</v>
      </c>
      <c r="S48" s="322">
        <f t="shared" ca="1" si="11"/>
        <v>19</v>
      </c>
    </row>
    <row r="49" spans="1:19">
      <c r="A49" s="674" t="str">
        <f>Sheet2!E29</f>
        <v>M002</v>
      </c>
      <c r="B49" s="3235">
        <f>Sheet2!F29</f>
        <v>32.58</v>
      </c>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ca="1" si="20"/>
        <v>5764</v>
      </c>
      <c r="S49" s="322">
        <f t="shared" ca="1" si="11"/>
        <v>19</v>
      </c>
    </row>
    <row r="50" spans="1:19">
      <c r="A50" s="674" t="str">
        <f>Sheet2!E30</f>
        <v>M003</v>
      </c>
      <c r="B50" s="3235">
        <f>Sheet2!F30</f>
        <v>32.58</v>
      </c>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ca="1" si="20"/>
        <v>5764</v>
      </c>
      <c r="S50" s="322">
        <f t="shared" ca="1" si="11"/>
        <v>19</v>
      </c>
    </row>
    <row r="51" spans="1:19">
      <c r="A51" s="674" t="str">
        <f>Sheet2!E31</f>
        <v>M004</v>
      </c>
      <c r="B51" s="3235">
        <f>Sheet2!F31</f>
        <v>32.58</v>
      </c>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ca="1" si="20"/>
        <v>5764</v>
      </c>
      <c r="S51" s="322">
        <f t="shared" ca="1" si="11"/>
        <v>19</v>
      </c>
    </row>
    <row r="52" spans="1:19">
      <c r="A52" s="674" t="str">
        <f>Sheet2!E32</f>
        <v>M005</v>
      </c>
      <c r="B52" s="3235">
        <f>Sheet2!F32</f>
        <v>32.58</v>
      </c>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ca="1" si="20"/>
        <v>5764</v>
      </c>
      <c r="S52" s="322">
        <f t="shared" ca="1" si="11"/>
        <v>19</v>
      </c>
    </row>
    <row r="53" spans="1:19">
      <c r="A53" s="674" t="str">
        <f>Sheet2!E33</f>
        <v>M006</v>
      </c>
      <c r="B53" s="3235">
        <f>Sheet2!F33</f>
        <v>32.58</v>
      </c>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ca="1" si="20"/>
        <v>5764</v>
      </c>
      <c r="S53" s="322">
        <f t="shared" ca="1" si="11"/>
        <v>19</v>
      </c>
    </row>
    <row r="54" spans="1:19">
      <c r="A54" s="674" t="str">
        <f>Sheet2!E34</f>
        <v>M007</v>
      </c>
      <c r="B54" s="3235">
        <f>Sheet2!F34</f>
        <v>32.58</v>
      </c>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ca="1" si="20"/>
        <v>5764</v>
      </c>
      <c r="S54" s="322">
        <f t="shared" ca="1" si="11"/>
        <v>19</v>
      </c>
    </row>
    <row r="55" spans="1:19">
      <c r="A55" s="674" t="str">
        <f>Sheet2!E35</f>
        <v>M008</v>
      </c>
      <c r="B55" s="3235">
        <f>Sheet2!F35</f>
        <v>32.58</v>
      </c>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ca="1" si="20"/>
        <v>5764</v>
      </c>
      <c r="S55" s="322">
        <f t="shared" ref="S55:S77" ca="1" si="21">ROUND(R55*B55/10000,0)</f>
        <v>19</v>
      </c>
    </row>
    <row r="56" spans="1:19">
      <c r="A56" s="674" t="str">
        <f>Sheet2!E36</f>
        <v>M009</v>
      </c>
      <c r="B56" s="3235">
        <f>Sheet2!F36</f>
        <v>32.58</v>
      </c>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ca="1" si="20"/>
        <v>5764</v>
      </c>
      <c r="S56" s="322">
        <f t="shared" ca="1" si="21"/>
        <v>19</v>
      </c>
    </row>
    <row r="57" spans="1:19">
      <c r="A57" s="674" t="str">
        <f>Sheet2!E37</f>
        <v>M010</v>
      </c>
      <c r="B57" s="3235">
        <f>Sheet2!F37</f>
        <v>32.58</v>
      </c>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ca="1" si="20"/>
        <v>5764</v>
      </c>
      <c r="S57" s="322">
        <f t="shared" ca="1" si="21"/>
        <v>19</v>
      </c>
    </row>
    <row r="58" spans="1:19">
      <c r="A58" s="674" t="str">
        <f>Sheet2!E38</f>
        <v>M011</v>
      </c>
      <c r="B58" s="3235">
        <f>Sheet2!F38</f>
        <v>32.58</v>
      </c>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ca="1" si="20"/>
        <v>5764</v>
      </c>
      <c r="S58" s="322">
        <f t="shared" ca="1" si="21"/>
        <v>19</v>
      </c>
    </row>
    <row r="59" spans="1:19">
      <c r="A59" s="674" t="str">
        <f>Sheet2!E39</f>
        <v>M012</v>
      </c>
      <c r="B59" s="3235">
        <f>Sheet2!F39</f>
        <v>32.58</v>
      </c>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ca="1" si="20"/>
        <v>5764</v>
      </c>
      <c r="S59" s="322">
        <f t="shared" ca="1" si="21"/>
        <v>19</v>
      </c>
    </row>
    <row r="60" spans="1:19">
      <c r="A60" s="674" t="str">
        <f>Sheet2!E40</f>
        <v>M013</v>
      </c>
      <c r="B60" s="3235">
        <f>Sheet2!F40</f>
        <v>32.58</v>
      </c>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ca="1" si="20"/>
        <v>5764</v>
      </c>
      <c r="S60" s="322">
        <f t="shared" ca="1" si="21"/>
        <v>19</v>
      </c>
    </row>
    <row r="61" spans="1:19">
      <c r="A61" s="674" t="str">
        <f>Sheet2!E41</f>
        <v>M014</v>
      </c>
      <c r="B61" s="3235">
        <f>Sheet2!F41</f>
        <v>32.58</v>
      </c>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ca="1" si="20"/>
        <v>5764</v>
      </c>
      <c r="S61" s="322">
        <f t="shared" ca="1" si="21"/>
        <v>19</v>
      </c>
    </row>
    <row r="62" spans="1:19">
      <c r="A62" s="674" t="str">
        <f>Sheet2!E42</f>
        <v>M015</v>
      </c>
      <c r="B62" s="3235">
        <f>Sheet2!F42</f>
        <v>32.58</v>
      </c>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ca="1" si="20"/>
        <v>5764</v>
      </c>
      <c r="S62" s="322">
        <f t="shared" ca="1" si="21"/>
        <v>19</v>
      </c>
    </row>
    <row r="63" spans="1:19">
      <c r="A63" s="674" t="str">
        <f>Sheet2!E43</f>
        <v>M016</v>
      </c>
      <c r="B63" s="3235">
        <f>Sheet2!F43</f>
        <v>32.58</v>
      </c>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ca="1" si="20"/>
        <v>5764</v>
      </c>
      <c r="S63" s="322">
        <f t="shared" ca="1" si="21"/>
        <v>19</v>
      </c>
    </row>
    <row r="64" spans="1:19">
      <c r="A64" s="674" t="str">
        <f>Sheet2!E44</f>
        <v>M034</v>
      </c>
      <c r="B64" s="3235">
        <f>Sheet2!F44</f>
        <v>32.58</v>
      </c>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ca="1" si="20"/>
        <v>5764</v>
      </c>
      <c r="S64" s="322">
        <f t="shared" ca="1" si="21"/>
        <v>19</v>
      </c>
    </row>
    <row r="65" spans="1:19">
      <c r="A65" s="674" t="str">
        <f>Sheet2!E45</f>
        <v>M035</v>
      </c>
      <c r="B65" s="3235">
        <f>Sheet2!F45</f>
        <v>32.58</v>
      </c>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ca="1" si="20"/>
        <v>5764</v>
      </c>
      <c r="S65" s="322">
        <f t="shared" ca="1" si="21"/>
        <v>19</v>
      </c>
    </row>
    <row r="66" spans="1:19">
      <c r="A66" s="674" t="str">
        <f>Sheet2!E46</f>
        <v>M036</v>
      </c>
      <c r="B66" s="3235">
        <f>Sheet2!F46</f>
        <v>32.58</v>
      </c>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ca="1" si="20"/>
        <v>5764</v>
      </c>
      <c r="S66" s="322">
        <f t="shared" ca="1" si="21"/>
        <v>19</v>
      </c>
    </row>
    <row r="67" spans="1:19">
      <c r="A67" s="674" t="str">
        <f>Sheet2!E47</f>
        <v>M037</v>
      </c>
      <c r="B67" s="3235">
        <f>Sheet2!F47</f>
        <v>32.58</v>
      </c>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ca="1" si="20"/>
        <v>5764</v>
      </c>
      <c r="S67" s="322">
        <f t="shared" ca="1" si="21"/>
        <v>19</v>
      </c>
    </row>
    <row r="68" spans="1:19">
      <c r="A68" s="674" t="str">
        <f>Sheet2!E48</f>
        <v>M038</v>
      </c>
      <c r="B68" s="3235">
        <f>Sheet2!F48</f>
        <v>32.58</v>
      </c>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ca="1" si="20"/>
        <v>5764</v>
      </c>
      <c r="S68" s="322">
        <f t="shared" ca="1" si="21"/>
        <v>19</v>
      </c>
    </row>
    <row r="69" spans="1:19">
      <c r="A69" s="674" t="str">
        <f>Sheet2!E49</f>
        <v>M040</v>
      </c>
      <c r="B69" s="3235">
        <f>Sheet2!F49</f>
        <v>32.58</v>
      </c>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ca="1" si="20"/>
        <v>5764</v>
      </c>
      <c r="S69" s="322">
        <f t="shared" ca="1" si="21"/>
        <v>19</v>
      </c>
    </row>
    <row r="70" spans="1:19">
      <c r="A70" s="674" t="str">
        <f>Sheet2!E50</f>
        <v>M041</v>
      </c>
      <c r="B70" s="3235">
        <f>Sheet2!F50</f>
        <v>32.58</v>
      </c>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ca="1" si="20"/>
        <v>5764</v>
      </c>
      <c r="S70" s="322">
        <f t="shared" ca="1" si="21"/>
        <v>19</v>
      </c>
    </row>
    <row r="71" spans="1:19">
      <c r="A71" s="674" t="str">
        <f>Sheet2!E51</f>
        <v>M043</v>
      </c>
      <c r="B71" s="3235">
        <f>Sheet2!F51</f>
        <v>32.58</v>
      </c>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ca="1" si="20"/>
        <v>5764</v>
      </c>
      <c r="S71" s="322">
        <f t="shared" ca="1" si="21"/>
        <v>19</v>
      </c>
    </row>
    <row r="72" spans="1:19">
      <c r="A72" s="674" t="str">
        <f>Sheet2!E52</f>
        <v>M044</v>
      </c>
      <c r="B72" s="3235">
        <f>Sheet2!F52</f>
        <v>32.58</v>
      </c>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ca="1" si="20"/>
        <v>5764</v>
      </c>
      <c r="S72" s="322">
        <f t="shared" ca="1" si="21"/>
        <v>19</v>
      </c>
    </row>
    <row r="73" spans="1:19">
      <c r="A73" s="674" t="str">
        <f>Sheet2!E53</f>
        <v>M050</v>
      </c>
      <c r="B73" s="3235">
        <f>Sheet2!F53</f>
        <v>32.58</v>
      </c>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ca="1" si="20"/>
        <v>5764</v>
      </c>
      <c r="S73" s="322">
        <f t="shared" ca="1" si="21"/>
        <v>19</v>
      </c>
    </row>
    <row r="74" spans="1:19">
      <c r="A74" s="674" t="str">
        <f>Sheet2!E54</f>
        <v>M054</v>
      </c>
      <c r="B74" s="3235">
        <f>Sheet2!F54</f>
        <v>32.58</v>
      </c>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ca="1" si="20"/>
        <v>5764</v>
      </c>
      <c r="S74" s="322">
        <f t="shared" ca="1" si="21"/>
        <v>19</v>
      </c>
    </row>
    <row r="75" spans="1:19">
      <c r="A75" s="674" t="str">
        <f>Sheet2!E55</f>
        <v>M058</v>
      </c>
      <c r="B75" s="3235">
        <f>Sheet2!F55</f>
        <v>32.58</v>
      </c>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ca="1" si="20"/>
        <v>5764</v>
      </c>
      <c r="S75" s="322">
        <f t="shared" ca="1" si="21"/>
        <v>19</v>
      </c>
    </row>
    <row r="76" spans="1:19">
      <c r="A76" s="674" t="str">
        <f>Sheet2!E56</f>
        <v>M059</v>
      </c>
      <c r="B76" s="3235">
        <f>Sheet2!F56</f>
        <v>32.58</v>
      </c>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ca="1" si="20"/>
        <v>5764</v>
      </c>
      <c r="S76" s="322">
        <f t="shared" ca="1" si="21"/>
        <v>19</v>
      </c>
    </row>
    <row r="77" spans="1:19">
      <c r="A77" s="674" t="str">
        <f>Sheet2!E57</f>
        <v>M071</v>
      </c>
      <c r="B77" s="3235">
        <f>Sheet2!F57</f>
        <v>32.58</v>
      </c>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ca="1" si="20"/>
        <v>5764</v>
      </c>
      <c r="S77" s="322">
        <f t="shared" ca="1" si="21"/>
        <v>19</v>
      </c>
    </row>
    <row r="78" spans="1:19">
      <c r="A78" s="674" t="str">
        <f>Sheet2!E58</f>
        <v>M072</v>
      </c>
      <c r="B78" s="3235">
        <f>Sheet2!F58</f>
        <v>32.58</v>
      </c>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ca="1" si="20"/>
        <v>5764</v>
      </c>
      <c r="S78" s="322">
        <f t="shared" ref="S78:S122" ca="1" si="22">ROUND(R78*B78/10000,0)</f>
        <v>19</v>
      </c>
    </row>
    <row r="79" spans="1:19">
      <c r="A79" s="674" t="str">
        <f>Sheet2!E59</f>
        <v>M073</v>
      </c>
      <c r="B79" s="3235">
        <f>Sheet2!F59</f>
        <v>32.58</v>
      </c>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ca="1" si="20"/>
        <v>5764</v>
      </c>
      <c r="S79" s="322">
        <f t="shared" ca="1" si="22"/>
        <v>19</v>
      </c>
    </row>
    <row r="80" spans="1:19">
      <c r="A80" s="674" t="str">
        <f>Sheet2!E60</f>
        <v>M074</v>
      </c>
      <c r="B80" s="3235">
        <f>Sheet2!F60</f>
        <v>32.58</v>
      </c>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ca="1" si="20"/>
        <v>5764</v>
      </c>
      <c r="S80" s="322">
        <f t="shared" ca="1" si="22"/>
        <v>19</v>
      </c>
    </row>
    <row r="81" spans="1:19">
      <c r="A81" s="674" t="str">
        <f>Sheet2!E61</f>
        <v>M075</v>
      </c>
      <c r="B81" s="3235">
        <f>Sheet2!F61</f>
        <v>32.58</v>
      </c>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ca="1" si="20"/>
        <v>5764</v>
      </c>
      <c r="S81" s="322">
        <f t="shared" ca="1" si="22"/>
        <v>19</v>
      </c>
    </row>
    <row r="82" spans="1:19">
      <c r="A82" s="674" t="str">
        <f>Sheet2!E62</f>
        <v>M076</v>
      </c>
      <c r="B82" s="3235">
        <f>Sheet2!F62</f>
        <v>32.58</v>
      </c>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ca="1" si="20"/>
        <v>5764</v>
      </c>
      <c r="S82" s="322">
        <f t="shared" ca="1" si="22"/>
        <v>19</v>
      </c>
    </row>
    <row r="83" spans="1:19">
      <c r="A83" s="674" t="str">
        <f>Sheet2!E63</f>
        <v>M077</v>
      </c>
      <c r="B83" s="3235">
        <f>Sheet2!F63</f>
        <v>32.58</v>
      </c>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ca="1" si="20"/>
        <v>5764</v>
      </c>
      <c r="S83" s="322">
        <f t="shared" ca="1" si="22"/>
        <v>19</v>
      </c>
    </row>
    <row r="84" spans="1:19">
      <c r="A84" s="674" t="str">
        <f>Sheet2!E64</f>
        <v>M078</v>
      </c>
      <c r="B84" s="3235">
        <f>Sheet2!F64</f>
        <v>32.58</v>
      </c>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ca="1" si="20"/>
        <v>5764</v>
      </c>
      <c r="S84" s="322">
        <f t="shared" ca="1" si="22"/>
        <v>19</v>
      </c>
    </row>
    <row r="85" spans="1:19">
      <c r="A85" s="674" t="str">
        <f>Sheet2!E65</f>
        <v>M079</v>
      </c>
      <c r="B85" s="3235">
        <f>Sheet2!F65</f>
        <v>32.58</v>
      </c>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ca="1" si="20"/>
        <v>5764</v>
      </c>
      <c r="S85" s="322">
        <f t="shared" ca="1" si="22"/>
        <v>19</v>
      </c>
    </row>
    <row r="86" spans="1:19">
      <c r="A86" s="674" t="str">
        <f>Sheet2!E66</f>
        <v>M081</v>
      </c>
      <c r="B86" s="3235">
        <f>Sheet2!F66</f>
        <v>32.58</v>
      </c>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ca="1" si="20"/>
        <v>5764</v>
      </c>
      <c r="S86" s="322">
        <f t="shared" ca="1" si="22"/>
        <v>19</v>
      </c>
    </row>
    <row r="87" spans="1:19">
      <c r="A87" s="674" t="str">
        <f>Sheet2!E67</f>
        <v>M082</v>
      </c>
      <c r="B87" s="3235">
        <f>Sheet2!F67</f>
        <v>32.58</v>
      </c>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ca="1" si="20"/>
        <v>5764</v>
      </c>
      <c r="S87" s="322">
        <f t="shared" ca="1" si="22"/>
        <v>19</v>
      </c>
    </row>
    <row r="88" spans="1:19">
      <c r="A88" s="674" t="str">
        <f>Sheet2!E68</f>
        <v>M084</v>
      </c>
      <c r="B88" s="3235">
        <f>Sheet2!F68</f>
        <v>32.58</v>
      </c>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ca="1" si="20"/>
        <v>5764</v>
      </c>
      <c r="S88" s="322">
        <f t="shared" ca="1" si="22"/>
        <v>19</v>
      </c>
    </row>
    <row r="89" spans="1:19">
      <c r="A89" s="674" t="str">
        <f>Sheet2!E69</f>
        <v>M085</v>
      </c>
      <c r="B89" s="3235">
        <f>Sheet2!F69</f>
        <v>32.58</v>
      </c>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ca="1" si="20"/>
        <v>5764</v>
      </c>
      <c r="S89" s="322">
        <f t="shared" ca="1" si="22"/>
        <v>19</v>
      </c>
    </row>
    <row r="90" spans="1:19">
      <c r="A90" s="674" t="str">
        <f>Sheet2!E70</f>
        <v>M091</v>
      </c>
      <c r="B90" s="3235">
        <f>Sheet2!F70</f>
        <v>32.58</v>
      </c>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ca="1" si="31">IF(B90="",0,ROUND($R$24*C90*E90*G90*I90*K90*M90*O90*Q90,0))</f>
        <v>5764</v>
      </c>
      <c r="S90" s="322">
        <f t="shared" ca="1" si="22"/>
        <v>19</v>
      </c>
    </row>
    <row r="91" spans="1:19">
      <c r="A91" s="674" t="str">
        <f>Sheet2!E71</f>
        <v>M094</v>
      </c>
      <c r="B91" s="3235">
        <f>Sheet2!F71</f>
        <v>32.58</v>
      </c>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ca="1" si="31"/>
        <v>5764</v>
      </c>
      <c r="S91" s="322">
        <f t="shared" ca="1" si="22"/>
        <v>19</v>
      </c>
    </row>
    <row r="92" spans="1:19">
      <c r="A92" s="674" t="str">
        <f>Sheet2!E72</f>
        <v>M095</v>
      </c>
      <c r="B92" s="3235">
        <f>Sheet2!F72</f>
        <v>32.58</v>
      </c>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ca="1" si="31"/>
        <v>5764</v>
      </c>
      <c r="S92" s="322">
        <f t="shared" ca="1" si="22"/>
        <v>19</v>
      </c>
    </row>
    <row r="93" spans="1:19">
      <c r="A93" s="674" t="str">
        <f>Sheet2!E73</f>
        <v>M097</v>
      </c>
      <c r="B93" s="3235">
        <f>Sheet2!F73</f>
        <v>32.58</v>
      </c>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ca="1" si="31"/>
        <v>5764</v>
      </c>
      <c r="S93" s="322">
        <f t="shared" ca="1" si="22"/>
        <v>19</v>
      </c>
    </row>
    <row r="94" spans="1:19">
      <c r="A94" s="674" t="str">
        <f>Sheet2!E74</f>
        <v>M099</v>
      </c>
      <c r="B94" s="3235">
        <f>Sheet2!F74</f>
        <v>32.58</v>
      </c>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ca="1" si="31"/>
        <v>5764</v>
      </c>
      <c r="S94" s="322">
        <f t="shared" ca="1" si="22"/>
        <v>19</v>
      </c>
    </row>
    <row r="95" spans="1:19">
      <c r="A95" s="674" t="str">
        <f>Sheet2!E75</f>
        <v>M100</v>
      </c>
      <c r="B95" s="3235">
        <f>Sheet2!F75</f>
        <v>32.58</v>
      </c>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ca="1" si="31"/>
        <v>5764</v>
      </c>
      <c r="S95" s="322">
        <f t="shared" ca="1" si="22"/>
        <v>19</v>
      </c>
    </row>
    <row r="96" spans="1:19">
      <c r="A96" s="674" t="str">
        <f>Sheet2!E76</f>
        <v>M103</v>
      </c>
      <c r="B96" s="3235">
        <f>Sheet2!F76</f>
        <v>32.58</v>
      </c>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ca="1" si="31"/>
        <v>5764</v>
      </c>
      <c r="S96" s="322">
        <f t="shared" ca="1" si="22"/>
        <v>19</v>
      </c>
    </row>
    <row r="97" spans="1:19">
      <c r="A97" s="674" t="str">
        <f>Sheet2!E77</f>
        <v>M109</v>
      </c>
      <c r="B97" s="3235">
        <f>Sheet2!F77</f>
        <v>32.58</v>
      </c>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ca="1" si="31"/>
        <v>5764</v>
      </c>
      <c r="S97" s="322">
        <f t="shared" ca="1" si="22"/>
        <v>19</v>
      </c>
    </row>
    <row r="98" spans="1:19">
      <c r="A98" s="674" t="str">
        <f>Sheet2!E78</f>
        <v>M111</v>
      </c>
      <c r="B98" s="3235">
        <f>Sheet2!F78</f>
        <v>33.93</v>
      </c>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ca="1" si="31"/>
        <v>5764</v>
      </c>
      <c r="S98" s="322">
        <f t="shared" ca="1" si="22"/>
        <v>20</v>
      </c>
    </row>
    <row r="99" spans="1:19">
      <c r="A99" s="674" t="str">
        <f>Sheet2!E79</f>
        <v>M112</v>
      </c>
      <c r="B99" s="3235">
        <f>Sheet2!F79</f>
        <v>33.93</v>
      </c>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ca="1" si="31"/>
        <v>5764</v>
      </c>
      <c r="S99" s="322">
        <f t="shared" ca="1" si="22"/>
        <v>20</v>
      </c>
    </row>
    <row r="100" spans="1:19">
      <c r="A100" s="674" t="str">
        <f>Sheet2!E80</f>
        <v>M113</v>
      </c>
      <c r="B100" s="3235">
        <f>Sheet2!F80</f>
        <v>33.93</v>
      </c>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ca="1" si="31"/>
        <v>5764</v>
      </c>
      <c r="S100" s="322">
        <f t="shared" ca="1" si="22"/>
        <v>20</v>
      </c>
    </row>
    <row r="101" spans="1:19">
      <c r="A101" s="674" t="str">
        <f>Sheet2!E81</f>
        <v>M114</v>
      </c>
      <c r="B101" s="3235">
        <f>Sheet2!F81</f>
        <v>33.93</v>
      </c>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ca="1" si="31"/>
        <v>5764</v>
      </c>
      <c r="S101" s="322">
        <f t="shared" ca="1" si="22"/>
        <v>20</v>
      </c>
    </row>
    <row r="102" spans="1:19">
      <c r="A102" s="674" t="str">
        <f>Sheet2!E82</f>
        <v>M115</v>
      </c>
      <c r="B102" s="3235">
        <f>Sheet2!F82</f>
        <v>33.93</v>
      </c>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ca="1" si="31"/>
        <v>5764</v>
      </c>
      <c r="S102" s="322">
        <f t="shared" ca="1" si="22"/>
        <v>20</v>
      </c>
    </row>
    <row r="103" spans="1:19">
      <c r="A103" s="674" t="str">
        <f>Sheet2!E83</f>
        <v>M116</v>
      </c>
      <c r="B103" s="3235">
        <f>Sheet2!F83</f>
        <v>33.93</v>
      </c>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ca="1" si="31"/>
        <v>5764</v>
      </c>
      <c r="S103" s="322">
        <f t="shared" ca="1" si="22"/>
        <v>20</v>
      </c>
    </row>
    <row r="104" spans="1:19">
      <c r="A104" s="674" t="str">
        <f>Sheet2!E84</f>
        <v>M124</v>
      </c>
      <c r="B104" s="3235">
        <f>Sheet2!F84</f>
        <v>33.93</v>
      </c>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ca="1" si="31"/>
        <v>5764</v>
      </c>
      <c r="S104" s="322">
        <f t="shared" ca="1" si="22"/>
        <v>20</v>
      </c>
    </row>
    <row r="105" spans="1:19">
      <c r="A105" s="674" t="str">
        <f>Sheet2!E85</f>
        <v>M125</v>
      </c>
      <c r="B105" s="3235">
        <f>Sheet2!F85</f>
        <v>33.93</v>
      </c>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ca="1" si="31"/>
        <v>5764</v>
      </c>
      <c r="S105" s="322">
        <f t="shared" ca="1" si="22"/>
        <v>20</v>
      </c>
    </row>
    <row r="106" spans="1:19">
      <c r="A106" s="674" t="str">
        <f>Sheet2!E86</f>
        <v>M126</v>
      </c>
      <c r="B106" s="3235">
        <f>Sheet2!F86</f>
        <v>33.93</v>
      </c>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ca="1" si="31"/>
        <v>5764</v>
      </c>
      <c r="S106" s="322">
        <f t="shared" ca="1" si="22"/>
        <v>20</v>
      </c>
    </row>
    <row r="107" spans="1:19">
      <c r="A107" s="674" t="str">
        <f>Sheet2!E87</f>
        <v>M131</v>
      </c>
      <c r="B107" s="3235">
        <f>Sheet2!F87</f>
        <v>33.93</v>
      </c>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ca="1" si="31"/>
        <v>5764</v>
      </c>
      <c r="S107" s="322">
        <f t="shared" ca="1" si="22"/>
        <v>20</v>
      </c>
    </row>
    <row r="108" spans="1:19">
      <c r="A108" s="674" t="str">
        <f>Sheet2!E88</f>
        <v>M132</v>
      </c>
      <c r="B108" s="3235">
        <f>Sheet2!F88</f>
        <v>33.93</v>
      </c>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ca="1" si="31"/>
        <v>5764</v>
      </c>
      <c r="S108" s="322">
        <f t="shared" ca="1" si="22"/>
        <v>20</v>
      </c>
    </row>
    <row r="109" spans="1:19">
      <c r="A109" s="674" t="str">
        <f>Sheet2!E89</f>
        <v>M133</v>
      </c>
      <c r="B109" s="3235">
        <f>Sheet2!F89</f>
        <v>33.93</v>
      </c>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ca="1" si="31"/>
        <v>5764</v>
      </c>
      <c r="S109" s="322">
        <f t="shared" ca="1" si="22"/>
        <v>20</v>
      </c>
    </row>
    <row r="110" spans="1:19">
      <c r="A110" s="674" t="str">
        <f>Sheet2!E90</f>
        <v>N001</v>
      </c>
      <c r="B110" s="3235">
        <f>Sheet2!F90</f>
        <v>33.36</v>
      </c>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ca="1" si="31"/>
        <v>5764</v>
      </c>
      <c r="S110" s="322">
        <f t="shared" ca="1" si="22"/>
        <v>19</v>
      </c>
    </row>
    <row r="111" spans="1:19">
      <c r="A111" s="674" t="str">
        <f>Sheet2!E91</f>
        <v>N003</v>
      </c>
      <c r="B111" s="3235">
        <f>Sheet2!F91</f>
        <v>33.36</v>
      </c>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ca="1" si="31"/>
        <v>5764</v>
      </c>
      <c r="S111" s="322">
        <f t="shared" ca="1" si="22"/>
        <v>19</v>
      </c>
    </row>
    <row r="112" spans="1:19">
      <c r="A112" s="674" t="str">
        <f>Sheet2!E92</f>
        <v>N020</v>
      </c>
      <c r="B112" s="3235">
        <f>Sheet2!F92</f>
        <v>32.020000000000003</v>
      </c>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ca="1" si="31"/>
        <v>5764</v>
      </c>
      <c r="S112" s="322">
        <f t="shared" ca="1" si="22"/>
        <v>18</v>
      </c>
    </row>
    <row r="113" spans="1:19">
      <c r="A113" s="674" t="str">
        <f>Sheet2!E93</f>
        <v>N023</v>
      </c>
      <c r="B113" s="3235">
        <f>Sheet2!F93</f>
        <v>32.020000000000003</v>
      </c>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ca="1" si="31"/>
        <v>5764</v>
      </c>
      <c r="S113" s="322">
        <f t="shared" ca="1" si="22"/>
        <v>18</v>
      </c>
    </row>
    <row r="114" spans="1:19">
      <c r="A114" s="674" t="str">
        <f>Sheet2!E94</f>
        <v>N068</v>
      </c>
      <c r="B114" s="3235">
        <f>Sheet2!F94</f>
        <v>32.020000000000003</v>
      </c>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ca="1" si="31"/>
        <v>5764</v>
      </c>
      <c r="S114" s="322">
        <f t="shared" ca="1" si="22"/>
        <v>18</v>
      </c>
    </row>
    <row r="115" spans="1:19">
      <c r="A115" s="674" t="str">
        <f>Sheet2!E95</f>
        <v>N074</v>
      </c>
      <c r="B115" s="3235">
        <f>Sheet2!F95</f>
        <v>32.020000000000003</v>
      </c>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ca="1" si="31"/>
        <v>5764</v>
      </c>
      <c r="S115" s="322">
        <f t="shared" ca="1" si="22"/>
        <v>18</v>
      </c>
    </row>
    <row r="116" spans="1:19">
      <c r="A116" s="674" t="str">
        <f>Sheet2!E96</f>
        <v>N077</v>
      </c>
      <c r="B116" s="3235">
        <f>Sheet2!F96</f>
        <v>32.020000000000003</v>
      </c>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ca="1" si="31"/>
        <v>5764</v>
      </c>
      <c r="S116" s="322">
        <f t="shared" ca="1" si="22"/>
        <v>18</v>
      </c>
    </row>
    <row r="117" spans="1:19">
      <c r="A117" s="674" t="str">
        <f>Sheet2!E97</f>
        <v>N078</v>
      </c>
      <c r="B117" s="3235">
        <f>Sheet2!F97</f>
        <v>32.020000000000003</v>
      </c>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ca="1" si="31"/>
        <v>5764</v>
      </c>
      <c r="S117" s="322">
        <f t="shared" ca="1" si="22"/>
        <v>18</v>
      </c>
    </row>
    <row r="118" spans="1:19">
      <c r="A118" s="674" t="str">
        <f>Sheet2!E98</f>
        <v>N081</v>
      </c>
      <c r="B118" s="3235">
        <f>Sheet2!F98</f>
        <v>32.020000000000003</v>
      </c>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ca="1" si="31"/>
        <v>5764</v>
      </c>
      <c r="S118" s="322">
        <f t="shared" ca="1" si="22"/>
        <v>18</v>
      </c>
    </row>
    <row r="119" spans="1:19">
      <c r="A119" s="674" t="str">
        <f>Sheet2!E99</f>
        <v>N091</v>
      </c>
      <c r="B119" s="3235">
        <f>Sheet2!F99</f>
        <v>32.020000000000003</v>
      </c>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ca="1" si="31"/>
        <v>5764</v>
      </c>
      <c r="S119" s="322">
        <f t="shared" ca="1" si="22"/>
        <v>18</v>
      </c>
    </row>
    <row r="120" spans="1:19">
      <c r="A120" s="674" t="str">
        <f>Sheet2!E100</f>
        <v>N092</v>
      </c>
      <c r="B120" s="3235">
        <f>Sheet2!F100</f>
        <v>32.020000000000003</v>
      </c>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ca="1" si="31"/>
        <v>5764</v>
      </c>
      <c r="S120" s="322">
        <f t="shared" ca="1" si="22"/>
        <v>18</v>
      </c>
    </row>
    <row r="121" spans="1:19">
      <c r="A121" s="674" t="str">
        <f>Sheet2!E101</f>
        <v>P002</v>
      </c>
      <c r="B121" s="3235">
        <f>Sheet2!F101</f>
        <v>33.36</v>
      </c>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ca="1" si="31"/>
        <v>5764</v>
      </c>
      <c r="S121" s="322">
        <f t="shared" ca="1" si="22"/>
        <v>19</v>
      </c>
    </row>
    <row r="122" spans="1:19">
      <c r="A122" s="674" t="str">
        <f>Sheet2!E102</f>
        <v>P003</v>
      </c>
      <c r="B122" s="3235">
        <f>Sheet2!F102</f>
        <v>33.36</v>
      </c>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ca="1" si="31"/>
        <v>5764</v>
      </c>
      <c r="S122" s="322">
        <f t="shared" ca="1" si="22"/>
        <v>19</v>
      </c>
    </row>
    <row r="123" spans="1:19">
      <c r="A123" s="674" t="str">
        <f>Sheet2!E103</f>
        <v>P004</v>
      </c>
      <c r="B123" s="3235">
        <f>Sheet2!F103</f>
        <v>33.36</v>
      </c>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ca="1" si="31"/>
        <v>5764</v>
      </c>
      <c r="S123" s="322">
        <f t="shared" ref="S123:S186" ca="1" si="32">ROUND(R123*B123/10000,0)</f>
        <v>19</v>
      </c>
    </row>
    <row r="124" spans="1:19">
      <c r="A124" s="674" t="str">
        <f>Sheet2!E104</f>
        <v>P031</v>
      </c>
      <c r="B124" s="3235">
        <f>Sheet2!F104</f>
        <v>32.020000000000003</v>
      </c>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ca="1" si="31"/>
        <v>5764</v>
      </c>
      <c r="S124" s="322">
        <f t="shared" ca="1" si="32"/>
        <v>18</v>
      </c>
    </row>
    <row r="125" spans="1:19">
      <c r="A125" s="674" t="str">
        <f>Sheet2!E105</f>
        <v>P033</v>
      </c>
      <c r="B125" s="3235">
        <f>Sheet2!F105</f>
        <v>32.020000000000003</v>
      </c>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ca="1" si="31"/>
        <v>5764</v>
      </c>
      <c r="S125" s="322">
        <f t="shared" ca="1" si="32"/>
        <v>18</v>
      </c>
    </row>
    <row r="126" spans="1:19">
      <c r="A126" s="674" t="str">
        <f>Sheet2!E106</f>
        <v>P034</v>
      </c>
      <c r="B126" s="3235">
        <f>Sheet2!F106</f>
        <v>32.020000000000003</v>
      </c>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ca="1" si="31"/>
        <v>5764</v>
      </c>
      <c r="S126" s="322">
        <f t="shared" ca="1" si="32"/>
        <v>18</v>
      </c>
    </row>
    <row r="127" spans="1:19">
      <c r="A127" s="674" t="str">
        <f>Sheet2!E107</f>
        <v>P044</v>
      </c>
      <c r="B127" s="3235">
        <f>Sheet2!F107</f>
        <v>32.020000000000003</v>
      </c>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ca="1" si="31"/>
        <v>5764</v>
      </c>
      <c r="S127" s="322">
        <f t="shared" ca="1" si="32"/>
        <v>18</v>
      </c>
    </row>
    <row r="128" spans="1:19">
      <c r="A128" s="674" t="str">
        <f>Sheet2!E108</f>
        <v>P045</v>
      </c>
      <c r="B128" s="3235">
        <f>Sheet2!F108</f>
        <v>32.020000000000003</v>
      </c>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ca="1" si="31"/>
        <v>5764</v>
      </c>
      <c r="S128" s="322">
        <f t="shared" ca="1" si="32"/>
        <v>18</v>
      </c>
    </row>
    <row r="129" spans="1:19">
      <c r="A129" s="674" t="str">
        <f>Sheet2!E109</f>
        <v>P046</v>
      </c>
      <c r="B129" s="3235">
        <f>Sheet2!F109</f>
        <v>32.020000000000003</v>
      </c>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ca="1" si="31"/>
        <v>5764</v>
      </c>
      <c r="S129" s="322">
        <f t="shared" ca="1" si="32"/>
        <v>18</v>
      </c>
    </row>
    <row r="130" spans="1:19">
      <c r="A130" s="674" t="str">
        <f>Sheet2!E110</f>
        <v>P051</v>
      </c>
      <c r="B130" s="3235">
        <f>Sheet2!F110</f>
        <v>32.020000000000003</v>
      </c>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ca="1" si="31"/>
        <v>5764</v>
      </c>
      <c r="S130" s="322">
        <f t="shared" ca="1" si="32"/>
        <v>18</v>
      </c>
    </row>
    <row r="131" spans="1:19">
      <c r="A131" s="674" t="str">
        <f>Sheet2!E111</f>
        <v>P061</v>
      </c>
      <c r="B131" s="3235">
        <f>Sheet2!F111</f>
        <v>32.020000000000003</v>
      </c>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ca="1" si="31"/>
        <v>5764</v>
      </c>
      <c r="S131" s="322">
        <f t="shared" ca="1" si="32"/>
        <v>18</v>
      </c>
    </row>
    <row r="132" spans="1:19">
      <c r="A132" s="674" t="str">
        <f>Sheet2!E112</f>
        <v>P062</v>
      </c>
      <c r="B132" s="3235">
        <f>Sheet2!F112</f>
        <v>32.020000000000003</v>
      </c>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ca="1" si="31"/>
        <v>5764</v>
      </c>
      <c r="S132" s="322">
        <f t="shared" ca="1" si="32"/>
        <v>18</v>
      </c>
    </row>
    <row r="133" spans="1:19">
      <c r="A133" s="674" t="str">
        <f>Sheet2!E113</f>
        <v>P063</v>
      </c>
      <c r="B133" s="3235">
        <f>Sheet2!F113</f>
        <v>32.020000000000003</v>
      </c>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ca="1" si="31"/>
        <v>5764</v>
      </c>
      <c r="S133" s="322">
        <f t="shared" ca="1" si="32"/>
        <v>18</v>
      </c>
    </row>
    <row r="134" spans="1:19">
      <c r="A134" s="674" t="str">
        <f>Sheet2!E114</f>
        <v>P066</v>
      </c>
      <c r="B134" s="3235">
        <f>Sheet2!F114</f>
        <v>32.020000000000003</v>
      </c>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ca="1" si="31"/>
        <v>5764</v>
      </c>
      <c r="S134" s="322">
        <f t="shared" ca="1" si="32"/>
        <v>18</v>
      </c>
    </row>
    <row r="135" spans="1:19">
      <c r="A135" s="674" t="str">
        <f>Sheet2!E115</f>
        <v>P069</v>
      </c>
      <c r="B135" s="3235">
        <f>Sheet2!F115</f>
        <v>32.020000000000003</v>
      </c>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ca="1" si="31"/>
        <v>5764</v>
      </c>
      <c r="S135" s="322">
        <f t="shared" ca="1" si="32"/>
        <v>18</v>
      </c>
    </row>
    <row r="136" spans="1:19">
      <c r="A136" s="674" t="str">
        <f>Sheet2!E116</f>
        <v>P074</v>
      </c>
      <c r="B136" s="3235">
        <f>Sheet2!F116</f>
        <v>32.020000000000003</v>
      </c>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ca="1" si="31"/>
        <v>5764</v>
      </c>
      <c r="S136" s="322">
        <f t="shared" ca="1" si="32"/>
        <v>18</v>
      </c>
    </row>
    <row r="137" spans="1:19">
      <c r="A137" s="674" t="str">
        <f>Sheet2!E117</f>
        <v>P075</v>
      </c>
      <c r="B137" s="3235">
        <f>Sheet2!F117</f>
        <v>32.020000000000003</v>
      </c>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ca="1" si="31"/>
        <v>5764</v>
      </c>
      <c r="S137" s="322">
        <f t="shared" ca="1" si="32"/>
        <v>18</v>
      </c>
    </row>
    <row r="138" spans="1:19">
      <c r="A138" s="674" t="str">
        <f>Sheet2!E118</f>
        <v>P076</v>
      </c>
      <c r="B138" s="3235">
        <f>Sheet2!F118</f>
        <v>32.020000000000003</v>
      </c>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ca="1" si="31"/>
        <v>5764</v>
      </c>
      <c r="S138" s="322">
        <f t="shared" ca="1" si="32"/>
        <v>18</v>
      </c>
    </row>
    <row r="139" spans="1:19">
      <c r="A139" s="674" t="str">
        <f>Sheet2!E119</f>
        <v>P077</v>
      </c>
      <c r="B139" s="3235">
        <f>Sheet2!F119</f>
        <v>32.020000000000003</v>
      </c>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ca="1" si="31"/>
        <v>5764</v>
      </c>
      <c r="S139" s="322">
        <f t="shared" ca="1" si="32"/>
        <v>18</v>
      </c>
    </row>
    <row r="140" spans="1:19">
      <c r="A140" s="674" t="str">
        <f>Sheet2!E120</f>
        <v>P078</v>
      </c>
      <c r="B140" s="3235">
        <f>Sheet2!F120</f>
        <v>32.020000000000003</v>
      </c>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ca="1" si="31"/>
        <v>5764</v>
      </c>
      <c r="S140" s="322">
        <f t="shared" ca="1" si="32"/>
        <v>18</v>
      </c>
    </row>
    <row r="141" spans="1:19">
      <c r="A141" s="674" t="str">
        <f>Sheet2!E121</f>
        <v>P079</v>
      </c>
      <c r="B141" s="3235">
        <f>Sheet2!F121</f>
        <v>32.020000000000003</v>
      </c>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ca="1" si="31"/>
        <v>5764</v>
      </c>
      <c r="S141" s="322">
        <f t="shared" ca="1" si="32"/>
        <v>18</v>
      </c>
    </row>
    <row r="142" spans="1:19">
      <c r="A142" s="674" t="str">
        <f>Sheet2!E122</f>
        <v>P080</v>
      </c>
      <c r="B142" s="3235">
        <f>Sheet2!F122</f>
        <v>32.020000000000003</v>
      </c>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ca="1" si="31"/>
        <v>5764</v>
      </c>
      <c r="S142" s="322">
        <f t="shared" ca="1" si="32"/>
        <v>18</v>
      </c>
    </row>
    <row r="143" spans="1:19">
      <c r="A143" s="674" t="str">
        <f>Sheet2!E123</f>
        <v>P081</v>
      </c>
      <c r="B143" s="3235">
        <f>Sheet2!F123</f>
        <v>32.020000000000003</v>
      </c>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ca="1" si="31"/>
        <v>5764</v>
      </c>
      <c r="S143" s="322">
        <f t="shared" ca="1" si="32"/>
        <v>18</v>
      </c>
    </row>
    <row r="144" spans="1:19">
      <c r="A144" s="674" t="str">
        <f>Sheet2!E124</f>
        <v>P082</v>
      </c>
      <c r="B144" s="3235">
        <f>Sheet2!F124</f>
        <v>32.020000000000003</v>
      </c>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ca="1" si="31"/>
        <v>5764</v>
      </c>
      <c r="S144" s="322">
        <f t="shared" ca="1" si="32"/>
        <v>18</v>
      </c>
    </row>
    <row r="145" spans="1:19">
      <c r="A145" s="674" t="str">
        <f>Sheet2!E125</f>
        <v>P083</v>
      </c>
      <c r="B145" s="3235">
        <f>Sheet2!F125</f>
        <v>32.020000000000003</v>
      </c>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ca="1" si="31"/>
        <v>5764</v>
      </c>
      <c r="S145" s="322">
        <f t="shared" ca="1" si="32"/>
        <v>18</v>
      </c>
    </row>
    <row r="146" spans="1:19">
      <c r="A146" s="674" t="str">
        <f>Sheet2!E126</f>
        <v>P084</v>
      </c>
      <c r="B146" s="3235">
        <f>Sheet2!F126</f>
        <v>32.020000000000003</v>
      </c>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ca="1" si="31"/>
        <v>5764</v>
      </c>
      <c r="S146" s="322">
        <f t="shared" ca="1" si="32"/>
        <v>18</v>
      </c>
    </row>
    <row r="147" spans="1:19">
      <c r="A147" s="674" t="str">
        <f>Sheet2!E127</f>
        <v>P086</v>
      </c>
      <c r="B147" s="3235">
        <f>Sheet2!F127</f>
        <v>32.020000000000003</v>
      </c>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ca="1" si="31"/>
        <v>5764</v>
      </c>
      <c r="S147" s="322">
        <f t="shared" ca="1" si="32"/>
        <v>18</v>
      </c>
    </row>
    <row r="148" spans="1:19">
      <c r="A148" s="674" t="str">
        <f>Sheet2!E128</f>
        <v>P087</v>
      </c>
      <c r="B148" s="3235">
        <f>Sheet2!F128</f>
        <v>32.020000000000003</v>
      </c>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ca="1" si="31"/>
        <v>5764</v>
      </c>
      <c r="S148" s="322">
        <f t="shared" ca="1" si="32"/>
        <v>18</v>
      </c>
    </row>
    <row r="149" spans="1:19">
      <c r="A149" s="674" t="str">
        <f>Sheet2!E129</f>
        <v>P089</v>
      </c>
      <c r="B149" s="3235">
        <f>Sheet2!F129</f>
        <v>32.020000000000003</v>
      </c>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ca="1" si="31"/>
        <v>5764</v>
      </c>
      <c r="S149" s="322">
        <f t="shared" ca="1" si="32"/>
        <v>18</v>
      </c>
    </row>
    <row r="150" spans="1:19">
      <c r="A150" s="674" t="str">
        <f>Sheet2!E130</f>
        <v>P090</v>
      </c>
      <c r="B150" s="3235">
        <f>Sheet2!F130</f>
        <v>32.020000000000003</v>
      </c>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ca="1" si="31"/>
        <v>5764</v>
      </c>
      <c r="S150" s="322">
        <f t="shared" ca="1" si="32"/>
        <v>18</v>
      </c>
    </row>
    <row r="151" spans="1:19">
      <c r="A151" s="674" t="str">
        <f>Sheet2!E131</f>
        <v>P091</v>
      </c>
      <c r="B151" s="3235">
        <f>Sheet2!F131</f>
        <v>32.020000000000003</v>
      </c>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ca="1" si="31"/>
        <v>5764</v>
      </c>
      <c r="S151" s="322">
        <f t="shared" ca="1" si="32"/>
        <v>18</v>
      </c>
    </row>
    <row r="152" spans="1:19">
      <c r="A152" s="674" t="str">
        <f>Sheet2!E132</f>
        <v>P093</v>
      </c>
      <c r="B152" s="3235">
        <f>Sheet2!F132</f>
        <v>32.020000000000003</v>
      </c>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ca="1" si="31"/>
        <v>5764</v>
      </c>
      <c r="S152" s="322">
        <f t="shared" ca="1" si="32"/>
        <v>18</v>
      </c>
    </row>
    <row r="153" spans="1:19">
      <c r="A153" s="674" t="str">
        <f>Sheet2!E133</f>
        <v>P094</v>
      </c>
      <c r="B153" s="3235">
        <f>Sheet2!F133</f>
        <v>32.020000000000003</v>
      </c>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ca="1" si="31"/>
        <v>5764</v>
      </c>
      <c r="S153" s="322">
        <f t="shared" ca="1" si="32"/>
        <v>18</v>
      </c>
    </row>
    <row r="154" spans="1:19">
      <c r="A154" s="674" t="str">
        <f>Sheet2!E134</f>
        <v>P096</v>
      </c>
      <c r="B154" s="3235">
        <f>Sheet2!F134</f>
        <v>32.020000000000003</v>
      </c>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ca="1" si="41">IF(B154="",0,ROUND($R$24*C154*E154*G154*I154*K154*M154*O154*Q154,0))</f>
        <v>5764</v>
      </c>
      <c r="S154" s="322">
        <f t="shared" ca="1" si="32"/>
        <v>18</v>
      </c>
    </row>
    <row r="155" spans="1:19">
      <c r="A155" s="674" t="str">
        <f>Sheet2!E135</f>
        <v>P099</v>
      </c>
      <c r="B155" s="3235">
        <f>Sheet2!F135</f>
        <v>32.020000000000003</v>
      </c>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ca="1" si="41"/>
        <v>5764</v>
      </c>
      <c r="S155" s="322">
        <f t="shared" ca="1" si="32"/>
        <v>18</v>
      </c>
    </row>
    <row r="156" spans="1:19">
      <c r="A156" s="674" t="str">
        <f>Sheet2!E136</f>
        <v>P103</v>
      </c>
      <c r="B156" s="3235">
        <f>Sheet2!F136</f>
        <v>32.020000000000003</v>
      </c>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ca="1" si="41"/>
        <v>5764</v>
      </c>
      <c r="S156" s="322">
        <f t="shared" ca="1" si="32"/>
        <v>18</v>
      </c>
    </row>
    <row r="157" spans="1:19">
      <c r="A157" s="674" t="str">
        <f>Sheet2!E137</f>
        <v>P104</v>
      </c>
      <c r="B157" s="3235">
        <f>Sheet2!F137</f>
        <v>32.020000000000003</v>
      </c>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ca="1" si="41"/>
        <v>5764</v>
      </c>
      <c r="S157" s="322">
        <f t="shared" ca="1" si="32"/>
        <v>18</v>
      </c>
    </row>
    <row r="158" spans="1:19">
      <c r="A158" s="674" t="str">
        <f>Sheet2!E138</f>
        <v>P105</v>
      </c>
      <c r="B158" s="3235">
        <f>Sheet2!F138</f>
        <v>32.020000000000003</v>
      </c>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ca="1" si="41"/>
        <v>5764</v>
      </c>
      <c r="S158" s="322">
        <f t="shared" ca="1" si="32"/>
        <v>18</v>
      </c>
    </row>
    <row r="159" spans="1:19">
      <c r="A159" s="674" t="str">
        <f>Sheet2!E139</f>
        <v>P108</v>
      </c>
      <c r="B159" s="3235">
        <f>Sheet2!F139</f>
        <v>32.020000000000003</v>
      </c>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ca="1" si="41"/>
        <v>5764</v>
      </c>
      <c r="S159" s="322">
        <f t="shared" ca="1" si="32"/>
        <v>18</v>
      </c>
    </row>
    <row r="160" spans="1:19">
      <c r="A160" s="674" t="str">
        <f>Sheet2!E140</f>
        <v>P109</v>
      </c>
      <c r="B160" s="3235">
        <f>Sheet2!F140</f>
        <v>32.020000000000003</v>
      </c>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ca="1" si="41"/>
        <v>5764</v>
      </c>
      <c r="S160" s="322">
        <f t="shared" ca="1" si="32"/>
        <v>18</v>
      </c>
    </row>
    <row r="161" spans="1:19">
      <c r="A161" s="674" t="str">
        <f>Sheet2!E141</f>
        <v>P110</v>
      </c>
      <c r="B161" s="3235">
        <f>Sheet2!F141</f>
        <v>32.020000000000003</v>
      </c>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ca="1" si="41"/>
        <v>5764</v>
      </c>
      <c r="S161" s="322">
        <f t="shared" ca="1" si="32"/>
        <v>18</v>
      </c>
    </row>
    <row r="162" spans="1:19">
      <c r="A162" s="674" t="str">
        <f>Sheet2!E142</f>
        <v>P111</v>
      </c>
      <c r="B162" s="3235">
        <f>Sheet2!F142</f>
        <v>32.020000000000003</v>
      </c>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ca="1" si="41"/>
        <v>5764</v>
      </c>
      <c r="S162" s="322">
        <f t="shared" ca="1" si="32"/>
        <v>18</v>
      </c>
    </row>
    <row r="163" spans="1:19">
      <c r="A163" s="674" t="str">
        <f>Sheet2!E143</f>
        <v>P112</v>
      </c>
      <c r="B163" s="3235">
        <f>Sheet2!F143</f>
        <v>32.020000000000003</v>
      </c>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ca="1" si="41"/>
        <v>5764</v>
      </c>
      <c r="S163" s="322">
        <f t="shared" ca="1" si="32"/>
        <v>18</v>
      </c>
    </row>
    <row r="164" spans="1:19">
      <c r="A164" s="674" t="str">
        <f>Sheet2!E144</f>
        <v>P113</v>
      </c>
      <c r="B164" s="3235">
        <f>Sheet2!F144</f>
        <v>32.020000000000003</v>
      </c>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ca="1" si="41"/>
        <v>5764</v>
      </c>
      <c r="S164" s="322">
        <f t="shared" ca="1" si="32"/>
        <v>18</v>
      </c>
    </row>
    <row r="165" spans="1:19">
      <c r="A165" s="674" t="str">
        <f>Sheet2!E145</f>
        <v>P114</v>
      </c>
      <c r="B165" s="3235">
        <f>Sheet2!F145</f>
        <v>32.020000000000003</v>
      </c>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ca="1" si="41"/>
        <v>5764</v>
      </c>
      <c r="S165" s="322">
        <f t="shared" ca="1" si="32"/>
        <v>18</v>
      </c>
    </row>
    <row r="166" spans="1:19">
      <c r="A166" s="674" t="str">
        <f>Sheet2!E146</f>
        <v>P115</v>
      </c>
      <c r="B166" s="3235">
        <f>Sheet2!F146</f>
        <v>32.020000000000003</v>
      </c>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ca="1" si="41"/>
        <v>5764</v>
      </c>
      <c r="S166" s="322">
        <f t="shared" ca="1" si="32"/>
        <v>18</v>
      </c>
    </row>
    <row r="167" spans="1:19">
      <c r="A167" s="674" t="str">
        <f>Sheet2!E147</f>
        <v>P116</v>
      </c>
      <c r="B167" s="3235">
        <f>Sheet2!F147</f>
        <v>32.020000000000003</v>
      </c>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ca="1" si="41"/>
        <v>5764</v>
      </c>
      <c r="S167" s="322">
        <f t="shared" ca="1" si="32"/>
        <v>18</v>
      </c>
    </row>
    <row r="168" spans="1:19">
      <c r="A168" s="674" t="str">
        <f>Sheet2!E148</f>
        <v>P117</v>
      </c>
      <c r="B168" s="3235">
        <f>Sheet2!F148</f>
        <v>32.020000000000003</v>
      </c>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ca="1" si="41"/>
        <v>5764</v>
      </c>
      <c r="S168" s="322">
        <f t="shared" ca="1" si="32"/>
        <v>18</v>
      </c>
    </row>
    <row r="169" spans="1:19">
      <c r="A169" s="674" t="str">
        <f>Sheet2!E149</f>
        <v>P118</v>
      </c>
      <c r="B169" s="3235">
        <f>Sheet2!F149</f>
        <v>32.020000000000003</v>
      </c>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ca="1" si="41"/>
        <v>5764</v>
      </c>
      <c r="S169" s="322">
        <f t="shared" ca="1" si="32"/>
        <v>18</v>
      </c>
    </row>
    <row r="170" spans="1:19">
      <c r="A170" s="674" t="str">
        <f>Sheet2!E150</f>
        <v>P119</v>
      </c>
      <c r="B170" s="3235">
        <f>Sheet2!F150</f>
        <v>32.020000000000003</v>
      </c>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ca="1" si="41"/>
        <v>5764</v>
      </c>
      <c r="S170" s="322">
        <f t="shared" ca="1" si="32"/>
        <v>18</v>
      </c>
    </row>
    <row r="171" spans="1:19">
      <c r="A171" s="674" t="str">
        <f>Sheet2!E151</f>
        <v>P120</v>
      </c>
      <c r="B171" s="3235">
        <f>Sheet2!F151</f>
        <v>32.020000000000003</v>
      </c>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ca="1" si="41"/>
        <v>5764</v>
      </c>
      <c r="S171" s="322">
        <f t="shared" ca="1" si="32"/>
        <v>18</v>
      </c>
    </row>
    <row r="172" spans="1:19">
      <c r="A172" s="674" t="str">
        <f>Sheet2!E152</f>
        <v>P121</v>
      </c>
      <c r="B172" s="3235">
        <f>Sheet2!F152</f>
        <v>32.020000000000003</v>
      </c>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ca="1" si="41"/>
        <v>5764</v>
      </c>
      <c r="S172" s="322">
        <f t="shared" ca="1" si="32"/>
        <v>18</v>
      </c>
    </row>
    <row r="173" spans="1:19">
      <c r="A173" s="674" t="str">
        <f>Sheet2!E153</f>
        <v>Q001</v>
      </c>
      <c r="B173" s="3235">
        <f>Sheet2!F153</f>
        <v>33.36</v>
      </c>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ca="1" si="41"/>
        <v>5764</v>
      </c>
      <c r="S173" s="322">
        <f t="shared" ca="1" si="32"/>
        <v>19</v>
      </c>
    </row>
    <row r="174" spans="1:19">
      <c r="A174" s="674" t="str">
        <f>Sheet2!E154</f>
        <v>Q002</v>
      </c>
      <c r="B174" s="3235">
        <f>Sheet2!F154</f>
        <v>33.36</v>
      </c>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ca="1" si="41"/>
        <v>5764</v>
      </c>
      <c r="S174" s="322">
        <f t="shared" ca="1" si="32"/>
        <v>19</v>
      </c>
    </row>
    <row r="175" spans="1:19">
      <c r="A175" s="674" t="str">
        <f>Sheet2!E155</f>
        <v>Q003</v>
      </c>
      <c r="B175" s="3235">
        <f>Sheet2!F155</f>
        <v>33.36</v>
      </c>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ca="1" si="41"/>
        <v>5764</v>
      </c>
      <c r="S175" s="322">
        <f t="shared" ca="1" si="32"/>
        <v>19</v>
      </c>
    </row>
    <row r="176" spans="1:19">
      <c r="A176" s="674" t="str">
        <f>Sheet2!E156</f>
        <v>Q024</v>
      </c>
      <c r="B176" s="3235">
        <f>Sheet2!F156</f>
        <v>32.020000000000003</v>
      </c>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ca="1" si="41"/>
        <v>5764</v>
      </c>
      <c r="S176" s="322">
        <f t="shared" ca="1" si="32"/>
        <v>18</v>
      </c>
    </row>
    <row r="177" spans="1:19">
      <c r="A177" s="674" t="str">
        <f>Sheet2!E157</f>
        <v>Q026</v>
      </c>
      <c r="B177" s="3235">
        <f>Sheet2!F157</f>
        <v>32.020000000000003</v>
      </c>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ca="1" si="41"/>
        <v>5764</v>
      </c>
      <c r="S177" s="322">
        <f t="shared" ca="1" si="32"/>
        <v>18</v>
      </c>
    </row>
    <row r="178" spans="1:19">
      <c r="A178" s="674" t="str">
        <f>Sheet2!E158</f>
        <v>Q035</v>
      </c>
      <c r="B178" s="3235">
        <f>Sheet2!F158</f>
        <v>32.020000000000003</v>
      </c>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ca="1" si="41"/>
        <v>5764</v>
      </c>
      <c r="S178" s="322">
        <f t="shared" ca="1" si="32"/>
        <v>18</v>
      </c>
    </row>
    <row r="179" spans="1:19">
      <c r="A179" s="674" t="str">
        <f>Sheet2!E159</f>
        <v>Q041</v>
      </c>
      <c r="B179" s="3235">
        <f>Sheet2!F159</f>
        <v>32.020000000000003</v>
      </c>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ca="1" si="41"/>
        <v>5764</v>
      </c>
      <c r="S179" s="322">
        <f t="shared" ca="1" si="32"/>
        <v>18</v>
      </c>
    </row>
    <row r="180" spans="1:19">
      <c r="A180" s="674" t="str">
        <f>Sheet2!E160</f>
        <v>Q042</v>
      </c>
      <c r="B180" s="3235">
        <f>Sheet2!F160</f>
        <v>32.020000000000003</v>
      </c>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ca="1" si="41"/>
        <v>5764</v>
      </c>
      <c r="S180" s="322">
        <f t="shared" ca="1" si="32"/>
        <v>18</v>
      </c>
    </row>
    <row r="181" spans="1:19">
      <c r="A181" s="674" t="str">
        <f>Sheet2!E161</f>
        <v>Q044</v>
      </c>
      <c r="B181" s="3235">
        <f>Sheet2!F161</f>
        <v>32.020000000000003</v>
      </c>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ca="1" si="41"/>
        <v>5764</v>
      </c>
      <c r="S181" s="322">
        <f t="shared" ca="1" si="32"/>
        <v>18</v>
      </c>
    </row>
    <row r="182" spans="1:19">
      <c r="A182" s="674" t="str">
        <f>Sheet2!E162</f>
        <v>Q046</v>
      </c>
      <c r="B182" s="3235">
        <f>Sheet2!F162</f>
        <v>32.020000000000003</v>
      </c>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ca="1" si="41"/>
        <v>5764</v>
      </c>
      <c r="S182" s="322">
        <f t="shared" ca="1" si="32"/>
        <v>18</v>
      </c>
    </row>
    <row r="183" spans="1:19">
      <c r="A183" s="674" t="str">
        <f>Sheet2!E163</f>
        <v>Q054</v>
      </c>
      <c r="B183" s="3235">
        <f>Sheet2!F163</f>
        <v>32.020000000000003</v>
      </c>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ca="1" si="41"/>
        <v>5764</v>
      </c>
      <c r="S183" s="322">
        <f t="shared" ca="1" si="32"/>
        <v>18</v>
      </c>
    </row>
    <row r="184" spans="1:19">
      <c r="A184" s="674" t="str">
        <f>Sheet2!E164</f>
        <v>Q060</v>
      </c>
      <c r="B184" s="3235">
        <f>Sheet2!F164</f>
        <v>32.020000000000003</v>
      </c>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ca="1" si="41"/>
        <v>5764</v>
      </c>
      <c r="S184" s="322">
        <f t="shared" ca="1" si="32"/>
        <v>18</v>
      </c>
    </row>
    <row r="185" spans="1:19">
      <c r="A185" s="674" t="str">
        <f>Sheet2!E165</f>
        <v>Q062</v>
      </c>
      <c r="B185" s="3235">
        <f>Sheet2!F165</f>
        <v>32.020000000000003</v>
      </c>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ca="1" si="41"/>
        <v>5764</v>
      </c>
      <c r="S185" s="322">
        <f t="shared" ca="1" si="32"/>
        <v>18</v>
      </c>
    </row>
    <row r="186" spans="1:19">
      <c r="A186" s="674" t="str">
        <f>Sheet2!E166</f>
        <v>Q069</v>
      </c>
      <c r="B186" s="3235">
        <f>Sheet2!F166</f>
        <v>32.020000000000003</v>
      </c>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ca="1" si="41"/>
        <v>5764</v>
      </c>
      <c r="S186" s="322">
        <f t="shared" ca="1" si="32"/>
        <v>18</v>
      </c>
    </row>
    <row r="187" spans="1:19">
      <c r="A187" s="674" t="str">
        <f>Sheet2!E167</f>
        <v>Q070</v>
      </c>
      <c r="B187" s="3235">
        <f>Sheet2!F167</f>
        <v>32.020000000000003</v>
      </c>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ca="1" si="41"/>
        <v>5764</v>
      </c>
      <c r="S187" s="322">
        <f t="shared" ref="S187:S222" ca="1" si="42">ROUND(R187*B187/10000,0)</f>
        <v>18</v>
      </c>
    </row>
    <row r="188" spans="1:19">
      <c r="A188" s="674" t="str">
        <f>Sheet2!E168</f>
        <v>Q077</v>
      </c>
      <c r="B188" s="3235">
        <f>Sheet2!F168</f>
        <v>32.020000000000003</v>
      </c>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ca="1" si="41"/>
        <v>5764</v>
      </c>
      <c r="S188" s="322">
        <f t="shared" ca="1" si="42"/>
        <v>18</v>
      </c>
    </row>
    <row r="189" spans="1:19">
      <c r="A189" s="674" t="str">
        <f>Sheet2!E169</f>
        <v>Q080</v>
      </c>
      <c r="B189" s="3235">
        <f>Sheet2!F169</f>
        <v>32.020000000000003</v>
      </c>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ca="1" si="41"/>
        <v>5764</v>
      </c>
      <c r="S189" s="322">
        <f t="shared" ca="1" si="42"/>
        <v>18</v>
      </c>
    </row>
    <row r="190" spans="1:19">
      <c r="A190" s="674" t="str">
        <f>Sheet2!E170</f>
        <v>Q081</v>
      </c>
      <c r="B190" s="3235">
        <f>Sheet2!F170</f>
        <v>32.020000000000003</v>
      </c>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ca="1" si="41"/>
        <v>5764</v>
      </c>
      <c r="S190" s="322">
        <f t="shared" ca="1" si="42"/>
        <v>18</v>
      </c>
    </row>
    <row r="191" spans="1:19">
      <c r="A191" s="674" t="str">
        <f>Sheet2!E171</f>
        <v>Q089</v>
      </c>
      <c r="B191" s="3235">
        <f>Sheet2!F171</f>
        <v>32.020000000000003</v>
      </c>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ca="1" si="41"/>
        <v>5764</v>
      </c>
      <c r="S191" s="322">
        <f t="shared" ca="1" si="42"/>
        <v>18</v>
      </c>
    </row>
    <row r="192" spans="1:19">
      <c r="A192" s="674" t="str">
        <f>Sheet2!E172</f>
        <v>Q090</v>
      </c>
      <c r="B192" s="3235">
        <f>Sheet2!F172</f>
        <v>32.020000000000003</v>
      </c>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ca="1" si="41"/>
        <v>5764</v>
      </c>
      <c r="S192" s="322">
        <f t="shared" ca="1" si="42"/>
        <v>18</v>
      </c>
    </row>
    <row r="193" spans="1:19">
      <c r="A193" s="674" t="str">
        <f>Sheet2!E173</f>
        <v>Q091</v>
      </c>
      <c r="B193" s="3235">
        <f>Sheet2!F173</f>
        <v>32.020000000000003</v>
      </c>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ca="1" si="41"/>
        <v>5764</v>
      </c>
      <c r="S193" s="322">
        <f t="shared" ca="1" si="42"/>
        <v>18</v>
      </c>
    </row>
    <row r="194" spans="1:19">
      <c r="A194" s="674" t="str">
        <f>Sheet2!E174</f>
        <v>Q092</v>
      </c>
      <c r="B194" s="3235">
        <f>Sheet2!F174</f>
        <v>32.020000000000003</v>
      </c>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ca="1" si="41"/>
        <v>5764</v>
      </c>
      <c r="S194" s="322">
        <f t="shared" ca="1" si="42"/>
        <v>18</v>
      </c>
    </row>
    <row r="195" spans="1:19">
      <c r="A195" s="674" t="str">
        <f>Sheet2!E175</f>
        <v>Q093</v>
      </c>
      <c r="B195" s="3235">
        <f>Sheet2!F175</f>
        <v>33.36</v>
      </c>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ca="1" si="41"/>
        <v>5764</v>
      </c>
      <c r="S195" s="322">
        <f t="shared" ca="1" si="42"/>
        <v>19</v>
      </c>
    </row>
    <row r="196" spans="1:19">
      <c r="A196" s="674" t="str">
        <f>Sheet2!E176</f>
        <v>Q094</v>
      </c>
      <c r="B196" s="3235">
        <f>Sheet2!F176</f>
        <v>33.36</v>
      </c>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ca="1" si="41"/>
        <v>5764</v>
      </c>
      <c r="S196" s="322">
        <f t="shared" ca="1" si="42"/>
        <v>19</v>
      </c>
    </row>
    <row r="197" spans="1:19">
      <c r="A197" s="674" t="str">
        <f>Sheet2!E177</f>
        <v>Q095</v>
      </c>
      <c r="B197" s="3235">
        <f>Sheet2!F177</f>
        <v>33.36</v>
      </c>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ca="1" si="41"/>
        <v>5764</v>
      </c>
      <c r="S197" s="322">
        <f t="shared" ca="1" si="42"/>
        <v>19</v>
      </c>
    </row>
    <row r="198" spans="1:19">
      <c r="A198" s="674" t="str">
        <f>Sheet2!E178</f>
        <v>Q096</v>
      </c>
      <c r="B198" s="3235">
        <f>Sheet2!F178</f>
        <v>33.36</v>
      </c>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ca="1" si="41"/>
        <v>5764</v>
      </c>
      <c r="S198" s="322">
        <f t="shared" ca="1" si="42"/>
        <v>19</v>
      </c>
    </row>
    <row r="199" spans="1:19">
      <c r="A199" s="674" t="str">
        <f>Sheet2!E179</f>
        <v>R013</v>
      </c>
      <c r="B199" s="3235">
        <f>Sheet2!F179</f>
        <v>32.020000000000003</v>
      </c>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ca="1" si="41"/>
        <v>5764</v>
      </c>
      <c r="S199" s="322">
        <f t="shared" ca="1" si="42"/>
        <v>18</v>
      </c>
    </row>
    <row r="200" spans="1:19">
      <c r="A200" s="674" t="str">
        <f>Sheet2!E180</f>
        <v>R014</v>
      </c>
      <c r="B200" s="3235">
        <f>Sheet2!F180</f>
        <v>32.020000000000003</v>
      </c>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ca="1" si="41"/>
        <v>5764</v>
      </c>
      <c r="S200" s="322">
        <f t="shared" ca="1" si="42"/>
        <v>18</v>
      </c>
    </row>
    <row r="201" spans="1:19">
      <c r="A201" s="674" t="str">
        <f>Sheet2!E181</f>
        <v>R016</v>
      </c>
      <c r="B201" s="3235">
        <f>Sheet2!F181</f>
        <v>32.020000000000003</v>
      </c>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ca="1" si="41"/>
        <v>5764</v>
      </c>
      <c r="S201" s="322">
        <f t="shared" ca="1" si="42"/>
        <v>18</v>
      </c>
    </row>
    <row r="202" spans="1:19">
      <c r="A202" s="674" t="str">
        <f>Sheet2!E182</f>
        <v>R017</v>
      </c>
      <c r="B202" s="3235">
        <f>Sheet2!F182</f>
        <v>32.020000000000003</v>
      </c>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ca="1" si="41"/>
        <v>5764</v>
      </c>
      <c r="S202" s="322">
        <f t="shared" ca="1" si="42"/>
        <v>18</v>
      </c>
    </row>
    <row r="203" spans="1:19">
      <c r="A203" s="674" t="str">
        <f>Sheet2!E183</f>
        <v>R037</v>
      </c>
      <c r="B203" s="3235">
        <f>Sheet2!F183</f>
        <v>32.020000000000003</v>
      </c>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ca="1" si="41"/>
        <v>5764</v>
      </c>
      <c r="S203" s="322">
        <f t="shared" ca="1" si="42"/>
        <v>18</v>
      </c>
    </row>
    <row r="204" spans="1:19">
      <c r="A204" s="674" t="str">
        <f>Sheet2!E184</f>
        <v>R040</v>
      </c>
      <c r="B204" s="3235">
        <f>Sheet2!F184</f>
        <v>32.020000000000003</v>
      </c>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ca="1" si="41"/>
        <v>5764</v>
      </c>
      <c r="S204" s="322">
        <f t="shared" ca="1" si="42"/>
        <v>18</v>
      </c>
    </row>
    <row r="205" spans="1:19">
      <c r="A205" s="674" t="str">
        <f>Sheet2!E185</f>
        <v>R041</v>
      </c>
      <c r="B205" s="3235">
        <f>Sheet2!F185</f>
        <v>32.020000000000003</v>
      </c>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ca="1" si="41"/>
        <v>5764</v>
      </c>
      <c r="S205" s="322">
        <f t="shared" ca="1" si="42"/>
        <v>18</v>
      </c>
    </row>
    <row r="206" spans="1:19">
      <c r="A206" s="674" t="str">
        <f>Sheet2!E186</f>
        <v>R042</v>
      </c>
      <c r="B206" s="3235">
        <f>Sheet2!F186</f>
        <v>32.020000000000003</v>
      </c>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ca="1" si="41"/>
        <v>5764</v>
      </c>
      <c r="S206" s="322">
        <f t="shared" ca="1" si="42"/>
        <v>18</v>
      </c>
    </row>
    <row r="207" spans="1:19">
      <c r="A207" s="674" t="str">
        <f>Sheet2!E187</f>
        <v>R052</v>
      </c>
      <c r="B207" s="3235">
        <f>Sheet2!F187</f>
        <v>32.020000000000003</v>
      </c>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ca="1" si="41"/>
        <v>5764</v>
      </c>
      <c r="S207" s="322">
        <f t="shared" ca="1" si="42"/>
        <v>18</v>
      </c>
    </row>
    <row r="208" spans="1:19">
      <c r="A208" s="674" t="str">
        <f>Sheet2!E188</f>
        <v>R053</v>
      </c>
      <c r="B208" s="3235">
        <f>Sheet2!F188</f>
        <v>32.020000000000003</v>
      </c>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ca="1" si="41"/>
        <v>5764</v>
      </c>
      <c r="S208" s="322">
        <f t="shared" ca="1" si="42"/>
        <v>18</v>
      </c>
    </row>
    <row r="209" spans="1:19">
      <c r="A209" s="674" t="str">
        <f>Sheet2!E189</f>
        <v>R054</v>
      </c>
      <c r="B209" s="3235">
        <f>Sheet2!F189</f>
        <v>32.020000000000003</v>
      </c>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ca="1" si="41"/>
        <v>5764</v>
      </c>
      <c r="S209" s="322">
        <f t="shared" ca="1" si="42"/>
        <v>18</v>
      </c>
    </row>
    <row r="210" spans="1:19">
      <c r="A210" s="674" t="str">
        <f>Sheet2!E190</f>
        <v>R055</v>
      </c>
      <c r="B210" s="3235">
        <f>Sheet2!F190</f>
        <v>32.020000000000003</v>
      </c>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ca="1" si="41"/>
        <v>5764</v>
      </c>
      <c r="S210" s="322">
        <f t="shared" ca="1" si="42"/>
        <v>18</v>
      </c>
    </row>
    <row r="211" spans="1:19">
      <c r="A211" s="674" t="str">
        <f>Sheet2!E191</f>
        <v>R056</v>
      </c>
      <c r="B211" s="3235">
        <f>Sheet2!F191</f>
        <v>32.020000000000003</v>
      </c>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ca="1" si="41"/>
        <v>5764</v>
      </c>
      <c r="S211" s="322">
        <f t="shared" ca="1" si="42"/>
        <v>18</v>
      </c>
    </row>
    <row r="212" spans="1:19">
      <c r="A212" s="674" t="str">
        <f>Sheet2!E192</f>
        <v>R057</v>
      </c>
      <c r="B212" s="3235">
        <f>Sheet2!F192</f>
        <v>32.020000000000003</v>
      </c>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ca="1" si="41"/>
        <v>5764</v>
      </c>
      <c r="S212" s="322">
        <f t="shared" ca="1" si="42"/>
        <v>18</v>
      </c>
    </row>
    <row r="213" spans="1:19">
      <c r="A213" s="674" t="str">
        <f>Sheet2!E193</f>
        <v>R067</v>
      </c>
      <c r="B213" s="3235">
        <f>Sheet2!F193</f>
        <v>32.020000000000003</v>
      </c>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ca="1" si="41"/>
        <v>5764</v>
      </c>
      <c r="S213" s="322">
        <f t="shared" ca="1" si="42"/>
        <v>18</v>
      </c>
    </row>
    <row r="214" spans="1:19">
      <c r="A214" s="674" t="str">
        <f>Sheet2!E194</f>
        <v>R068</v>
      </c>
      <c r="B214" s="3235">
        <f>Sheet2!F194</f>
        <v>32.020000000000003</v>
      </c>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ca="1" si="41"/>
        <v>5764</v>
      </c>
      <c r="S214" s="322">
        <f t="shared" ca="1" si="42"/>
        <v>18</v>
      </c>
    </row>
    <row r="215" spans="1:19">
      <c r="A215" s="674" t="str">
        <f>Sheet2!E195</f>
        <v>R069</v>
      </c>
      <c r="B215" s="3235">
        <f>Sheet2!F195</f>
        <v>32.020000000000003</v>
      </c>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ca="1" si="41"/>
        <v>5764</v>
      </c>
      <c r="S215" s="322">
        <f t="shared" ca="1" si="42"/>
        <v>18</v>
      </c>
    </row>
    <row r="216" spans="1:19">
      <c r="A216" s="674" t="str">
        <f>Sheet2!E196</f>
        <v>R094</v>
      </c>
      <c r="B216" s="3235">
        <f>Sheet2!F196</f>
        <v>32.020000000000003</v>
      </c>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ca="1" si="41"/>
        <v>5764</v>
      </c>
      <c r="S216" s="322">
        <f t="shared" ca="1" si="42"/>
        <v>18</v>
      </c>
    </row>
    <row r="217" spans="1:19">
      <c r="A217" s="674" t="str">
        <f>Sheet2!E197</f>
        <v>R095</v>
      </c>
      <c r="B217" s="3235">
        <f>Sheet2!F197</f>
        <v>32.020000000000003</v>
      </c>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ca="1" si="41"/>
        <v>5764</v>
      </c>
      <c r="S217" s="322">
        <f t="shared" ca="1" si="42"/>
        <v>18</v>
      </c>
    </row>
    <row r="218" spans="1:19">
      <c r="A218" s="674" t="str">
        <f>Sheet2!E198</f>
        <v>R096</v>
      </c>
      <c r="B218" s="3235">
        <f>Sheet2!F198</f>
        <v>32.020000000000003</v>
      </c>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ca="1" si="51">IF(B218="",0,ROUND($R$24*C218*E218*G218*I218*K218*M218*O218*Q218,0))</f>
        <v>5764</v>
      </c>
      <c r="S218" s="322">
        <f t="shared" ca="1" si="42"/>
        <v>18</v>
      </c>
    </row>
    <row r="219" spans="1:19">
      <c r="A219" s="674" t="str">
        <f>Sheet2!E199</f>
        <v>R097</v>
      </c>
      <c r="B219" s="3235">
        <f>Sheet2!F199</f>
        <v>32.020000000000003</v>
      </c>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ca="1" si="51"/>
        <v>5764</v>
      </c>
      <c r="S219" s="322">
        <f t="shared" ca="1" si="42"/>
        <v>18</v>
      </c>
    </row>
    <row r="220" spans="1:19">
      <c r="A220" s="674" t="str">
        <f>Sheet2!E200</f>
        <v>R098</v>
      </c>
      <c r="B220" s="3235">
        <f>Sheet2!F200</f>
        <v>32.020000000000003</v>
      </c>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ca="1" si="51"/>
        <v>5764</v>
      </c>
      <c r="S220" s="322">
        <f t="shared" ca="1" si="42"/>
        <v>18</v>
      </c>
    </row>
    <row r="221" spans="1:19">
      <c r="A221" s="674" t="str">
        <f>Sheet2!E201</f>
        <v>R099</v>
      </c>
      <c r="B221" s="3235">
        <f>Sheet2!F201</f>
        <v>32.020000000000003</v>
      </c>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ca="1" si="51"/>
        <v>5764</v>
      </c>
      <c r="S221" s="322">
        <f t="shared" ca="1" si="42"/>
        <v>18</v>
      </c>
    </row>
    <row r="222" spans="1:19">
      <c r="A222" s="674" t="str">
        <f>Sheet2!E202</f>
        <v>R100</v>
      </c>
      <c r="B222" s="3235">
        <f>Sheet2!F202</f>
        <v>32.020000000000003</v>
      </c>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ca="1" si="51"/>
        <v>5764</v>
      </c>
      <c r="S222" s="322">
        <f t="shared" ca="1" si="42"/>
        <v>18</v>
      </c>
    </row>
    <row r="223" spans="1:19">
      <c r="A223" s="674" t="str">
        <f>Sheet2!E203</f>
        <v>R101</v>
      </c>
      <c r="B223" s="3235">
        <f>Sheet2!F203</f>
        <v>32.020000000000003</v>
      </c>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ca="1" si="51"/>
        <v>5764</v>
      </c>
      <c r="S223" s="322">
        <f t="shared" ref="S223:S286" ca="1" si="52">ROUND(R223*B223/10000,0)</f>
        <v>18</v>
      </c>
    </row>
    <row r="224" spans="1:19">
      <c r="A224" s="674" t="str">
        <f>Sheet2!E204</f>
        <v>R102</v>
      </c>
      <c r="B224" s="3235">
        <f>Sheet2!F204</f>
        <v>32.020000000000003</v>
      </c>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ca="1" si="51"/>
        <v>5764</v>
      </c>
      <c r="S224" s="322">
        <f t="shared" ca="1" si="52"/>
        <v>18</v>
      </c>
    </row>
    <row r="225" spans="1:19">
      <c r="A225" s="674" t="str">
        <f>Sheet2!E205</f>
        <v>R103</v>
      </c>
      <c r="B225" s="3235">
        <f>Sheet2!F205</f>
        <v>32.020000000000003</v>
      </c>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ca="1" si="51"/>
        <v>5764</v>
      </c>
      <c r="S225" s="322">
        <f t="shared" ca="1" si="52"/>
        <v>18</v>
      </c>
    </row>
    <row r="226" spans="1:19">
      <c r="A226" s="674" t="str">
        <f>Sheet2!E206</f>
        <v>R104</v>
      </c>
      <c r="B226" s="3235">
        <f>Sheet2!F206</f>
        <v>32.020000000000003</v>
      </c>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ca="1" si="51"/>
        <v>5764</v>
      </c>
      <c r="S226" s="322">
        <f t="shared" ca="1" si="52"/>
        <v>18</v>
      </c>
    </row>
    <row r="227" spans="1:19">
      <c r="A227" s="674" t="str">
        <f>Sheet2!E207</f>
        <v>R105</v>
      </c>
      <c r="B227" s="3235">
        <f>Sheet2!F207</f>
        <v>32.020000000000003</v>
      </c>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ca="1" si="51"/>
        <v>5764</v>
      </c>
      <c r="S227" s="322">
        <f t="shared" ca="1" si="52"/>
        <v>18</v>
      </c>
    </row>
    <row r="228" spans="1:19">
      <c r="A228" s="674" t="str">
        <f>Sheet2!E208</f>
        <v>S002</v>
      </c>
      <c r="B228" s="3235">
        <f>Sheet2!F208</f>
        <v>32.020000000000003</v>
      </c>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ca="1" si="51"/>
        <v>5764</v>
      </c>
      <c r="S228" s="322">
        <f t="shared" ca="1" si="52"/>
        <v>18</v>
      </c>
    </row>
    <row r="229" spans="1:19">
      <c r="A229" s="674" t="str">
        <f>Sheet2!E209</f>
        <v>S003</v>
      </c>
      <c r="B229" s="3235">
        <f>Sheet2!F209</f>
        <v>32.020000000000003</v>
      </c>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ca="1" si="51"/>
        <v>5764</v>
      </c>
      <c r="S229" s="322">
        <f t="shared" ca="1" si="52"/>
        <v>18</v>
      </c>
    </row>
    <row r="230" spans="1:19">
      <c r="A230" s="674" t="str">
        <f>Sheet2!E210</f>
        <v>S004</v>
      </c>
      <c r="B230" s="3235">
        <f>Sheet2!F210</f>
        <v>32.020000000000003</v>
      </c>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ca="1" si="51"/>
        <v>5764</v>
      </c>
      <c r="S230" s="322">
        <f t="shared" ca="1" si="52"/>
        <v>18</v>
      </c>
    </row>
    <row r="231" spans="1:19">
      <c r="A231" s="674" t="str">
        <f>Sheet2!E211</f>
        <v>S005</v>
      </c>
      <c r="B231" s="3235">
        <f>Sheet2!F211</f>
        <v>32.020000000000003</v>
      </c>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ca="1" si="51"/>
        <v>5764</v>
      </c>
      <c r="S231" s="322">
        <f t="shared" ca="1" si="52"/>
        <v>18</v>
      </c>
    </row>
    <row r="232" spans="1:19">
      <c r="A232" s="674" t="str">
        <f>Sheet2!E212</f>
        <v>S007</v>
      </c>
      <c r="B232" s="3235">
        <f>Sheet2!F212</f>
        <v>32.020000000000003</v>
      </c>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ca="1" si="51"/>
        <v>5764</v>
      </c>
      <c r="S232" s="322">
        <f t="shared" ca="1" si="52"/>
        <v>18</v>
      </c>
    </row>
    <row r="233" spans="1:19">
      <c r="A233" s="674" t="str">
        <f>Sheet2!E213</f>
        <v>S008</v>
      </c>
      <c r="B233" s="3235">
        <f>Sheet2!F213</f>
        <v>32.020000000000003</v>
      </c>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ca="1" si="51"/>
        <v>5764</v>
      </c>
      <c r="S233" s="322">
        <f t="shared" ca="1" si="52"/>
        <v>18</v>
      </c>
    </row>
    <row r="234" spans="1:19">
      <c r="A234" s="674" t="str">
        <f>Sheet2!E214</f>
        <v>S012</v>
      </c>
      <c r="B234" s="3235">
        <f>Sheet2!F214</f>
        <v>32.020000000000003</v>
      </c>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ca="1" si="51"/>
        <v>5764</v>
      </c>
      <c r="S234" s="322">
        <f t="shared" ca="1" si="52"/>
        <v>18</v>
      </c>
    </row>
    <row r="235" spans="1:19">
      <c r="A235" s="674" t="str">
        <f>Sheet2!E215</f>
        <v>S013</v>
      </c>
      <c r="B235" s="3235">
        <f>Sheet2!F215</f>
        <v>32.020000000000003</v>
      </c>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ca="1" si="51"/>
        <v>5764</v>
      </c>
      <c r="S235" s="322">
        <f t="shared" ca="1" si="52"/>
        <v>18</v>
      </c>
    </row>
    <row r="236" spans="1:19">
      <c r="A236" s="674" t="str">
        <f>Sheet2!E216</f>
        <v>S038</v>
      </c>
      <c r="B236" s="3235">
        <f>Sheet2!F216</f>
        <v>32.020000000000003</v>
      </c>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ca="1" si="51"/>
        <v>5764</v>
      </c>
      <c r="S236" s="322">
        <f t="shared" ca="1" si="52"/>
        <v>18</v>
      </c>
    </row>
    <row r="237" spans="1:19">
      <c r="A237" s="674" t="str">
        <f>Sheet2!E217</f>
        <v>S041</v>
      </c>
      <c r="B237" s="3235">
        <f>Sheet2!F217</f>
        <v>32.020000000000003</v>
      </c>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ca="1" si="51"/>
        <v>5764</v>
      </c>
      <c r="S237" s="322">
        <f t="shared" ca="1" si="52"/>
        <v>18</v>
      </c>
    </row>
    <row r="238" spans="1:19">
      <c r="A238" s="674" t="str">
        <f>Sheet2!E218</f>
        <v>S042</v>
      </c>
      <c r="B238" s="3235">
        <f>Sheet2!F218</f>
        <v>32.020000000000003</v>
      </c>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ca="1" si="51"/>
        <v>5764</v>
      </c>
      <c r="S238" s="322">
        <f t="shared" ca="1" si="52"/>
        <v>18</v>
      </c>
    </row>
    <row r="239" spans="1:19">
      <c r="A239" s="674" t="str">
        <f>Sheet2!E219</f>
        <v>S043</v>
      </c>
      <c r="B239" s="3235">
        <f>Sheet2!F219</f>
        <v>32.020000000000003</v>
      </c>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ca="1" si="51"/>
        <v>5764</v>
      </c>
      <c r="S239" s="322">
        <f t="shared" ca="1" si="52"/>
        <v>18</v>
      </c>
    </row>
    <row r="240" spans="1:19">
      <c r="A240" s="674" t="str">
        <f>Sheet2!E220</f>
        <v>S044</v>
      </c>
      <c r="B240" s="3235">
        <f>Sheet2!F220</f>
        <v>32.020000000000003</v>
      </c>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ca="1" si="51"/>
        <v>5764</v>
      </c>
      <c r="S240" s="322">
        <f t="shared" ca="1" si="52"/>
        <v>18</v>
      </c>
    </row>
    <row r="241" spans="1:19">
      <c r="A241" s="674" t="str">
        <f>Sheet2!E221</f>
        <v>S045</v>
      </c>
      <c r="B241" s="3235">
        <f>Sheet2!F221</f>
        <v>32.020000000000003</v>
      </c>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ca="1" si="51"/>
        <v>5764</v>
      </c>
      <c r="S241" s="322">
        <f t="shared" ca="1" si="52"/>
        <v>18</v>
      </c>
    </row>
    <row r="242" spans="1:19">
      <c r="A242" s="674" t="str">
        <f>Sheet2!E222</f>
        <v>S046</v>
      </c>
      <c r="B242" s="3235">
        <f>Sheet2!F222</f>
        <v>32.020000000000003</v>
      </c>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ca="1" si="51"/>
        <v>5764</v>
      </c>
      <c r="S242" s="322">
        <f t="shared" ca="1" si="52"/>
        <v>18</v>
      </c>
    </row>
    <row r="243" spans="1:19">
      <c r="A243" s="674" t="str">
        <f>Sheet2!E223</f>
        <v>S048</v>
      </c>
      <c r="B243" s="3235">
        <f>Sheet2!F223</f>
        <v>32.020000000000003</v>
      </c>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ca="1" si="51"/>
        <v>5764</v>
      </c>
      <c r="S243" s="322">
        <f t="shared" ca="1" si="52"/>
        <v>18</v>
      </c>
    </row>
    <row r="244" spans="1:19">
      <c r="A244" s="674" t="str">
        <f>Sheet2!E224</f>
        <v>S049</v>
      </c>
      <c r="B244" s="3235">
        <f>Sheet2!F224</f>
        <v>33.36</v>
      </c>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ca="1" si="51"/>
        <v>5764</v>
      </c>
      <c r="S244" s="322">
        <f t="shared" ca="1" si="52"/>
        <v>19</v>
      </c>
    </row>
    <row r="245" spans="1:19">
      <c r="A245" s="674" t="str">
        <f>Sheet2!E225</f>
        <v>S075</v>
      </c>
      <c r="B245" s="3235">
        <f>Sheet2!F225</f>
        <v>32.020000000000003</v>
      </c>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ca="1" si="51"/>
        <v>5764</v>
      </c>
      <c r="S245" s="322">
        <f t="shared" ca="1" si="52"/>
        <v>18</v>
      </c>
    </row>
    <row r="246" spans="1:19">
      <c r="A246" s="674" t="str">
        <f>Sheet2!E226</f>
        <v>S081</v>
      </c>
      <c r="B246" s="3235">
        <f>Sheet2!F226</f>
        <v>32.020000000000003</v>
      </c>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ca="1" si="51"/>
        <v>5764</v>
      </c>
      <c r="S246" s="322">
        <f t="shared" ca="1" si="52"/>
        <v>18</v>
      </c>
    </row>
    <row r="247" spans="1:19">
      <c r="A247" s="674" t="str">
        <f>Sheet2!E227</f>
        <v>S083</v>
      </c>
      <c r="B247" s="3235">
        <f>Sheet2!F227</f>
        <v>32.020000000000003</v>
      </c>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ca="1" si="51"/>
        <v>5764</v>
      </c>
      <c r="S247" s="322">
        <f t="shared" ca="1" si="52"/>
        <v>18</v>
      </c>
    </row>
    <row r="248" spans="1:19">
      <c r="A248" s="674" t="str">
        <f>Sheet2!E228</f>
        <v>S084</v>
      </c>
      <c r="B248" s="3235">
        <f>Sheet2!F228</f>
        <v>32.020000000000003</v>
      </c>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ca="1" si="51"/>
        <v>5764</v>
      </c>
      <c r="S248" s="322">
        <f t="shared" ca="1" si="52"/>
        <v>18</v>
      </c>
    </row>
    <row r="249" spans="1:19">
      <c r="A249" s="674" t="str">
        <f>Sheet2!E229</f>
        <v>S086</v>
      </c>
      <c r="B249" s="3235">
        <f>Sheet2!F229</f>
        <v>32.020000000000003</v>
      </c>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ca="1" si="51"/>
        <v>5764</v>
      </c>
      <c r="S249" s="322">
        <f t="shared" ca="1" si="52"/>
        <v>18</v>
      </c>
    </row>
    <row r="250" spans="1:19">
      <c r="A250" s="674" t="str">
        <f>Sheet2!E230</f>
        <v>S087</v>
      </c>
      <c r="B250" s="3235">
        <f>Sheet2!F230</f>
        <v>32.020000000000003</v>
      </c>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ca="1" si="51"/>
        <v>5764</v>
      </c>
      <c r="S250" s="322">
        <f t="shared" ca="1" si="52"/>
        <v>18</v>
      </c>
    </row>
    <row r="251" spans="1:19">
      <c r="A251" s="674" t="str">
        <f>Sheet2!E231</f>
        <v>S091</v>
      </c>
      <c r="B251" s="3235">
        <f>Sheet2!F231</f>
        <v>32.020000000000003</v>
      </c>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ca="1" si="51"/>
        <v>5764</v>
      </c>
      <c r="S251" s="322">
        <f t="shared" ca="1" si="52"/>
        <v>18</v>
      </c>
    </row>
    <row r="252" spans="1:19">
      <c r="A252" s="674" t="str">
        <f>Sheet2!E232</f>
        <v>S094</v>
      </c>
      <c r="B252" s="3235">
        <f>Sheet2!F232</f>
        <v>32.020000000000003</v>
      </c>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ca="1" si="51"/>
        <v>5764</v>
      </c>
      <c r="S252" s="322">
        <f t="shared" ca="1" si="52"/>
        <v>18</v>
      </c>
    </row>
    <row r="253" spans="1:19">
      <c r="A253" s="674" t="str">
        <f>Sheet2!E233</f>
        <v>S095</v>
      </c>
      <c r="B253" s="3235">
        <f>Sheet2!F233</f>
        <v>32.020000000000003</v>
      </c>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ca="1" si="51"/>
        <v>5764</v>
      </c>
      <c r="S253" s="322">
        <f t="shared" ca="1" si="52"/>
        <v>18</v>
      </c>
    </row>
    <row r="254" spans="1:19">
      <c r="A254" s="674" t="str">
        <f>Sheet2!E234</f>
        <v>S096</v>
      </c>
      <c r="B254" s="3235">
        <f>Sheet2!F234</f>
        <v>32.020000000000003</v>
      </c>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ca="1" si="51"/>
        <v>5764</v>
      </c>
      <c r="S254" s="322">
        <f t="shared" ca="1" si="52"/>
        <v>18</v>
      </c>
    </row>
    <row r="255" spans="1:19">
      <c r="A255" s="674" t="str">
        <f>Sheet2!E235</f>
        <v>S099</v>
      </c>
      <c r="B255" s="3235">
        <f>Sheet2!F235</f>
        <v>32.020000000000003</v>
      </c>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ca="1" si="51"/>
        <v>5764</v>
      </c>
      <c r="S255" s="322">
        <f t="shared" ca="1" si="52"/>
        <v>18</v>
      </c>
    </row>
    <row r="256" spans="1:19">
      <c r="A256" s="674" t="str">
        <f>Sheet2!E236</f>
        <v>S100</v>
      </c>
      <c r="B256" s="3235">
        <f>Sheet2!F236</f>
        <v>32.020000000000003</v>
      </c>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ca="1" si="51"/>
        <v>5764</v>
      </c>
      <c r="S256" s="322">
        <f t="shared" ca="1" si="52"/>
        <v>18</v>
      </c>
    </row>
    <row r="257" spans="1:19">
      <c r="A257" s="674" t="str">
        <f>Sheet2!E237</f>
        <v>S101</v>
      </c>
      <c r="B257" s="3235">
        <f>Sheet2!F237</f>
        <v>32.020000000000003</v>
      </c>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ca="1" si="51"/>
        <v>5764</v>
      </c>
      <c r="S257" s="322">
        <f t="shared" ca="1" si="52"/>
        <v>18</v>
      </c>
    </row>
    <row r="258" spans="1:19">
      <c r="A258" s="674" t="str">
        <f>Sheet2!E238</f>
        <v>S102</v>
      </c>
      <c r="B258" s="3235">
        <f>Sheet2!F238</f>
        <v>32.020000000000003</v>
      </c>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ca="1" si="51"/>
        <v>5764</v>
      </c>
      <c r="S258" s="322">
        <f t="shared" ca="1" si="52"/>
        <v>18</v>
      </c>
    </row>
    <row r="259" spans="1:19">
      <c r="A259" s="674" t="str">
        <f>Sheet2!E239</f>
        <v>S103</v>
      </c>
      <c r="B259" s="3235">
        <f>Sheet2!F239</f>
        <v>32.020000000000003</v>
      </c>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ca="1" si="51"/>
        <v>5764</v>
      </c>
      <c r="S259" s="322">
        <f t="shared" ca="1" si="52"/>
        <v>18</v>
      </c>
    </row>
    <row r="260" spans="1:19">
      <c r="A260" s="674" t="str">
        <f>Sheet2!E240</f>
        <v>S105</v>
      </c>
      <c r="B260" s="3235">
        <f>Sheet2!F240</f>
        <v>32.020000000000003</v>
      </c>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ca="1" si="51"/>
        <v>5764</v>
      </c>
      <c r="S260" s="322">
        <f t="shared" ca="1" si="52"/>
        <v>18</v>
      </c>
    </row>
    <row r="261" spans="1:19">
      <c r="A261" s="674" t="str">
        <f>Sheet2!E241</f>
        <v>S113</v>
      </c>
      <c r="B261" s="3235">
        <f>Sheet2!F241</f>
        <v>33.36</v>
      </c>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ca="1" si="51"/>
        <v>5764</v>
      </c>
      <c r="S261" s="322">
        <f t="shared" ca="1" si="52"/>
        <v>19</v>
      </c>
    </row>
    <row r="262" spans="1:19">
      <c r="A262" s="674" t="str">
        <f>Sheet2!E242</f>
        <v>S114</v>
      </c>
      <c r="B262" s="3235">
        <f>Sheet2!F242</f>
        <v>33.36</v>
      </c>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ca="1" si="51"/>
        <v>5764</v>
      </c>
      <c r="S262" s="322">
        <f t="shared" ca="1" si="52"/>
        <v>19</v>
      </c>
    </row>
    <row r="263" spans="1:19">
      <c r="A263" s="674" t="str">
        <f>Sheet2!E243</f>
        <v>S115</v>
      </c>
      <c r="B263" s="3235">
        <f>Sheet2!F243</f>
        <v>33.36</v>
      </c>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ca="1" si="51"/>
        <v>5764</v>
      </c>
      <c r="S263" s="322">
        <f t="shared" ca="1" si="52"/>
        <v>19</v>
      </c>
    </row>
    <row r="264" spans="1:19">
      <c r="A264" s="674" t="str">
        <f>Sheet2!E244</f>
        <v>S116</v>
      </c>
      <c r="B264" s="3235">
        <f>Sheet2!F244</f>
        <v>33.36</v>
      </c>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ca="1" si="51"/>
        <v>5764</v>
      </c>
      <c r="S264" s="322">
        <f t="shared" ca="1" si="52"/>
        <v>19</v>
      </c>
    </row>
    <row r="265" spans="1:19">
      <c r="A265" s="674" t="str">
        <f>Sheet2!E245</f>
        <v>S117</v>
      </c>
      <c r="B265" s="3235">
        <f>Sheet2!F245</f>
        <v>33.36</v>
      </c>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ca="1" si="51"/>
        <v>5764</v>
      </c>
      <c r="S265" s="322">
        <f t="shared" ca="1" si="52"/>
        <v>19</v>
      </c>
    </row>
    <row r="266" spans="1:19">
      <c r="A266" s="674" t="str">
        <f>Sheet2!E246</f>
        <v>S118</v>
      </c>
      <c r="B266" s="3235">
        <f>Sheet2!F246</f>
        <v>33.36</v>
      </c>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ca="1" si="51"/>
        <v>5764</v>
      </c>
      <c r="S266" s="322">
        <f t="shared" ca="1" si="52"/>
        <v>19</v>
      </c>
    </row>
    <row r="267" spans="1:19">
      <c r="A267" s="674" t="str">
        <f>Sheet2!E247</f>
        <v>S123</v>
      </c>
      <c r="B267" s="3235">
        <f>Sheet2!F247</f>
        <v>32.020000000000003</v>
      </c>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ca="1" si="51"/>
        <v>5764</v>
      </c>
      <c r="S267" s="322">
        <f t="shared" ca="1" si="52"/>
        <v>18</v>
      </c>
    </row>
    <row r="268" spans="1:19">
      <c r="A268" s="674" t="str">
        <f>Sheet2!E248</f>
        <v>S124</v>
      </c>
      <c r="B268" s="3235">
        <f>Sheet2!F248</f>
        <v>32.020000000000003</v>
      </c>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ca="1" si="51"/>
        <v>5764</v>
      </c>
      <c r="S268" s="322">
        <f t="shared" ca="1" si="52"/>
        <v>18</v>
      </c>
    </row>
    <row r="269" spans="1:19">
      <c r="A269" s="674" t="str">
        <f>Sheet2!E249</f>
        <v>S129</v>
      </c>
      <c r="B269" s="3235">
        <f>Sheet2!F249</f>
        <v>32.020000000000003</v>
      </c>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ca="1" si="51"/>
        <v>5764</v>
      </c>
      <c r="S269" s="322">
        <f t="shared" ca="1" si="52"/>
        <v>18</v>
      </c>
    </row>
    <row r="270" spans="1:19">
      <c r="A270" s="674" t="str">
        <f>Sheet2!E250</f>
        <v>S130</v>
      </c>
      <c r="B270" s="3235">
        <f>Sheet2!F250</f>
        <v>32.020000000000003</v>
      </c>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ca="1" si="51"/>
        <v>5764</v>
      </c>
      <c r="S270" s="322">
        <f t="shared" ca="1" si="52"/>
        <v>18</v>
      </c>
    </row>
    <row r="271" spans="1:19">
      <c r="A271" s="674" t="str">
        <f>Sheet2!E251</f>
        <v>S131</v>
      </c>
      <c r="B271" s="3235">
        <f>Sheet2!F251</f>
        <v>32.020000000000003</v>
      </c>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ca="1" si="51"/>
        <v>5764</v>
      </c>
      <c r="S271" s="322">
        <f t="shared" ca="1" si="52"/>
        <v>18</v>
      </c>
    </row>
    <row r="272" spans="1:19">
      <c r="A272" s="674" t="str">
        <f>Sheet2!E252</f>
        <v>S132</v>
      </c>
      <c r="B272" s="3235">
        <f>Sheet2!F252</f>
        <v>32.020000000000003</v>
      </c>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ca="1" si="51"/>
        <v>5764</v>
      </c>
      <c r="S272" s="322">
        <f t="shared" ca="1" si="52"/>
        <v>18</v>
      </c>
    </row>
    <row r="273" spans="1:19">
      <c r="A273" s="674" t="str">
        <f>Sheet2!E253</f>
        <v>S134</v>
      </c>
      <c r="B273" s="3235">
        <f>Sheet2!F253</f>
        <v>32.020000000000003</v>
      </c>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ca="1" si="51"/>
        <v>5764</v>
      </c>
      <c r="S273" s="322">
        <f t="shared" ca="1" si="52"/>
        <v>18</v>
      </c>
    </row>
    <row r="274" spans="1:19">
      <c r="A274" s="674" t="str">
        <f>Sheet2!E254</f>
        <v>S135</v>
      </c>
      <c r="B274" s="3235">
        <f>Sheet2!F254</f>
        <v>32.020000000000003</v>
      </c>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ca="1" si="51"/>
        <v>5764</v>
      </c>
      <c r="S274" s="322">
        <f t="shared" ca="1" si="52"/>
        <v>18</v>
      </c>
    </row>
    <row r="275" spans="1:19">
      <c r="A275" s="674" t="str">
        <f>Sheet2!E255</f>
        <v>S138</v>
      </c>
      <c r="B275" s="3235">
        <f>Sheet2!F255</f>
        <v>32.020000000000003</v>
      </c>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ca="1" si="51"/>
        <v>5764</v>
      </c>
      <c r="S275" s="322">
        <f t="shared" ca="1" si="52"/>
        <v>18</v>
      </c>
    </row>
    <row r="276" spans="1:19">
      <c r="A276" s="674" t="str">
        <f>Sheet2!E256</f>
        <v>S140</v>
      </c>
      <c r="B276" s="3235">
        <f>Sheet2!F256</f>
        <v>33.36</v>
      </c>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ca="1" si="51"/>
        <v>5764</v>
      </c>
      <c r="S276" s="322">
        <f t="shared" ca="1" si="52"/>
        <v>19</v>
      </c>
    </row>
    <row r="277" spans="1:19">
      <c r="A277" s="674" t="str">
        <f>Sheet2!E257</f>
        <v>T002</v>
      </c>
      <c r="B277" s="3235">
        <f>Sheet2!F257</f>
        <v>33.36</v>
      </c>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ca="1" si="51"/>
        <v>5764</v>
      </c>
      <c r="S277" s="322">
        <f t="shared" ca="1" si="52"/>
        <v>19</v>
      </c>
    </row>
    <row r="278" spans="1:19">
      <c r="A278" s="674" t="str">
        <f>Sheet2!E258</f>
        <v>T004</v>
      </c>
      <c r="B278" s="3235">
        <f>Sheet2!F258</f>
        <v>33.36</v>
      </c>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ca="1" si="51"/>
        <v>5764</v>
      </c>
      <c r="S278" s="322">
        <f t="shared" ca="1" si="52"/>
        <v>19</v>
      </c>
    </row>
    <row r="279" spans="1:19">
      <c r="A279" s="674" t="str">
        <f>Sheet2!E259</f>
        <v>T008</v>
      </c>
      <c r="B279" s="3235">
        <f>Sheet2!F259</f>
        <v>33.36</v>
      </c>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ca="1" si="51"/>
        <v>5764</v>
      </c>
      <c r="S279" s="322">
        <f t="shared" ca="1" si="52"/>
        <v>19</v>
      </c>
    </row>
    <row r="280" spans="1:19">
      <c r="A280" s="674" t="str">
        <f>Sheet2!E260</f>
        <v>T013</v>
      </c>
      <c r="B280" s="3235">
        <f>Sheet2!F260</f>
        <v>33.36</v>
      </c>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ca="1" si="51"/>
        <v>5764</v>
      </c>
      <c r="S280" s="322">
        <f t="shared" ca="1" si="52"/>
        <v>19</v>
      </c>
    </row>
    <row r="281" spans="1:19">
      <c r="A281" s="674" t="str">
        <f>Sheet2!E261</f>
        <v>T014</v>
      </c>
      <c r="B281" s="3235">
        <f>Sheet2!F261</f>
        <v>33.36</v>
      </c>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ca="1" si="51"/>
        <v>5764</v>
      </c>
      <c r="S281" s="322">
        <f t="shared" ca="1" si="52"/>
        <v>19</v>
      </c>
    </row>
    <row r="282" spans="1:19">
      <c r="A282" s="674" t="str">
        <f>Sheet2!E262</f>
        <v>T018</v>
      </c>
      <c r="B282" s="3235">
        <f>Sheet2!F262</f>
        <v>33.36</v>
      </c>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ca="1" si="61">IF(B282="",0,ROUND($R$24*C282*E282*G282*I282*K282*M282*O282*Q282,0))</f>
        <v>5764</v>
      </c>
      <c r="S282" s="322">
        <f t="shared" ca="1" si="52"/>
        <v>19</v>
      </c>
    </row>
    <row r="283" spans="1:19">
      <c r="A283" s="674" t="str">
        <f>Sheet2!E263</f>
        <v>T019</v>
      </c>
      <c r="B283" s="3235">
        <f>Sheet2!F263</f>
        <v>33.36</v>
      </c>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ca="1" si="61"/>
        <v>5764</v>
      </c>
      <c r="S283" s="322">
        <f t="shared" ca="1" si="52"/>
        <v>19</v>
      </c>
    </row>
    <row r="284" spans="1:19">
      <c r="A284" s="674" t="str">
        <f>Sheet2!E264</f>
        <v>T021</v>
      </c>
      <c r="B284" s="3235">
        <f>Sheet2!F264</f>
        <v>32.020000000000003</v>
      </c>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ca="1" si="61"/>
        <v>5764</v>
      </c>
      <c r="S284" s="322">
        <f t="shared" ca="1" si="52"/>
        <v>18</v>
      </c>
    </row>
    <row r="285" spans="1:19">
      <c r="A285" s="674" t="str">
        <f>Sheet2!E265</f>
        <v>T022</v>
      </c>
      <c r="B285" s="3235">
        <f>Sheet2!F265</f>
        <v>32.020000000000003</v>
      </c>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ca="1" si="61"/>
        <v>5764</v>
      </c>
      <c r="S285" s="322">
        <f t="shared" ca="1" si="52"/>
        <v>18</v>
      </c>
    </row>
    <row r="286" spans="1:19">
      <c r="A286" s="674" t="str">
        <f>Sheet2!E266</f>
        <v>T023</v>
      </c>
      <c r="B286" s="3235">
        <f>Sheet2!F266</f>
        <v>32.020000000000003</v>
      </c>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ca="1" si="61"/>
        <v>5764</v>
      </c>
      <c r="S286" s="322">
        <f t="shared" ca="1" si="52"/>
        <v>18</v>
      </c>
    </row>
    <row r="287" spans="1:19">
      <c r="A287" s="674" t="str">
        <f>Sheet2!E267</f>
        <v>T024</v>
      </c>
      <c r="B287" s="3235">
        <f>Sheet2!F267</f>
        <v>32.020000000000003</v>
      </c>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ca="1" si="61"/>
        <v>5764</v>
      </c>
      <c r="S287" s="322">
        <f t="shared" ref="S287:S320" ca="1" si="62">ROUND(R287*B287/10000,0)</f>
        <v>18</v>
      </c>
    </row>
    <row r="288" spans="1:19">
      <c r="A288" s="674" t="str">
        <f>Sheet2!E268</f>
        <v>T025</v>
      </c>
      <c r="B288" s="3235">
        <f>Sheet2!F268</f>
        <v>32.020000000000003</v>
      </c>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ca="1" si="61"/>
        <v>5764</v>
      </c>
      <c r="S288" s="322">
        <f t="shared" ca="1" si="62"/>
        <v>18</v>
      </c>
    </row>
    <row r="289" spans="1:19">
      <c r="A289" s="674" t="str">
        <f>Sheet2!E269</f>
        <v>T026</v>
      </c>
      <c r="B289" s="3235">
        <f>Sheet2!F269</f>
        <v>32.020000000000003</v>
      </c>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ca="1" si="61"/>
        <v>5764</v>
      </c>
      <c r="S289" s="322">
        <f t="shared" ca="1" si="62"/>
        <v>18</v>
      </c>
    </row>
    <row r="290" spans="1:19">
      <c r="A290" s="674" t="str">
        <f>Sheet2!E270</f>
        <v>T027</v>
      </c>
      <c r="B290" s="3235">
        <f>Sheet2!F270</f>
        <v>32.020000000000003</v>
      </c>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ca="1" si="61"/>
        <v>5764</v>
      </c>
      <c r="S290" s="322">
        <f t="shared" ca="1" si="62"/>
        <v>18</v>
      </c>
    </row>
    <row r="291" spans="1:19">
      <c r="A291" s="674" t="str">
        <f>Sheet2!E271</f>
        <v>T028</v>
      </c>
      <c r="B291" s="3235">
        <f>Sheet2!F271</f>
        <v>32.020000000000003</v>
      </c>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ca="1" si="61"/>
        <v>5764</v>
      </c>
      <c r="S291" s="322">
        <f t="shared" ca="1" si="62"/>
        <v>18</v>
      </c>
    </row>
    <row r="292" spans="1:19">
      <c r="A292" s="674" t="str">
        <f>Sheet2!E272</f>
        <v>T029</v>
      </c>
      <c r="B292" s="3235">
        <f>Sheet2!F272</f>
        <v>32.020000000000003</v>
      </c>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ca="1" si="61"/>
        <v>5764</v>
      </c>
      <c r="S292" s="322">
        <f t="shared" ca="1" si="62"/>
        <v>18</v>
      </c>
    </row>
    <row r="293" spans="1:19">
      <c r="A293" s="674" t="str">
        <f>Sheet2!E273</f>
        <v>T033</v>
      </c>
      <c r="B293" s="3235">
        <f>Sheet2!F273</f>
        <v>32.020000000000003</v>
      </c>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ca="1" si="61"/>
        <v>5764</v>
      </c>
      <c r="S293" s="322">
        <f t="shared" ca="1" si="62"/>
        <v>18</v>
      </c>
    </row>
    <row r="294" spans="1:19">
      <c r="A294" s="674" t="str">
        <f>Sheet2!E274</f>
        <v>T040</v>
      </c>
      <c r="B294" s="3235">
        <f>Sheet2!F274</f>
        <v>32.020000000000003</v>
      </c>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ca="1" si="61"/>
        <v>5764</v>
      </c>
      <c r="S294" s="322">
        <f t="shared" ca="1" si="62"/>
        <v>18</v>
      </c>
    </row>
    <row r="295" spans="1:19">
      <c r="A295" s="674" t="str">
        <f>Sheet2!E275</f>
        <v>T044</v>
      </c>
      <c r="B295" s="3235">
        <f>Sheet2!F275</f>
        <v>32.020000000000003</v>
      </c>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ca="1" si="61"/>
        <v>5764</v>
      </c>
      <c r="S295" s="322">
        <f t="shared" ca="1" si="62"/>
        <v>18</v>
      </c>
    </row>
    <row r="296" spans="1:19">
      <c r="A296" s="674" t="str">
        <f>Sheet2!E276</f>
        <v>T061</v>
      </c>
      <c r="B296" s="3235">
        <f>Sheet2!F276</f>
        <v>32.020000000000003</v>
      </c>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ca="1" si="61"/>
        <v>5764</v>
      </c>
      <c r="S296" s="322">
        <f t="shared" ca="1" si="62"/>
        <v>18</v>
      </c>
    </row>
    <row r="297" spans="1:19">
      <c r="A297" s="674" t="str">
        <f>Sheet2!E277</f>
        <v>T062</v>
      </c>
      <c r="B297" s="3235">
        <f>Sheet2!F277</f>
        <v>32.020000000000003</v>
      </c>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ca="1" si="61"/>
        <v>5764</v>
      </c>
      <c r="S297" s="322">
        <f t="shared" ca="1" si="62"/>
        <v>18</v>
      </c>
    </row>
    <row r="298" spans="1:19">
      <c r="A298" s="674" t="str">
        <f>Sheet2!E278</f>
        <v>T066</v>
      </c>
      <c r="B298" s="3235">
        <f>Sheet2!F278</f>
        <v>32.020000000000003</v>
      </c>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ca="1" si="61"/>
        <v>5764</v>
      </c>
      <c r="S298" s="322">
        <f t="shared" ca="1" si="62"/>
        <v>18</v>
      </c>
    </row>
    <row r="299" spans="1:19">
      <c r="A299" s="674" t="str">
        <f>Sheet2!E279</f>
        <v>T085</v>
      </c>
      <c r="B299" s="3235">
        <f>Sheet2!F279</f>
        <v>32.020000000000003</v>
      </c>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ca="1" si="61"/>
        <v>5764</v>
      </c>
      <c r="S299" s="322">
        <f t="shared" ca="1" si="62"/>
        <v>18</v>
      </c>
    </row>
    <row r="300" spans="1:19">
      <c r="A300" s="674" t="str">
        <f>Sheet2!E280</f>
        <v>U003</v>
      </c>
      <c r="B300" s="3235">
        <f>Sheet2!F280</f>
        <v>32.020000000000003</v>
      </c>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ca="1" si="61"/>
        <v>5764</v>
      </c>
      <c r="S300" s="322">
        <f t="shared" ca="1" si="62"/>
        <v>18</v>
      </c>
    </row>
    <row r="301" spans="1:19">
      <c r="A301" s="674" t="str">
        <f>Sheet2!E281</f>
        <v>U044</v>
      </c>
      <c r="B301" s="3235">
        <f>Sheet2!F281</f>
        <v>32.020000000000003</v>
      </c>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ca="1" si="61"/>
        <v>5764</v>
      </c>
      <c r="S301" s="322">
        <f t="shared" ca="1" si="62"/>
        <v>18</v>
      </c>
    </row>
    <row r="302" spans="1:19">
      <c r="A302" s="674" t="str">
        <f>Sheet2!E282</f>
        <v>U045</v>
      </c>
      <c r="B302" s="3235">
        <f>Sheet2!F282</f>
        <v>32.020000000000003</v>
      </c>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ca="1" si="61"/>
        <v>5764</v>
      </c>
      <c r="S302" s="322">
        <f t="shared" ca="1" si="62"/>
        <v>18</v>
      </c>
    </row>
    <row r="303" spans="1:19">
      <c r="A303" s="674" t="str">
        <f>Sheet2!E283</f>
        <v>U046</v>
      </c>
      <c r="B303" s="3235">
        <f>Sheet2!F283</f>
        <v>32.020000000000003</v>
      </c>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ca="1" si="61"/>
        <v>5764</v>
      </c>
      <c r="S303" s="322">
        <f t="shared" ca="1" si="62"/>
        <v>18</v>
      </c>
    </row>
    <row r="304" spans="1:19">
      <c r="A304" s="674" t="str">
        <f>Sheet2!E284</f>
        <v>U087</v>
      </c>
      <c r="B304" s="3235">
        <f>Sheet2!F284</f>
        <v>32.020000000000003</v>
      </c>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ca="1" si="61"/>
        <v>5764</v>
      </c>
      <c r="S304" s="322">
        <f t="shared" ca="1" si="62"/>
        <v>18</v>
      </c>
    </row>
    <row r="305" spans="1:19">
      <c r="A305" s="674" t="str">
        <f>Sheet2!E285</f>
        <v>U092</v>
      </c>
      <c r="B305" s="3235">
        <f>Sheet2!F285</f>
        <v>32.020000000000003</v>
      </c>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ca="1" si="61"/>
        <v>5764</v>
      </c>
      <c r="S305" s="322">
        <f t="shared" ca="1" si="62"/>
        <v>18</v>
      </c>
    </row>
    <row r="306" spans="1:19">
      <c r="A306" s="674" t="str">
        <f>Sheet2!E286</f>
        <v>U094</v>
      </c>
      <c r="B306" s="3235">
        <f>Sheet2!F286</f>
        <v>32.020000000000003</v>
      </c>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ca="1" si="61"/>
        <v>5764</v>
      </c>
      <c r="S306" s="322">
        <f t="shared" ca="1" si="62"/>
        <v>18</v>
      </c>
    </row>
    <row r="307" spans="1:19">
      <c r="A307" s="674" t="str">
        <f>Sheet2!E287</f>
        <v>U095</v>
      </c>
      <c r="B307" s="3235">
        <f>Sheet2!F287</f>
        <v>32.020000000000003</v>
      </c>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ca="1" si="61"/>
        <v>5764</v>
      </c>
      <c r="S307" s="322">
        <f t="shared" ca="1" si="62"/>
        <v>18</v>
      </c>
    </row>
    <row r="308" spans="1:19">
      <c r="A308" s="674" t="str">
        <f>Sheet2!E288</f>
        <v>U097</v>
      </c>
      <c r="B308" s="3235">
        <f>Sheet2!F288</f>
        <v>33.36</v>
      </c>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ca="1" si="61"/>
        <v>5764</v>
      </c>
      <c r="S308" s="322">
        <f t="shared" ca="1" si="62"/>
        <v>19</v>
      </c>
    </row>
    <row r="309" spans="1:19">
      <c r="A309" s="674" t="str">
        <f>Sheet2!E289</f>
        <v>V001</v>
      </c>
      <c r="B309" s="3235">
        <f>Sheet2!F289</f>
        <v>32.020000000000003</v>
      </c>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ca="1" si="61"/>
        <v>5764</v>
      </c>
      <c r="S309" s="322">
        <f t="shared" ca="1" si="62"/>
        <v>18</v>
      </c>
    </row>
    <row r="310" spans="1:19">
      <c r="A310" s="674" t="str">
        <f>Sheet2!E290</f>
        <v>V068</v>
      </c>
      <c r="B310" s="3235">
        <f>Sheet2!F290</f>
        <v>33.36</v>
      </c>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ca="1" si="61"/>
        <v>5764</v>
      </c>
      <c r="S310" s="322">
        <f t="shared" ca="1" si="62"/>
        <v>19</v>
      </c>
    </row>
    <row r="311" spans="1:19">
      <c r="A311" s="674" t="str">
        <f>Sheet2!E291</f>
        <v>V070</v>
      </c>
      <c r="B311" s="3235">
        <f>Sheet2!F291</f>
        <v>27.57</v>
      </c>
      <c r="C311" s="24">
        <f t="shared" si="53"/>
        <v>1.01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ca="1" si="61"/>
        <v>5822</v>
      </c>
      <c r="S311" s="322">
        <f t="shared" ca="1" si="62"/>
        <v>16</v>
      </c>
    </row>
    <row r="312" spans="1:19">
      <c r="A312" s="674" t="str">
        <f>Sheet2!E292</f>
        <v>V071</v>
      </c>
      <c r="B312" s="3235">
        <f>Sheet2!F292</f>
        <v>32.020000000000003</v>
      </c>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ca="1" si="61"/>
        <v>5764</v>
      </c>
      <c r="S312" s="322">
        <f t="shared" ca="1" si="62"/>
        <v>18</v>
      </c>
    </row>
    <row r="313" spans="1:19">
      <c r="A313" s="674" t="str">
        <f>Sheet2!E293</f>
        <v>V072</v>
      </c>
      <c r="B313" s="3235">
        <f>Sheet2!F293</f>
        <v>32.020000000000003</v>
      </c>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ca="1" si="61"/>
        <v>5764</v>
      </c>
      <c r="S313" s="322">
        <f t="shared" ca="1" si="62"/>
        <v>18</v>
      </c>
    </row>
    <row r="314" spans="1:19">
      <c r="A314" s="674" t="str">
        <f>Sheet2!E294</f>
        <v>V073</v>
      </c>
      <c r="B314" s="3235">
        <f>Sheet2!F294</f>
        <v>32.020000000000003</v>
      </c>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ca="1" si="61"/>
        <v>5764</v>
      </c>
      <c r="S314" s="322">
        <f t="shared" ca="1" si="62"/>
        <v>18</v>
      </c>
    </row>
    <row r="315" spans="1:19">
      <c r="A315" s="674" t="str">
        <f>Sheet2!E295</f>
        <v>V074</v>
      </c>
      <c r="B315" s="3235">
        <f>Sheet2!F295</f>
        <v>32.020000000000003</v>
      </c>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ca="1" si="61"/>
        <v>5764</v>
      </c>
      <c r="S315" s="322">
        <f t="shared" ca="1" si="62"/>
        <v>18</v>
      </c>
    </row>
    <row r="316" spans="1:19">
      <c r="A316" s="674" t="str">
        <f>Sheet2!E296</f>
        <v>A1-001</v>
      </c>
      <c r="B316" s="3235">
        <f>Sheet2!F296</f>
        <v>37.11</v>
      </c>
      <c r="C316" s="24">
        <f t="shared" si="53"/>
        <v>0.99</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ca="1" si="61"/>
        <v>5706</v>
      </c>
      <c r="S316" s="322">
        <f t="shared" ca="1" si="62"/>
        <v>21</v>
      </c>
    </row>
    <row r="317" spans="1:19">
      <c r="A317" s="674" t="str">
        <f>Sheet2!E297</f>
        <v>A1-002</v>
      </c>
      <c r="B317" s="3235">
        <f>Sheet2!F297</f>
        <v>37.11</v>
      </c>
      <c r="C317" s="24">
        <f t="shared" si="53"/>
        <v>0.99</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ca="1" si="61"/>
        <v>5706</v>
      </c>
      <c r="S317" s="322">
        <f t="shared" ca="1" si="62"/>
        <v>21</v>
      </c>
    </row>
    <row r="318" spans="1:19">
      <c r="A318" s="674" t="str">
        <f>Sheet2!E298</f>
        <v>A1-003</v>
      </c>
      <c r="B318" s="3235">
        <f>Sheet2!F298</f>
        <v>37.11</v>
      </c>
      <c r="C318" s="24">
        <f t="shared" si="53"/>
        <v>0.99</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ca="1" si="61"/>
        <v>5706</v>
      </c>
      <c r="S318" s="322">
        <f t="shared" ca="1" si="62"/>
        <v>21</v>
      </c>
    </row>
    <row r="319" spans="1:19">
      <c r="A319" s="674" t="str">
        <f>Sheet2!E299</f>
        <v>A1-004</v>
      </c>
      <c r="B319" s="3235">
        <f>Sheet2!F299</f>
        <v>37.11</v>
      </c>
      <c r="C319" s="24">
        <f t="shared" si="53"/>
        <v>0.99</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ca="1" si="61"/>
        <v>5706</v>
      </c>
      <c r="S319" s="322">
        <f t="shared" ca="1" si="62"/>
        <v>21</v>
      </c>
    </row>
    <row r="320" spans="1:19">
      <c r="A320" s="674" t="str">
        <f>Sheet2!E300</f>
        <v>A1-006</v>
      </c>
      <c r="B320" s="3235">
        <f>Sheet2!F300</f>
        <v>37.11</v>
      </c>
      <c r="C320" s="24">
        <f t="shared" si="53"/>
        <v>0.99</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ca="1" si="61"/>
        <v>5706</v>
      </c>
      <c r="S320" s="322">
        <f t="shared" ca="1" si="62"/>
        <v>21</v>
      </c>
    </row>
    <row r="321" spans="1:19">
      <c r="A321" s="674" t="str">
        <f>Sheet2!E301</f>
        <v>A1-007</v>
      </c>
      <c r="B321" s="3235">
        <f>Sheet2!F301</f>
        <v>37.11</v>
      </c>
      <c r="C321" s="24">
        <f t="shared" si="53"/>
        <v>0.99</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ca="1" si="61"/>
        <v>5706</v>
      </c>
      <c r="S321" s="322">
        <f t="shared" ref="S321:S384" ca="1" si="63">ROUND(R321*B321/10000,0)</f>
        <v>21</v>
      </c>
    </row>
    <row r="322" spans="1:19">
      <c r="A322" s="674" t="str">
        <f>Sheet2!E302</f>
        <v>A1-009</v>
      </c>
      <c r="B322" s="3235">
        <f>Sheet2!F302</f>
        <v>37.11</v>
      </c>
      <c r="C322" s="24">
        <f t="shared" si="53"/>
        <v>0.99</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ca="1" si="61"/>
        <v>5706</v>
      </c>
      <c r="S322" s="322">
        <f t="shared" ca="1" si="63"/>
        <v>21</v>
      </c>
    </row>
    <row r="323" spans="1:19">
      <c r="A323" s="674" t="str">
        <f>Sheet2!E303</f>
        <v>A1-010</v>
      </c>
      <c r="B323" s="3235">
        <f>Sheet2!F303</f>
        <v>37.11</v>
      </c>
      <c r="C323" s="24">
        <f t="shared" si="53"/>
        <v>0.99</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ca="1" si="61"/>
        <v>5706</v>
      </c>
      <c r="S323" s="322">
        <f t="shared" ca="1" si="63"/>
        <v>21</v>
      </c>
    </row>
    <row r="324" spans="1:19">
      <c r="A324" s="674" t="str">
        <f>Sheet2!E304</f>
        <v>A1-012</v>
      </c>
      <c r="B324" s="3235">
        <f>Sheet2!F304</f>
        <v>37.11</v>
      </c>
      <c r="C324" s="24">
        <f t="shared" si="53"/>
        <v>0.99</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ca="1" si="61"/>
        <v>5706</v>
      </c>
      <c r="S324" s="322">
        <f t="shared" ca="1" si="63"/>
        <v>21</v>
      </c>
    </row>
    <row r="325" spans="1:19">
      <c r="A325" s="674" t="str">
        <f>Sheet2!E305</f>
        <v>A1-014</v>
      </c>
      <c r="B325" s="3235">
        <f>Sheet2!F305</f>
        <v>38.659999999999997</v>
      </c>
      <c r="C325" s="24">
        <f t="shared" si="53"/>
        <v>0.99</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ca="1" si="61"/>
        <v>5706</v>
      </c>
      <c r="S325" s="322">
        <f t="shared" ca="1" si="63"/>
        <v>22</v>
      </c>
    </row>
    <row r="326" spans="1:19">
      <c r="A326" s="674" t="str">
        <f>Sheet2!E306</f>
        <v>A1-015</v>
      </c>
      <c r="B326" s="3235">
        <f>Sheet2!F306</f>
        <v>38.659999999999997</v>
      </c>
      <c r="C326" s="24">
        <f t="shared" si="53"/>
        <v>0.99</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ca="1" si="61"/>
        <v>5706</v>
      </c>
      <c r="S326" s="322">
        <f t="shared" ca="1" si="63"/>
        <v>22</v>
      </c>
    </row>
    <row r="327" spans="1:19">
      <c r="A327" s="674" t="str">
        <f>Sheet2!E307</f>
        <v>A1-030</v>
      </c>
      <c r="B327" s="3235">
        <f>Sheet2!F307</f>
        <v>37.11</v>
      </c>
      <c r="C327" s="24">
        <f t="shared" si="53"/>
        <v>0.99</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ca="1" si="61"/>
        <v>5706</v>
      </c>
      <c r="S327" s="322">
        <f t="shared" ca="1" si="63"/>
        <v>21</v>
      </c>
    </row>
    <row r="328" spans="1:19">
      <c r="A328" s="674" t="str">
        <f>Sheet2!E308</f>
        <v>A1-031</v>
      </c>
      <c r="B328" s="3235">
        <f>Sheet2!F308</f>
        <v>37.11</v>
      </c>
      <c r="C328" s="24">
        <f t="shared" si="53"/>
        <v>0.99</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ca="1" si="61"/>
        <v>5706</v>
      </c>
      <c r="S328" s="322">
        <f t="shared" ca="1" si="63"/>
        <v>21</v>
      </c>
    </row>
    <row r="329" spans="1:19">
      <c r="A329" s="674" t="str">
        <f>Sheet2!E309</f>
        <v>A1-032</v>
      </c>
      <c r="B329" s="3235">
        <f>Sheet2!F309</f>
        <v>36.369999999999997</v>
      </c>
      <c r="C329" s="24">
        <f t="shared" si="53"/>
        <v>0.99</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ca="1" si="61"/>
        <v>5706</v>
      </c>
      <c r="S329" s="322">
        <f t="shared" ca="1" si="63"/>
        <v>21</v>
      </c>
    </row>
    <row r="330" spans="1:19">
      <c r="A330" s="674" t="str">
        <f>Sheet2!E310</f>
        <v>A1-046</v>
      </c>
      <c r="B330" s="3235">
        <f>Sheet2!F310</f>
        <v>37.11</v>
      </c>
      <c r="C330" s="24">
        <f t="shared" si="53"/>
        <v>0.99</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ca="1" si="61"/>
        <v>5706</v>
      </c>
      <c r="S330" s="322">
        <f t="shared" ca="1" si="63"/>
        <v>21</v>
      </c>
    </row>
    <row r="331" spans="1:19">
      <c r="A331" s="674" t="str">
        <f>Sheet2!E311</f>
        <v>A1-064</v>
      </c>
      <c r="B331" s="3235">
        <f>Sheet2!F311</f>
        <v>40.200000000000003</v>
      </c>
      <c r="C331" s="24">
        <f t="shared" si="53"/>
        <v>0.99</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ca="1" si="61"/>
        <v>5706</v>
      </c>
      <c r="S331" s="322">
        <f t="shared" ca="1" si="63"/>
        <v>23</v>
      </c>
    </row>
    <row r="332" spans="1:19">
      <c r="A332" s="674" t="str">
        <f>Sheet2!E312</f>
        <v>A1-087</v>
      </c>
      <c r="B332" s="3235">
        <f>Sheet2!F312</f>
        <v>37.11</v>
      </c>
      <c r="C332" s="24">
        <f t="shared" si="53"/>
        <v>0.99</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ca="1" si="61"/>
        <v>5706</v>
      </c>
      <c r="S332" s="322">
        <f t="shared" ca="1" si="63"/>
        <v>21</v>
      </c>
    </row>
    <row r="333" spans="1:19">
      <c r="A333" s="674" t="str">
        <f>Sheet2!E313</f>
        <v>A1-088</v>
      </c>
      <c r="B333" s="3235">
        <f>Sheet2!F313</f>
        <v>37.11</v>
      </c>
      <c r="C333" s="24">
        <f t="shared" si="53"/>
        <v>0.99</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ca="1" si="61"/>
        <v>5706</v>
      </c>
      <c r="S333" s="322">
        <f t="shared" ca="1" si="63"/>
        <v>21</v>
      </c>
    </row>
    <row r="334" spans="1:19">
      <c r="A334" s="674" t="str">
        <f>Sheet2!E314</f>
        <v>A1-089</v>
      </c>
      <c r="B334" s="3235">
        <f>Sheet2!F314</f>
        <v>37.11</v>
      </c>
      <c r="C334" s="24">
        <f t="shared" si="53"/>
        <v>0.99</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ca="1" si="61"/>
        <v>5706</v>
      </c>
      <c r="S334" s="322">
        <f t="shared" ca="1" si="63"/>
        <v>21</v>
      </c>
    </row>
    <row r="335" spans="1:19">
      <c r="A335" s="674" t="str">
        <f>Sheet2!E315</f>
        <v>B1-001</v>
      </c>
      <c r="B335" s="3235">
        <f>Sheet2!F315</f>
        <v>37.49</v>
      </c>
      <c r="C335" s="24">
        <f t="shared" si="53"/>
        <v>0.99</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ca="1" si="61"/>
        <v>5706</v>
      </c>
      <c r="S335" s="322">
        <f t="shared" ca="1" si="63"/>
        <v>21</v>
      </c>
    </row>
    <row r="336" spans="1:19">
      <c r="A336" s="674" t="str">
        <f>Sheet2!E316</f>
        <v>B1-002</v>
      </c>
      <c r="B336" s="3235">
        <f>Sheet2!F316</f>
        <v>37.49</v>
      </c>
      <c r="C336" s="24">
        <f t="shared" si="53"/>
        <v>0.99</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ca="1" si="61"/>
        <v>5706</v>
      </c>
      <c r="S336" s="322">
        <f t="shared" ca="1" si="63"/>
        <v>21</v>
      </c>
    </row>
    <row r="337" spans="1:19">
      <c r="A337" s="674" t="str">
        <f>Sheet2!E317</f>
        <v>B1-003</v>
      </c>
      <c r="B337" s="3235">
        <f>Sheet2!F317</f>
        <v>37.49</v>
      </c>
      <c r="C337" s="24">
        <f t="shared" si="53"/>
        <v>0.99</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ca="1" si="61"/>
        <v>5706</v>
      </c>
      <c r="S337" s="322">
        <f t="shared" ca="1" si="63"/>
        <v>21</v>
      </c>
    </row>
    <row r="338" spans="1:19">
      <c r="A338" s="674" t="str">
        <f>Sheet2!E318</f>
        <v>B1-004</v>
      </c>
      <c r="B338" s="3235">
        <f>Sheet2!F318</f>
        <v>37.49</v>
      </c>
      <c r="C338" s="24">
        <f t="shared" si="53"/>
        <v>0.99</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ca="1" si="61"/>
        <v>5706</v>
      </c>
      <c r="S338" s="322">
        <f t="shared" ca="1" si="63"/>
        <v>21</v>
      </c>
    </row>
    <row r="339" spans="1:19">
      <c r="A339" s="674" t="str">
        <f>Sheet2!E319</f>
        <v>B1-005</v>
      </c>
      <c r="B339" s="3235">
        <f>Sheet2!F319</f>
        <v>37.49</v>
      </c>
      <c r="C339" s="24">
        <f t="shared" si="53"/>
        <v>0.99</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ca="1" si="61"/>
        <v>5706</v>
      </c>
      <c r="S339" s="322">
        <f t="shared" ca="1" si="63"/>
        <v>21</v>
      </c>
    </row>
    <row r="340" spans="1:19">
      <c r="A340" s="674" t="str">
        <f>Sheet2!E320</f>
        <v>B1-006</v>
      </c>
      <c r="B340" s="3235">
        <f>Sheet2!F320</f>
        <v>37.49</v>
      </c>
      <c r="C340" s="24">
        <f t="shared" si="53"/>
        <v>0.99</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ca="1" si="61"/>
        <v>5706</v>
      </c>
      <c r="S340" s="322">
        <f t="shared" ca="1" si="63"/>
        <v>21</v>
      </c>
    </row>
    <row r="341" spans="1:19">
      <c r="A341" s="674" t="str">
        <f>Sheet2!E321</f>
        <v>B1-007</v>
      </c>
      <c r="B341" s="3235">
        <f>Sheet2!F321</f>
        <v>37.49</v>
      </c>
      <c r="C341" s="24">
        <f t="shared" si="53"/>
        <v>0.99</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ca="1" si="61"/>
        <v>5706</v>
      </c>
      <c r="S341" s="322">
        <f t="shared" ca="1" si="63"/>
        <v>21</v>
      </c>
    </row>
    <row r="342" spans="1:19">
      <c r="A342" s="674" t="str">
        <f>Sheet2!E322</f>
        <v>B1-008</v>
      </c>
      <c r="B342" s="3235">
        <f>Sheet2!F322</f>
        <v>37.49</v>
      </c>
      <c r="C342" s="24">
        <f t="shared" si="53"/>
        <v>0.99</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ca="1" si="61"/>
        <v>5706</v>
      </c>
      <c r="S342" s="322">
        <f t="shared" ca="1" si="63"/>
        <v>21</v>
      </c>
    </row>
    <row r="343" spans="1:19">
      <c r="A343" s="674" t="str">
        <f>Sheet2!E323</f>
        <v>B1-009</v>
      </c>
      <c r="B343" s="3235">
        <f>Sheet2!F323</f>
        <v>37.49</v>
      </c>
      <c r="C343" s="24">
        <f t="shared" si="53"/>
        <v>0.99</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ca="1" si="61"/>
        <v>5706</v>
      </c>
      <c r="S343" s="322">
        <f t="shared" ca="1" si="63"/>
        <v>21</v>
      </c>
    </row>
    <row r="344" spans="1:19">
      <c r="A344" s="674" t="str">
        <f>Sheet2!E324</f>
        <v>B1-010</v>
      </c>
      <c r="B344" s="3235">
        <f>Sheet2!F324</f>
        <v>37.49</v>
      </c>
      <c r="C344" s="24">
        <f t="shared" si="53"/>
        <v>0.99</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ca="1" si="61"/>
        <v>5706</v>
      </c>
      <c r="S344" s="322">
        <f t="shared" ca="1" si="63"/>
        <v>21</v>
      </c>
    </row>
    <row r="345" spans="1:19">
      <c r="A345" s="674" t="str">
        <f>Sheet2!E325</f>
        <v>B1-011</v>
      </c>
      <c r="B345" s="3235">
        <f>Sheet2!F325</f>
        <v>37.49</v>
      </c>
      <c r="C345" s="24">
        <f t="shared" si="53"/>
        <v>0.99</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ca="1" si="61"/>
        <v>5706</v>
      </c>
      <c r="S345" s="322">
        <f t="shared" ca="1" si="63"/>
        <v>21</v>
      </c>
    </row>
    <row r="346" spans="1:19">
      <c r="A346" s="674" t="str">
        <f>Sheet2!E326</f>
        <v>B1-013</v>
      </c>
      <c r="B346" s="3235">
        <f>Sheet2!F326</f>
        <v>37.49</v>
      </c>
      <c r="C346" s="24">
        <f t="shared" ref="C346:C409" si="64">IF(B346="",1,(LOOKUP(B346,$3:$3,$4:$4)-LOOKUP($B$24,$3:$3,$4:$4)+100)/100)</f>
        <v>0.99</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ca="1" si="72">IF(B346="",0,ROUND($R$24*C346*E346*G346*I346*K346*M346*O346*Q346,0))</f>
        <v>5706</v>
      </c>
      <c r="S346" s="322">
        <f t="shared" ca="1" si="63"/>
        <v>21</v>
      </c>
    </row>
    <row r="347" spans="1:19">
      <c r="A347" s="674" t="str">
        <f>Sheet2!E327</f>
        <v>B1-016</v>
      </c>
      <c r="B347" s="3235">
        <f>Sheet2!F327</f>
        <v>37.49</v>
      </c>
      <c r="C347" s="24">
        <f t="shared" si="64"/>
        <v>0.99</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ca="1" si="72"/>
        <v>5706</v>
      </c>
      <c r="S347" s="322">
        <f t="shared" ca="1" si="63"/>
        <v>21</v>
      </c>
    </row>
    <row r="348" spans="1:19">
      <c r="A348" s="674" t="str">
        <f>Sheet2!E328</f>
        <v>B1-017</v>
      </c>
      <c r="B348" s="3235">
        <f>Sheet2!F328</f>
        <v>37.49</v>
      </c>
      <c r="C348" s="24">
        <f t="shared" si="64"/>
        <v>0.99</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ca="1" si="72"/>
        <v>5706</v>
      </c>
      <c r="S348" s="322">
        <f t="shared" ca="1" si="63"/>
        <v>21</v>
      </c>
    </row>
    <row r="349" spans="1:19">
      <c r="A349" s="674" t="str">
        <f>Sheet2!E329</f>
        <v>B1-018</v>
      </c>
      <c r="B349" s="3235">
        <f>Sheet2!F329</f>
        <v>37.49</v>
      </c>
      <c r="C349" s="24">
        <f t="shared" si="64"/>
        <v>0.99</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ca="1" si="72"/>
        <v>5706</v>
      </c>
      <c r="S349" s="322">
        <f t="shared" ca="1" si="63"/>
        <v>21</v>
      </c>
    </row>
    <row r="350" spans="1:19">
      <c r="A350" s="674" t="str">
        <f>Sheet2!E330</f>
        <v>B1-019</v>
      </c>
      <c r="B350" s="3235">
        <f>Sheet2!F330</f>
        <v>37.49</v>
      </c>
      <c r="C350" s="24">
        <f t="shared" si="64"/>
        <v>0.99</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ca="1" si="72"/>
        <v>5706</v>
      </c>
      <c r="S350" s="322">
        <f t="shared" ca="1" si="63"/>
        <v>21</v>
      </c>
    </row>
    <row r="351" spans="1:19">
      <c r="A351" s="674" t="str">
        <f>Sheet2!E331</f>
        <v>B1-021</v>
      </c>
      <c r="B351" s="3235">
        <f>Sheet2!F331</f>
        <v>37.49</v>
      </c>
      <c r="C351" s="24">
        <f t="shared" si="64"/>
        <v>0.99</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ca="1" si="72"/>
        <v>5706</v>
      </c>
      <c r="S351" s="322">
        <f t="shared" ca="1" si="63"/>
        <v>21</v>
      </c>
    </row>
    <row r="352" spans="1:19">
      <c r="A352" s="674" t="str">
        <f>Sheet2!E332</f>
        <v>B1-022</v>
      </c>
      <c r="B352" s="3235">
        <f>Sheet2!F332</f>
        <v>37.49</v>
      </c>
      <c r="C352" s="24">
        <f t="shared" si="64"/>
        <v>0.99</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ca="1" si="72"/>
        <v>5706</v>
      </c>
      <c r="S352" s="322">
        <f t="shared" ca="1" si="63"/>
        <v>21</v>
      </c>
    </row>
    <row r="353" spans="1:19">
      <c r="A353" s="674" t="str">
        <f>Sheet2!E333</f>
        <v>B1-023</v>
      </c>
      <c r="B353" s="3235">
        <f>Sheet2!F333</f>
        <v>37.49</v>
      </c>
      <c r="C353" s="24">
        <f t="shared" si="64"/>
        <v>0.99</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ca="1" si="72"/>
        <v>5706</v>
      </c>
      <c r="S353" s="322">
        <f t="shared" ca="1" si="63"/>
        <v>21</v>
      </c>
    </row>
    <row r="354" spans="1:19">
      <c r="A354" s="674" t="str">
        <f>Sheet2!E334</f>
        <v>B1-024</v>
      </c>
      <c r="B354" s="3235">
        <f>Sheet2!F334</f>
        <v>37.49</v>
      </c>
      <c r="C354" s="24">
        <f t="shared" si="64"/>
        <v>0.99</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ca="1" si="72"/>
        <v>5706</v>
      </c>
      <c r="S354" s="322">
        <f t="shared" ca="1" si="63"/>
        <v>21</v>
      </c>
    </row>
    <row r="355" spans="1:19">
      <c r="A355" s="674" t="str">
        <f>Sheet2!E335</f>
        <v>B1-025</v>
      </c>
      <c r="B355" s="3235">
        <f>Sheet2!F335</f>
        <v>37.49</v>
      </c>
      <c r="C355" s="24">
        <f t="shared" si="64"/>
        <v>0.99</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ca="1" si="72"/>
        <v>5706</v>
      </c>
      <c r="S355" s="322">
        <f t="shared" ca="1" si="63"/>
        <v>21</v>
      </c>
    </row>
    <row r="356" spans="1:19">
      <c r="A356" s="674" t="str">
        <f>Sheet2!E336</f>
        <v>B1-026</v>
      </c>
      <c r="B356" s="3235">
        <f>Sheet2!F336</f>
        <v>35.99</v>
      </c>
      <c r="C356" s="24">
        <f t="shared" si="64"/>
        <v>0.99</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ca="1" si="72"/>
        <v>5706</v>
      </c>
      <c r="S356" s="322">
        <f t="shared" ca="1" si="63"/>
        <v>21</v>
      </c>
    </row>
    <row r="357" spans="1:19">
      <c r="A357" s="674" t="str">
        <f>Sheet2!E337</f>
        <v>B1-032</v>
      </c>
      <c r="B357" s="3235">
        <f>Sheet2!F337</f>
        <v>35.99</v>
      </c>
      <c r="C357" s="24">
        <f t="shared" si="64"/>
        <v>0.99</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ca="1" si="72"/>
        <v>5706</v>
      </c>
      <c r="S357" s="322">
        <f t="shared" ca="1" si="63"/>
        <v>21</v>
      </c>
    </row>
    <row r="358" spans="1:19">
      <c r="A358" s="674" t="str">
        <f>Sheet2!E338</f>
        <v>B1-033</v>
      </c>
      <c r="B358" s="3235">
        <f>Sheet2!F338</f>
        <v>35.99</v>
      </c>
      <c r="C358" s="24">
        <f t="shared" si="64"/>
        <v>0.99</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ca="1" si="72"/>
        <v>5706</v>
      </c>
      <c r="S358" s="322">
        <f t="shared" ca="1" si="63"/>
        <v>21</v>
      </c>
    </row>
    <row r="359" spans="1:19">
      <c r="A359" s="674" t="str">
        <f>Sheet2!E339</f>
        <v>B1-034</v>
      </c>
      <c r="B359" s="3235">
        <f>Sheet2!F339</f>
        <v>35.99</v>
      </c>
      <c r="C359" s="24">
        <f t="shared" si="64"/>
        <v>0.99</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ca="1" si="72"/>
        <v>5706</v>
      </c>
      <c r="S359" s="322">
        <f t="shared" ca="1" si="63"/>
        <v>21</v>
      </c>
    </row>
    <row r="360" spans="1:19">
      <c r="A360" s="674" t="str">
        <f>Sheet2!E340</f>
        <v>B1-035</v>
      </c>
      <c r="B360" s="3235">
        <f>Sheet2!F340</f>
        <v>35.99</v>
      </c>
      <c r="C360" s="24">
        <f t="shared" si="64"/>
        <v>0.99</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ca="1" si="72"/>
        <v>5706</v>
      </c>
      <c r="S360" s="322">
        <f t="shared" ca="1" si="63"/>
        <v>21</v>
      </c>
    </row>
    <row r="361" spans="1:19">
      <c r="A361" s="674" t="str">
        <f>Sheet2!E341</f>
        <v>B1-036</v>
      </c>
      <c r="B361" s="3235">
        <f>Sheet2!F341</f>
        <v>35.99</v>
      </c>
      <c r="C361" s="24">
        <f t="shared" si="64"/>
        <v>0.99</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ca="1" si="72"/>
        <v>5706</v>
      </c>
      <c r="S361" s="322">
        <f t="shared" ca="1" si="63"/>
        <v>21</v>
      </c>
    </row>
    <row r="362" spans="1:19">
      <c r="A362" s="674" t="str">
        <f>Sheet2!E342</f>
        <v>B1-037</v>
      </c>
      <c r="B362" s="3235">
        <f>Sheet2!F342</f>
        <v>35.99</v>
      </c>
      <c r="C362" s="24">
        <f t="shared" si="64"/>
        <v>0.99</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ca="1" si="72"/>
        <v>5706</v>
      </c>
      <c r="S362" s="322">
        <f t="shared" ca="1" si="63"/>
        <v>21</v>
      </c>
    </row>
    <row r="363" spans="1:19">
      <c r="A363" s="674" t="str">
        <f>Sheet2!E343</f>
        <v>B1-039</v>
      </c>
      <c r="B363" s="3235">
        <f>Sheet2!F343</f>
        <v>35.99</v>
      </c>
      <c r="C363" s="24">
        <f t="shared" si="64"/>
        <v>0.99</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ca="1" si="72"/>
        <v>5706</v>
      </c>
      <c r="S363" s="322">
        <f t="shared" ca="1" si="63"/>
        <v>21</v>
      </c>
    </row>
    <row r="364" spans="1:19">
      <c r="A364" s="674" t="str">
        <f>Sheet2!E344</f>
        <v>B1-040</v>
      </c>
      <c r="B364" s="3235">
        <f>Sheet2!F344</f>
        <v>35.99</v>
      </c>
      <c r="C364" s="24">
        <f t="shared" si="64"/>
        <v>0.99</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ca="1" si="72"/>
        <v>5706</v>
      </c>
      <c r="S364" s="322">
        <f t="shared" ca="1" si="63"/>
        <v>21</v>
      </c>
    </row>
    <row r="365" spans="1:19">
      <c r="A365" s="674" t="str">
        <f>Sheet2!E345</f>
        <v>B1-062</v>
      </c>
      <c r="B365" s="3235">
        <f>Sheet2!F345</f>
        <v>35.99</v>
      </c>
      <c r="C365" s="24">
        <f t="shared" si="64"/>
        <v>0.99</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ca="1" si="72"/>
        <v>5706</v>
      </c>
      <c r="S365" s="322">
        <f t="shared" ca="1" si="63"/>
        <v>21</v>
      </c>
    </row>
    <row r="366" spans="1:19">
      <c r="A366" s="674" t="str">
        <f>Sheet2!E346</f>
        <v>B1-063</v>
      </c>
      <c r="B366" s="3235">
        <f>Sheet2!F346</f>
        <v>35.99</v>
      </c>
      <c r="C366" s="24">
        <f t="shared" si="64"/>
        <v>0.99</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ca="1" si="72"/>
        <v>5706</v>
      </c>
      <c r="S366" s="322">
        <f t="shared" ca="1" si="63"/>
        <v>21</v>
      </c>
    </row>
    <row r="367" spans="1:19">
      <c r="A367" s="674" t="str">
        <f>Sheet2!E347</f>
        <v>B1-065</v>
      </c>
      <c r="B367" s="3235">
        <f>Sheet2!F347</f>
        <v>35.99</v>
      </c>
      <c r="C367" s="24">
        <f t="shared" si="64"/>
        <v>0.99</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ca="1" si="72"/>
        <v>5706</v>
      </c>
      <c r="S367" s="322">
        <f t="shared" ca="1" si="63"/>
        <v>21</v>
      </c>
    </row>
    <row r="368" spans="1:19">
      <c r="A368" s="674" t="str">
        <f>Sheet2!E348</f>
        <v>B1-066</v>
      </c>
      <c r="B368" s="3235">
        <f>Sheet2!F348</f>
        <v>35.99</v>
      </c>
      <c r="C368" s="24">
        <f t="shared" si="64"/>
        <v>0.99</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ca="1" si="72"/>
        <v>5706</v>
      </c>
      <c r="S368" s="322">
        <f t="shared" ca="1" si="63"/>
        <v>21</v>
      </c>
    </row>
    <row r="369" spans="1:19">
      <c r="A369" s="674" t="str">
        <f>Sheet2!E349</f>
        <v>B1-069</v>
      </c>
      <c r="B369" s="3235">
        <f>Sheet2!F349</f>
        <v>35.99</v>
      </c>
      <c r="C369" s="24">
        <f t="shared" si="64"/>
        <v>0.99</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ca="1" si="72"/>
        <v>5706</v>
      </c>
      <c r="S369" s="322">
        <f t="shared" ca="1" si="63"/>
        <v>21</v>
      </c>
    </row>
    <row r="370" spans="1:19">
      <c r="A370" s="674" t="str">
        <f>Sheet2!E350</f>
        <v>B1-083</v>
      </c>
      <c r="B370" s="3235">
        <f>Sheet2!F350</f>
        <v>35.99</v>
      </c>
      <c r="C370" s="24">
        <f t="shared" si="64"/>
        <v>0.99</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ca="1" si="72"/>
        <v>5706</v>
      </c>
      <c r="S370" s="322">
        <f t="shared" ca="1" si="63"/>
        <v>21</v>
      </c>
    </row>
    <row r="371" spans="1:19">
      <c r="A371" s="674" t="str">
        <f>Sheet2!E351</f>
        <v>B1-087</v>
      </c>
      <c r="B371" s="3235">
        <f>Sheet2!F351</f>
        <v>35.99</v>
      </c>
      <c r="C371" s="24">
        <f t="shared" si="64"/>
        <v>0.99</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ca="1" si="72"/>
        <v>5706</v>
      </c>
      <c r="S371" s="322">
        <f t="shared" ca="1" si="63"/>
        <v>21</v>
      </c>
    </row>
    <row r="372" spans="1:19">
      <c r="A372" s="674" t="str">
        <f>Sheet2!E352</f>
        <v>B1-088</v>
      </c>
      <c r="B372" s="3235">
        <f>Sheet2!F352</f>
        <v>35.99</v>
      </c>
      <c r="C372" s="24">
        <f t="shared" si="64"/>
        <v>0.99</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ca="1" si="72"/>
        <v>5706</v>
      </c>
      <c r="S372" s="322">
        <f t="shared" ca="1" si="63"/>
        <v>21</v>
      </c>
    </row>
    <row r="373" spans="1:19">
      <c r="A373" s="674" t="str">
        <f>Sheet2!E353</f>
        <v>B1-089</v>
      </c>
      <c r="B373" s="3235">
        <f>Sheet2!F353</f>
        <v>35.99</v>
      </c>
      <c r="C373" s="24">
        <f t="shared" si="64"/>
        <v>0.99</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ca="1" si="72"/>
        <v>5706</v>
      </c>
      <c r="S373" s="322">
        <f t="shared" ca="1" si="63"/>
        <v>21</v>
      </c>
    </row>
    <row r="374" spans="1:19">
      <c r="A374" s="674" t="str">
        <f>Sheet2!E354</f>
        <v>B1-090</v>
      </c>
      <c r="B374" s="3235">
        <f>Sheet2!F354</f>
        <v>35.99</v>
      </c>
      <c r="C374" s="24">
        <f t="shared" si="64"/>
        <v>0.99</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ca="1" si="72"/>
        <v>5706</v>
      </c>
      <c r="S374" s="322">
        <f t="shared" ca="1" si="63"/>
        <v>21</v>
      </c>
    </row>
    <row r="375" spans="1:19">
      <c r="A375" s="674" t="str">
        <f>Sheet2!E355</f>
        <v>B1-108</v>
      </c>
      <c r="B375" s="3235">
        <f>Sheet2!F355</f>
        <v>35.99</v>
      </c>
      <c r="C375" s="24">
        <f t="shared" si="64"/>
        <v>0.99</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ca="1" si="72"/>
        <v>5706</v>
      </c>
      <c r="S375" s="322">
        <f t="shared" ca="1" si="63"/>
        <v>21</v>
      </c>
    </row>
    <row r="376" spans="1:19">
      <c r="A376" s="674" t="str">
        <f>Sheet2!E356</f>
        <v>B1-109</v>
      </c>
      <c r="B376" s="3235">
        <f>Sheet2!F356</f>
        <v>35.99</v>
      </c>
      <c r="C376" s="24">
        <f t="shared" si="64"/>
        <v>0.99</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ca="1" si="72"/>
        <v>5706</v>
      </c>
      <c r="S376" s="322">
        <f t="shared" ca="1" si="63"/>
        <v>21</v>
      </c>
    </row>
    <row r="377" spans="1:19">
      <c r="A377" s="674" t="str">
        <f>Sheet2!E357</f>
        <v>B1-110</v>
      </c>
      <c r="B377" s="3235">
        <f>Sheet2!F357</f>
        <v>35.99</v>
      </c>
      <c r="C377" s="24">
        <f t="shared" si="64"/>
        <v>0.99</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ca="1" si="72"/>
        <v>5706</v>
      </c>
      <c r="S377" s="322">
        <f t="shared" ca="1" si="63"/>
        <v>21</v>
      </c>
    </row>
    <row r="378" spans="1:19">
      <c r="A378" s="674" t="str">
        <f>Sheet2!E358</f>
        <v>B1-111</v>
      </c>
      <c r="B378" s="3235">
        <f>Sheet2!F358</f>
        <v>35.99</v>
      </c>
      <c r="C378" s="24">
        <f t="shared" si="64"/>
        <v>0.99</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ca="1" si="72"/>
        <v>5706</v>
      </c>
      <c r="S378" s="322">
        <f t="shared" ca="1" si="63"/>
        <v>21</v>
      </c>
    </row>
    <row r="379" spans="1:19">
      <c r="A379" s="674" t="str">
        <f>Sheet2!E359</f>
        <v>B1-113</v>
      </c>
      <c r="B379" s="3235">
        <f>Sheet2!F359</f>
        <v>35.99</v>
      </c>
      <c r="C379" s="24">
        <f t="shared" si="64"/>
        <v>0.99</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ca="1" si="72"/>
        <v>5706</v>
      </c>
      <c r="S379" s="322">
        <f t="shared" ca="1" si="63"/>
        <v>21</v>
      </c>
    </row>
    <row r="380" spans="1:19">
      <c r="A380" s="674" t="str">
        <f>Sheet2!E360</f>
        <v>C1-001</v>
      </c>
      <c r="B380" s="3235">
        <f>Sheet2!F360</f>
        <v>37.11</v>
      </c>
      <c r="C380" s="24">
        <f t="shared" si="64"/>
        <v>0.99</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ca="1" si="72"/>
        <v>5706</v>
      </c>
      <c r="S380" s="322">
        <f t="shared" ca="1" si="63"/>
        <v>21</v>
      </c>
    </row>
    <row r="381" spans="1:19">
      <c r="A381" s="674" t="str">
        <f>Sheet2!E361</f>
        <v>C1-002</v>
      </c>
      <c r="B381" s="3235">
        <f>Sheet2!F361</f>
        <v>37.11</v>
      </c>
      <c r="C381" s="24">
        <f t="shared" si="64"/>
        <v>0.99</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ca="1" si="72"/>
        <v>5706</v>
      </c>
      <c r="S381" s="322">
        <f t="shared" ca="1" si="63"/>
        <v>21</v>
      </c>
    </row>
    <row r="382" spans="1:19">
      <c r="A382" s="674" t="str">
        <f>Sheet2!E362</f>
        <v>C1-003</v>
      </c>
      <c r="B382" s="3235">
        <f>Sheet2!F362</f>
        <v>37.11</v>
      </c>
      <c r="C382" s="24">
        <f t="shared" si="64"/>
        <v>0.99</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ca="1" si="72"/>
        <v>5706</v>
      </c>
      <c r="S382" s="322">
        <f t="shared" ca="1" si="63"/>
        <v>21</v>
      </c>
    </row>
    <row r="383" spans="1:19">
      <c r="A383" s="674" t="str">
        <f>Sheet2!E363</f>
        <v>C1-004</v>
      </c>
      <c r="B383" s="3235">
        <f>Sheet2!F363</f>
        <v>37.11</v>
      </c>
      <c r="C383" s="24">
        <f t="shared" si="64"/>
        <v>0.99</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ca="1" si="72"/>
        <v>5706</v>
      </c>
      <c r="S383" s="322">
        <f t="shared" ca="1" si="63"/>
        <v>21</v>
      </c>
    </row>
    <row r="384" spans="1:19">
      <c r="A384" s="674" t="str">
        <f>Sheet2!E364</f>
        <v>C1-005</v>
      </c>
      <c r="B384" s="3235">
        <f>Sheet2!F364</f>
        <v>37.11</v>
      </c>
      <c r="C384" s="24">
        <f t="shared" si="64"/>
        <v>0.99</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ca="1" si="72"/>
        <v>5706</v>
      </c>
      <c r="S384" s="322">
        <f t="shared" ca="1" si="63"/>
        <v>21</v>
      </c>
    </row>
    <row r="385" spans="1:19">
      <c r="A385" s="674" t="str">
        <f>Sheet2!E365</f>
        <v>C1-006</v>
      </c>
      <c r="B385" s="3235">
        <f>Sheet2!F365</f>
        <v>37.11</v>
      </c>
      <c r="C385" s="24">
        <f t="shared" si="64"/>
        <v>0.99</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ca="1" si="72"/>
        <v>5706</v>
      </c>
      <c r="S385" s="322">
        <f t="shared" ref="S385:S422" ca="1" si="73">ROUND(R385*B385/10000,0)</f>
        <v>21</v>
      </c>
    </row>
    <row r="386" spans="1:19">
      <c r="A386" s="674" t="str">
        <f>Sheet2!E366</f>
        <v>C1-007</v>
      </c>
      <c r="B386" s="3235">
        <f>Sheet2!F366</f>
        <v>37.11</v>
      </c>
      <c r="C386" s="24">
        <f t="shared" si="64"/>
        <v>0.99</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ca="1" si="72"/>
        <v>5706</v>
      </c>
      <c r="S386" s="322">
        <f t="shared" ca="1" si="73"/>
        <v>21</v>
      </c>
    </row>
    <row r="387" spans="1:19">
      <c r="A387" s="674" t="str">
        <f>Sheet2!E367</f>
        <v>C1-008</v>
      </c>
      <c r="B387" s="3235">
        <f>Sheet2!F367</f>
        <v>37.11</v>
      </c>
      <c r="C387" s="24">
        <f t="shared" si="64"/>
        <v>0.99</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ca="1" si="72"/>
        <v>5706</v>
      </c>
      <c r="S387" s="322">
        <f t="shared" ca="1" si="73"/>
        <v>21</v>
      </c>
    </row>
    <row r="388" spans="1:19">
      <c r="A388" s="674" t="str">
        <f>Sheet2!E368</f>
        <v>C1-009</v>
      </c>
      <c r="B388" s="3235">
        <f>Sheet2!F368</f>
        <v>37.11</v>
      </c>
      <c r="C388" s="24">
        <f t="shared" si="64"/>
        <v>0.99</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ca="1" si="72"/>
        <v>5706</v>
      </c>
      <c r="S388" s="322">
        <f t="shared" ca="1" si="73"/>
        <v>21</v>
      </c>
    </row>
    <row r="389" spans="1:19">
      <c r="A389" s="674" t="str">
        <f>Sheet2!E369</f>
        <v>C1-023</v>
      </c>
      <c r="B389" s="3235">
        <f>Sheet2!F369</f>
        <v>37.11</v>
      </c>
      <c r="C389" s="24">
        <f t="shared" si="64"/>
        <v>0.99</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ca="1" si="72"/>
        <v>5706</v>
      </c>
      <c r="S389" s="322">
        <f t="shared" ca="1" si="73"/>
        <v>21</v>
      </c>
    </row>
    <row r="390" spans="1:19">
      <c r="A390" s="674" t="str">
        <f>Sheet2!E370</f>
        <v>C1-026</v>
      </c>
      <c r="B390" s="3235">
        <f>Sheet2!F370</f>
        <v>37.11</v>
      </c>
      <c r="C390" s="24">
        <f t="shared" si="64"/>
        <v>0.99</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ca="1" si="72"/>
        <v>5706</v>
      </c>
      <c r="S390" s="322">
        <f t="shared" ca="1" si="73"/>
        <v>21</v>
      </c>
    </row>
    <row r="391" spans="1:19">
      <c r="A391" s="674" t="str">
        <f>Sheet2!E371</f>
        <v>C1-027</v>
      </c>
      <c r="B391" s="3235">
        <f>Sheet2!F371</f>
        <v>37.11</v>
      </c>
      <c r="C391" s="24">
        <f t="shared" si="64"/>
        <v>0.99</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ca="1" si="72"/>
        <v>5706</v>
      </c>
      <c r="S391" s="322">
        <f t="shared" ca="1" si="73"/>
        <v>21</v>
      </c>
    </row>
    <row r="392" spans="1:19">
      <c r="A392" s="674" t="str">
        <f>Sheet2!E372</f>
        <v>C1-028</v>
      </c>
      <c r="B392" s="3235">
        <f>Sheet2!F372</f>
        <v>37.11</v>
      </c>
      <c r="C392" s="24">
        <f t="shared" si="64"/>
        <v>0.99</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ca="1" si="72"/>
        <v>5706</v>
      </c>
      <c r="S392" s="322">
        <f t="shared" ca="1" si="73"/>
        <v>21</v>
      </c>
    </row>
    <row r="393" spans="1:19">
      <c r="A393" s="674" t="str">
        <f>Sheet2!E373</f>
        <v>C1-029</v>
      </c>
      <c r="B393" s="3235">
        <f>Sheet2!F373</f>
        <v>37.11</v>
      </c>
      <c r="C393" s="24">
        <f t="shared" si="64"/>
        <v>0.99</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ca="1" si="72"/>
        <v>5706</v>
      </c>
      <c r="S393" s="322">
        <f t="shared" ca="1" si="73"/>
        <v>21</v>
      </c>
    </row>
    <row r="394" spans="1:19">
      <c r="A394" s="674" t="str">
        <f>Sheet2!E374</f>
        <v>C1-031</v>
      </c>
      <c r="B394" s="3235">
        <f>Sheet2!F374</f>
        <v>37.11</v>
      </c>
      <c r="C394" s="24">
        <f t="shared" si="64"/>
        <v>0.99</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ca="1" si="72"/>
        <v>5706</v>
      </c>
      <c r="S394" s="322">
        <f t="shared" ca="1" si="73"/>
        <v>21</v>
      </c>
    </row>
    <row r="395" spans="1:19">
      <c r="A395" s="674" t="str">
        <f>Sheet2!E375</f>
        <v>C1-038</v>
      </c>
      <c r="B395" s="3235">
        <f>Sheet2!F375</f>
        <v>37.11</v>
      </c>
      <c r="C395" s="24">
        <f t="shared" si="64"/>
        <v>0.99</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ca="1" si="72"/>
        <v>5706</v>
      </c>
      <c r="S395" s="322">
        <f t="shared" ca="1" si="73"/>
        <v>21</v>
      </c>
    </row>
    <row r="396" spans="1:19">
      <c r="A396" s="674" t="str">
        <f>Sheet2!E376</f>
        <v>C1-047</v>
      </c>
      <c r="B396" s="3235">
        <f>Sheet2!F376</f>
        <v>35.96</v>
      </c>
      <c r="C396" s="24">
        <f t="shared" si="64"/>
        <v>0.99</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ca="1" si="72"/>
        <v>5706</v>
      </c>
      <c r="S396" s="322">
        <f t="shared" ca="1" si="73"/>
        <v>21</v>
      </c>
    </row>
    <row r="397" spans="1:19">
      <c r="A397" s="674" t="str">
        <f>Sheet2!E377</f>
        <v>C1-055</v>
      </c>
      <c r="B397" s="3235">
        <f>Sheet2!F377</f>
        <v>35.96</v>
      </c>
      <c r="C397" s="24">
        <f t="shared" si="64"/>
        <v>0.99</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ca="1" si="72"/>
        <v>5706</v>
      </c>
      <c r="S397" s="322">
        <f t="shared" ca="1" si="73"/>
        <v>21</v>
      </c>
    </row>
    <row r="398" spans="1:19">
      <c r="A398" s="674" t="str">
        <f>Sheet2!E378</f>
        <v>C1-056</v>
      </c>
      <c r="B398" s="3235">
        <f>Sheet2!F378</f>
        <v>31.27</v>
      </c>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ca="1" si="72"/>
        <v>5764</v>
      </c>
      <c r="S398" s="322">
        <f t="shared" ca="1" si="73"/>
        <v>18</v>
      </c>
    </row>
    <row r="399" spans="1:19">
      <c r="A399" s="674" t="str">
        <f>Sheet2!E379</f>
        <v>C1-057</v>
      </c>
      <c r="B399" s="3235">
        <f>Sheet2!F379</f>
        <v>39.090000000000003</v>
      </c>
      <c r="C399" s="24">
        <f t="shared" si="64"/>
        <v>0.99</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ca="1" si="72"/>
        <v>5706</v>
      </c>
      <c r="S399" s="322">
        <f t="shared" ca="1" si="73"/>
        <v>22</v>
      </c>
    </row>
    <row r="400" spans="1:19">
      <c r="A400" s="674" t="str">
        <f>Sheet2!E380</f>
        <v>C1-058</v>
      </c>
      <c r="B400" s="3235">
        <f>Sheet2!F380</f>
        <v>35.96</v>
      </c>
      <c r="C400" s="24">
        <f t="shared" si="64"/>
        <v>0.99</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ca="1" si="72"/>
        <v>5706</v>
      </c>
      <c r="S400" s="322">
        <f t="shared" ca="1" si="73"/>
        <v>21</v>
      </c>
    </row>
    <row r="401" spans="1:19">
      <c r="A401" s="674" t="str">
        <f>Sheet2!E381</f>
        <v>C1-059</v>
      </c>
      <c r="B401" s="3235">
        <f>Sheet2!F381</f>
        <v>35.96</v>
      </c>
      <c r="C401" s="24">
        <f t="shared" si="64"/>
        <v>0.99</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ca="1" si="72"/>
        <v>5706</v>
      </c>
      <c r="S401" s="322">
        <f t="shared" ca="1" si="73"/>
        <v>21</v>
      </c>
    </row>
    <row r="402" spans="1:19">
      <c r="A402" s="674" t="str">
        <f>Sheet2!E382</f>
        <v>C1-060</v>
      </c>
      <c r="B402" s="3235">
        <f>Sheet2!F382</f>
        <v>37.11</v>
      </c>
      <c r="C402" s="24">
        <f t="shared" si="64"/>
        <v>0.99</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ca="1" si="72"/>
        <v>5706</v>
      </c>
      <c r="S402" s="322">
        <f t="shared" ca="1" si="73"/>
        <v>21</v>
      </c>
    </row>
    <row r="403" spans="1:19">
      <c r="A403" s="674" t="str">
        <f>Sheet2!E383</f>
        <v>C1-062</v>
      </c>
      <c r="B403" s="3235">
        <f>Sheet2!F383</f>
        <v>36.340000000000003</v>
      </c>
      <c r="C403" s="24">
        <f t="shared" si="64"/>
        <v>0.99</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ca="1" si="72"/>
        <v>5706</v>
      </c>
      <c r="S403" s="322">
        <f t="shared" ca="1" si="73"/>
        <v>21</v>
      </c>
    </row>
    <row r="404" spans="1:19">
      <c r="A404" s="674" t="str">
        <f>Sheet2!E384</f>
        <v>C1-065</v>
      </c>
      <c r="B404" s="3235">
        <f>Sheet2!F384</f>
        <v>36.340000000000003</v>
      </c>
      <c r="C404" s="24">
        <f t="shared" si="64"/>
        <v>0.99</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ca="1" si="72"/>
        <v>5706</v>
      </c>
      <c r="S404" s="322">
        <f t="shared" ca="1" si="73"/>
        <v>21</v>
      </c>
    </row>
    <row r="405" spans="1:19">
      <c r="A405" s="674" t="str">
        <f>Sheet2!E385</f>
        <v>C1-068</v>
      </c>
      <c r="B405" s="3235">
        <f>Sheet2!F385</f>
        <v>36.340000000000003</v>
      </c>
      <c r="C405" s="24">
        <f t="shared" si="64"/>
        <v>0.99</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ca="1" si="72"/>
        <v>5706</v>
      </c>
      <c r="S405" s="322">
        <f t="shared" ca="1" si="73"/>
        <v>21</v>
      </c>
    </row>
    <row r="406" spans="1:19">
      <c r="A406" s="674" t="str">
        <f>Sheet2!E386</f>
        <v>C1-071</v>
      </c>
      <c r="B406" s="3235">
        <f>Sheet2!F386</f>
        <v>36.340000000000003</v>
      </c>
      <c r="C406" s="24">
        <f t="shared" si="64"/>
        <v>0.99</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ca="1" si="72"/>
        <v>5706</v>
      </c>
      <c r="S406" s="322">
        <f t="shared" ca="1" si="73"/>
        <v>21</v>
      </c>
    </row>
    <row r="407" spans="1:19">
      <c r="A407" s="674" t="str">
        <f>Sheet2!E387</f>
        <v>C1-072</v>
      </c>
      <c r="B407" s="3235">
        <f>Sheet2!F387</f>
        <v>36.340000000000003</v>
      </c>
      <c r="C407" s="24">
        <f t="shared" si="64"/>
        <v>0.99</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ca="1" si="72"/>
        <v>5706</v>
      </c>
      <c r="S407" s="322">
        <f t="shared" ca="1" si="73"/>
        <v>21</v>
      </c>
    </row>
    <row r="408" spans="1:19">
      <c r="A408" s="674" t="str">
        <f>Sheet2!E388</f>
        <v>C1-073</v>
      </c>
      <c r="B408" s="3235">
        <f>Sheet2!F388</f>
        <v>36.340000000000003</v>
      </c>
      <c r="C408" s="24">
        <f t="shared" si="64"/>
        <v>0.99</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ca="1" si="72"/>
        <v>5706</v>
      </c>
      <c r="S408" s="322">
        <f t="shared" ca="1" si="73"/>
        <v>21</v>
      </c>
    </row>
    <row r="409" spans="1:19">
      <c r="A409" s="674" t="str">
        <f>Sheet2!E389</f>
        <v>C1-074</v>
      </c>
      <c r="B409" s="3235">
        <f>Sheet2!F389</f>
        <v>36.340000000000003</v>
      </c>
      <c r="C409" s="24">
        <f t="shared" si="64"/>
        <v>0.99</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ca="1" si="72"/>
        <v>5706</v>
      </c>
      <c r="S409" s="322">
        <f t="shared" ca="1" si="73"/>
        <v>21</v>
      </c>
    </row>
    <row r="410" spans="1:19">
      <c r="A410" s="674" t="str">
        <f>Sheet2!E390</f>
        <v>C1-075</v>
      </c>
      <c r="B410" s="3235">
        <f>Sheet2!F390</f>
        <v>38.659999999999997</v>
      </c>
      <c r="C410" s="24">
        <f t="shared" ref="C410:C473" si="74">IF(B410="",1,(LOOKUP(B410,$3:$3,$4:$4)-LOOKUP($B$24,$3:$3,$4:$4)+100)/100)</f>
        <v>0.99</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ca="1" si="82">IF(B410="",0,ROUND($R$24*C410*E410*G410*I410*K410*M410*O410*Q410,0))</f>
        <v>5706</v>
      </c>
      <c r="S410" s="322">
        <f t="shared" ca="1" si="73"/>
        <v>22</v>
      </c>
    </row>
    <row r="411" spans="1:19">
      <c r="A411" s="674" t="str">
        <f>Sheet2!E391</f>
        <v>C1-076</v>
      </c>
      <c r="B411" s="3235">
        <f>Sheet2!F391</f>
        <v>38.659999999999997</v>
      </c>
      <c r="C411" s="24">
        <f t="shared" si="74"/>
        <v>0.99</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ca="1" si="82"/>
        <v>5706</v>
      </c>
      <c r="S411" s="322">
        <f t="shared" ca="1" si="73"/>
        <v>22</v>
      </c>
    </row>
    <row r="412" spans="1:19">
      <c r="A412" s="674" t="str">
        <f>Sheet2!E392</f>
        <v>C1-077</v>
      </c>
      <c r="B412" s="3235">
        <f>Sheet2!F392</f>
        <v>38.659999999999997</v>
      </c>
      <c r="C412" s="24">
        <f t="shared" si="74"/>
        <v>0.99</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ca="1" si="82"/>
        <v>5706</v>
      </c>
      <c r="S412" s="322">
        <f t="shared" ca="1" si="73"/>
        <v>22</v>
      </c>
    </row>
    <row r="413" spans="1:19">
      <c r="A413" s="674" t="str">
        <f>Sheet2!E393</f>
        <v>C1-078</v>
      </c>
      <c r="B413" s="3235">
        <f>Sheet2!F393</f>
        <v>38.659999999999997</v>
      </c>
      <c r="C413" s="24">
        <f t="shared" si="74"/>
        <v>0.99</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ca="1" si="82"/>
        <v>5706</v>
      </c>
      <c r="S413" s="322">
        <f t="shared" ca="1" si="73"/>
        <v>22</v>
      </c>
    </row>
    <row r="414" spans="1:19">
      <c r="A414" s="674" t="str">
        <f>Sheet2!E394</f>
        <v>C1-079</v>
      </c>
      <c r="B414" s="3235">
        <f>Sheet2!F394</f>
        <v>36.340000000000003</v>
      </c>
      <c r="C414" s="24">
        <f t="shared" si="74"/>
        <v>0.99</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ca="1" si="82"/>
        <v>5706</v>
      </c>
      <c r="S414" s="322">
        <f t="shared" ca="1" si="73"/>
        <v>21</v>
      </c>
    </row>
    <row r="415" spans="1:19">
      <c r="A415" s="674" t="str">
        <f>Sheet2!E395</f>
        <v>C1-080</v>
      </c>
      <c r="B415" s="3235">
        <f>Sheet2!F395</f>
        <v>36.340000000000003</v>
      </c>
      <c r="C415" s="24">
        <f t="shared" si="74"/>
        <v>0.99</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ca="1" si="82"/>
        <v>5706</v>
      </c>
      <c r="S415" s="322">
        <f t="shared" ca="1" si="73"/>
        <v>21</v>
      </c>
    </row>
    <row r="416" spans="1:19">
      <c r="A416" s="674" t="str">
        <f>Sheet2!E396</f>
        <v>C1-081</v>
      </c>
      <c r="B416" s="3235">
        <f>Sheet2!F396</f>
        <v>36.340000000000003</v>
      </c>
      <c r="C416" s="24">
        <f t="shared" si="74"/>
        <v>0.99</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ca="1" si="82"/>
        <v>5706</v>
      </c>
      <c r="S416" s="322">
        <f t="shared" ca="1" si="73"/>
        <v>21</v>
      </c>
    </row>
    <row r="417" spans="1:19">
      <c r="A417" s="674" t="str">
        <f>Sheet2!E397</f>
        <v>C1-082</v>
      </c>
      <c r="B417" s="3235">
        <f>Sheet2!F397</f>
        <v>36.340000000000003</v>
      </c>
      <c r="C417" s="24">
        <f t="shared" si="74"/>
        <v>0.99</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ca="1" si="82"/>
        <v>5706</v>
      </c>
      <c r="S417" s="322">
        <f t="shared" ca="1" si="73"/>
        <v>21</v>
      </c>
    </row>
    <row r="418" spans="1:19">
      <c r="A418" s="674" t="str">
        <f>Sheet2!E398</f>
        <v>C1-083</v>
      </c>
      <c r="B418" s="3235">
        <f>Sheet2!F398</f>
        <v>36.340000000000003</v>
      </c>
      <c r="C418" s="24">
        <f t="shared" si="74"/>
        <v>0.99</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ca="1" si="82"/>
        <v>5706</v>
      </c>
      <c r="S418" s="322">
        <f t="shared" ca="1" si="73"/>
        <v>21</v>
      </c>
    </row>
    <row r="419" spans="1:19">
      <c r="A419" s="674" t="str">
        <f>Sheet2!E399</f>
        <v>C1-084</v>
      </c>
      <c r="B419" s="3235">
        <f>Sheet2!F399</f>
        <v>36.340000000000003</v>
      </c>
      <c r="C419" s="24">
        <f t="shared" si="74"/>
        <v>0.99</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ca="1" si="82"/>
        <v>5706</v>
      </c>
      <c r="S419" s="322">
        <f t="shared" ca="1" si="73"/>
        <v>21</v>
      </c>
    </row>
    <row r="420" spans="1:19">
      <c r="A420" s="674" t="str">
        <f>Sheet2!E400</f>
        <v>C1-085</v>
      </c>
      <c r="B420" s="3235">
        <f>Sheet2!F400</f>
        <v>36.340000000000003</v>
      </c>
      <c r="C420" s="24">
        <f t="shared" si="74"/>
        <v>0.99</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ca="1" si="82"/>
        <v>5706</v>
      </c>
      <c r="S420" s="322">
        <f t="shared" ca="1" si="73"/>
        <v>21</v>
      </c>
    </row>
    <row r="421" spans="1:19">
      <c r="A421" s="674" t="str">
        <f>Sheet2!E401</f>
        <v>C1-086</v>
      </c>
      <c r="B421" s="3235">
        <f>Sheet2!F401</f>
        <v>36.340000000000003</v>
      </c>
      <c r="C421" s="24">
        <f t="shared" si="74"/>
        <v>0.99</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ca="1" si="82"/>
        <v>5706</v>
      </c>
      <c r="S421" s="322">
        <f t="shared" ca="1" si="73"/>
        <v>21</v>
      </c>
    </row>
    <row r="422" spans="1:19">
      <c r="A422" s="674" t="str">
        <f>Sheet2!E402</f>
        <v>D1-001</v>
      </c>
      <c r="B422" s="3235">
        <f>Sheet2!F402</f>
        <v>35.99</v>
      </c>
      <c r="C422" s="24">
        <f t="shared" si="74"/>
        <v>0.99</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ca="1" si="82"/>
        <v>5706</v>
      </c>
      <c r="S422" s="322">
        <f t="shared" ca="1" si="73"/>
        <v>21</v>
      </c>
    </row>
    <row r="423" spans="1:19">
      <c r="A423" s="674" t="str">
        <f>Sheet2!E403</f>
        <v>D1-005</v>
      </c>
      <c r="B423" s="3235">
        <f>Sheet2!F403</f>
        <v>37.49</v>
      </c>
      <c r="C423" s="24">
        <f t="shared" si="74"/>
        <v>0.99</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ca="1" si="82"/>
        <v>5706</v>
      </c>
      <c r="S423" s="322">
        <f t="shared" ref="S423:S467" ca="1" si="83">ROUND(R423*B423/10000,0)</f>
        <v>21</v>
      </c>
    </row>
    <row r="424" spans="1:19">
      <c r="A424" s="674" t="str">
        <f>Sheet2!E404</f>
        <v>D1-007</v>
      </c>
      <c r="B424" s="3235">
        <f>Sheet2!F404</f>
        <v>37.49</v>
      </c>
      <c r="C424" s="24">
        <f t="shared" si="74"/>
        <v>0.99</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ca="1" si="82"/>
        <v>5706</v>
      </c>
      <c r="S424" s="322">
        <f t="shared" ca="1" si="83"/>
        <v>21</v>
      </c>
    </row>
    <row r="425" spans="1:19">
      <c r="A425" s="674" t="str">
        <f>Sheet2!E405</f>
        <v>D1-008</v>
      </c>
      <c r="B425" s="3235">
        <f>Sheet2!F405</f>
        <v>35.99</v>
      </c>
      <c r="C425" s="24">
        <f t="shared" si="74"/>
        <v>0.99</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ca="1" si="82"/>
        <v>5706</v>
      </c>
      <c r="S425" s="322">
        <f t="shared" ca="1" si="83"/>
        <v>21</v>
      </c>
    </row>
    <row r="426" spans="1:19">
      <c r="A426" s="674" t="str">
        <f>Sheet2!E406</f>
        <v>D1-009</v>
      </c>
      <c r="B426" s="3235">
        <f>Sheet2!F406</f>
        <v>37.49</v>
      </c>
      <c r="C426" s="24">
        <f t="shared" si="74"/>
        <v>0.99</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ca="1" si="82"/>
        <v>5706</v>
      </c>
      <c r="S426" s="322">
        <f t="shared" ca="1" si="83"/>
        <v>21</v>
      </c>
    </row>
    <row r="427" spans="1:19">
      <c r="A427" s="674" t="str">
        <f>Sheet2!E407</f>
        <v>D1-010</v>
      </c>
      <c r="B427" s="3235">
        <f>Sheet2!F407</f>
        <v>37.49</v>
      </c>
      <c r="C427" s="24">
        <f t="shared" si="74"/>
        <v>0.99</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ca="1" si="82"/>
        <v>5706</v>
      </c>
      <c r="S427" s="322">
        <f t="shared" ca="1" si="83"/>
        <v>21</v>
      </c>
    </row>
    <row r="428" spans="1:19">
      <c r="A428" s="674" t="str">
        <f>Sheet2!E408</f>
        <v>D1-013</v>
      </c>
      <c r="B428" s="3235">
        <f>Sheet2!F408</f>
        <v>37.49</v>
      </c>
      <c r="C428" s="24">
        <f t="shared" si="74"/>
        <v>0.99</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ca="1" si="82"/>
        <v>5706</v>
      </c>
      <c r="S428" s="322">
        <f t="shared" ca="1" si="83"/>
        <v>21</v>
      </c>
    </row>
    <row r="429" spans="1:19">
      <c r="A429" s="674" t="str">
        <f>Sheet2!E409</f>
        <v>D1-016</v>
      </c>
      <c r="B429" s="3235">
        <f>Sheet2!F409</f>
        <v>37.49</v>
      </c>
      <c r="C429" s="24">
        <f t="shared" si="74"/>
        <v>0.99</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ca="1" si="82"/>
        <v>5706</v>
      </c>
      <c r="S429" s="322">
        <f t="shared" ca="1" si="83"/>
        <v>21</v>
      </c>
    </row>
    <row r="430" spans="1:19">
      <c r="A430" s="674" t="str">
        <f>Sheet2!E410</f>
        <v>D1-017</v>
      </c>
      <c r="B430" s="3235">
        <f>Sheet2!F410</f>
        <v>37.49</v>
      </c>
      <c r="C430" s="24">
        <f t="shared" si="74"/>
        <v>0.99</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ca="1" si="82"/>
        <v>5706</v>
      </c>
      <c r="S430" s="322">
        <f t="shared" ca="1" si="83"/>
        <v>21</v>
      </c>
    </row>
    <row r="431" spans="1:19">
      <c r="A431" s="674" t="str">
        <f>Sheet2!E411</f>
        <v>D1-023</v>
      </c>
      <c r="B431" s="3235">
        <f>Sheet2!F411</f>
        <v>37.49</v>
      </c>
      <c r="C431" s="24">
        <f t="shared" si="74"/>
        <v>0.99</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ca="1" si="82"/>
        <v>5706</v>
      </c>
      <c r="S431" s="322">
        <f t="shared" ca="1" si="83"/>
        <v>21</v>
      </c>
    </row>
    <row r="432" spans="1:19">
      <c r="A432" s="674" t="str">
        <f>Sheet2!E412</f>
        <v>D1-025</v>
      </c>
      <c r="B432" s="3235">
        <f>Sheet2!F412</f>
        <v>37.49</v>
      </c>
      <c r="C432" s="24">
        <f t="shared" si="74"/>
        <v>0.99</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ca="1" si="82"/>
        <v>5706</v>
      </c>
      <c r="S432" s="322">
        <f t="shared" ca="1" si="83"/>
        <v>21</v>
      </c>
    </row>
    <row r="433" spans="1:19">
      <c r="A433" s="674" t="str">
        <f>Sheet2!E413</f>
        <v>D1-026</v>
      </c>
      <c r="B433" s="3235">
        <f>Sheet2!F413</f>
        <v>35.99</v>
      </c>
      <c r="C433" s="24">
        <f t="shared" si="74"/>
        <v>0.99</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ca="1" si="82"/>
        <v>5706</v>
      </c>
      <c r="S433" s="322">
        <f t="shared" ca="1" si="83"/>
        <v>21</v>
      </c>
    </row>
    <row r="434" spans="1:19">
      <c r="A434" s="674" t="str">
        <f>Sheet2!E414</f>
        <v>D1-027</v>
      </c>
      <c r="B434" s="3235">
        <f>Sheet2!F414</f>
        <v>37.49</v>
      </c>
      <c r="C434" s="24">
        <f t="shared" si="74"/>
        <v>0.99</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ca="1" si="82"/>
        <v>5706</v>
      </c>
      <c r="S434" s="322">
        <f t="shared" ca="1" si="83"/>
        <v>21</v>
      </c>
    </row>
    <row r="435" spans="1:19">
      <c r="A435" s="674" t="str">
        <f>Sheet2!E415</f>
        <v>D1-028</v>
      </c>
      <c r="B435" s="3235">
        <f>Sheet2!F415</f>
        <v>37.49</v>
      </c>
      <c r="C435" s="24">
        <f t="shared" si="74"/>
        <v>0.99</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ca="1" si="82"/>
        <v>5706</v>
      </c>
      <c r="S435" s="322">
        <f t="shared" ca="1" si="83"/>
        <v>21</v>
      </c>
    </row>
    <row r="436" spans="1:19">
      <c r="A436" s="674" t="str">
        <f>Sheet2!E416</f>
        <v>D1-029</v>
      </c>
      <c r="B436" s="3235">
        <f>Sheet2!F416</f>
        <v>37.49</v>
      </c>
      <c r="C436" s="24">
        <f t="shared" si="74"/>
        <v>0.99</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ca="1" si="82"/>
        <v>5706</v>
      </c>
      <c r="S436" s="322">
        <f t="shared" ca="1" si="83"/>
        <v>21</v>
      </c>
    </row>
    <row r="437" spans="1:19">
      <c r="A437" s="674" t="str">
        <f>Sheet2!E417</f>
        <v>D1-030</v>
      </c>
      <c r="B437" s="3235">
        <f>Sheet2!F417</f>
        <v>35.24</v>
      </c>
      <c r="C437" s="24">
        <f t="shared" si="74"/>
        <v>0.99</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ca="1" si="82"/>
        <v>5706</v>
      </c>
      <c r="S437" s="322">
        <f t="shared" ca="1" si="83"/>
        <v>20</v>
      </c>
    </row>
    <row r="438" spans="1:19">
      <c r="A438" s="674" t="str">
        <f>Sheet2!E418</f>
        <v>D1-031</v>
      </c>
      <c r="B438" s="3235">
        <f>Sheet2!F418</f>
        <v>35.24</v>
      </c>
      <c r="C438" s="24">
        <f t="shared" si="74"/>
        <v>0.99</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ca="1" si="82"/>
        <v>5706</v>
      </c>
      <c r="S438" s="322">
        <f t="shared" ca="1" si="83"/>
        <v>20</v>
      </c>
    </row>
    <row r="439" spans="1:19">
      <c r="A439" s="674" t="str">
        <f>Sheet2!E419</f>
        <v>D1-032</v>
      </c>
      <c r="B439" s="3235">
        <f>Sheet2!F419</f>
        <v>35.24</v>
      </c>
      <c r="C439" s="24">
        <f t="shared" si="74"/>
        <v>0.99</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ca="1" si="82"/>
        <v>5706</v>
      </c>
      <c r="S439" s="322">
        <f t="shared" ca="1" si="83"/>
        <v>20</v>
      </c>
    </row>
    <row r="440" spans="1:19">
      <c r="A440" s="674" t="str">
        <f>Sheet2!E420</f>
        <v>D1-033</v>
      </c>
      <c r="B440" s="3235">
        <f>Sheet2!F420</f>
        <v>37.49</v>
      </c>
      <c r="C440" s="24">
        <f t="shared" si="74"/>
        <v>0.99</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ca="1" si="82"/>
        <v>5706</v>
      </c>
      <c r="S440" s="322">
        <f t="shared" ca="1" si="83"/>
        <v>21</v>
      </c>
    </row>
    <row r="441" spans="1:19">
      <c r="A441" s="674" t="str">
        <f>Sheet2!E421</f>
        <v>D1-037</v>
      </c>
      <c r="B441" s="3235">
        <f>Sheet2!F421</f>
        <v>37.49</v>
      </c>
      <c r="C441" s="24">
        <f t="shared" si="74"/>
        <v>0.99</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ca="1" si="82"/>
        <v>5706</v>
      </c>
      <c r="S441" s="322">
        <f t="shared" ca="1" si="83"/>
        <v>21</v>
      </c>
    </row>
    <row r="442" spans="1:19">
      <c r="A442" s="674" t="str">
        <f>Sheet2!E422</f>
        <v>D1-040</v>
      </c>
      <c r="B442" s="3235">
        <f>Sheet2!F422</f>
        <v>37.49</v>
      </c>
      <c r="C442" s="24">
        <f t="shared" si="74"/>
        <v>0.99</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ca="1" si="82"/>
        <v>5706</v>
      </c>
      <c r="S442" s="322">
        <f t="shared" ca="1" si="83"/>
        <v>21</v>
      </c>
    </row>
    <row r="443" spans="1:19">
      <c r="A443" s="674" t="str">
        <f>Sheet2!E423</f>
        <v>D1-041</v>
      </c>
      <c r="B443" s="3235">
        <f>Sheet2!F423</f>
        <v>37.49</v>
      </c>
      <c r="C443" s="24">
        <f t="shared" si="74"/>
        <v>0.99</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ca="1" si="82"/>
        <v>5706</v>
      </c>
      <c r="S443" s="322">
        <f t="shared" ca="1" si="83"/>
        <v>21</v>
      </c>
    </row>
    <row r="444" spans="1:19">
      <c r="A444" s="674" t="str">
        <f>Sheet2!E424</f>
        <v>D1-043</v>
      </c>
      <c r="B444" s="3235">
        <f>Sheet2!F424</f>
        <v>37.49</v>
      </c>
      <c r="C444" s="24">
        <f t="shared" si="74"/>
        <v>0.99</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ca="1" si="82"/>
        <v>5706</v>
      </c>
      <c r="S444" s="322">
        <f t="shared" ca="1" si="83"/>
        <v>21</v>
      </c>
    </row>
    <row r="445" spans="1:19">
      <c r="A445" s="674" t="str">
        <f>Sheet2!E425</f>
        <v>D1-044</v>
      </c>
      <c r="B445" s="3235">
        <f>Sheet2!F425</f>
        <v>37.49</v>
      </c>
      <c r="C445" s="24">
        <f t="shared" si="74"/>
        <v>0.99</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ca="1" si="82"/>
        <v>5706</v>
      </c>
      <c r="S445" s="322">
        <f t="shared" ca="1" si="83"/>
        <v>21</v>
      </c>
    </row>
    <row r="446" spans="1:19">
      <c r="A446" s="674" t="str">
        <f>Sheet2!E426</f>
        <v>D1-048</v>
      </c>
      <c r="B446" s="3235">
        <f>Sheet2!F426</f>
        <v>37.49</v>
      </c>
      <c r="C446" s="24">
        <f t="shared" si="74"/>
        <v>0.99</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ca="1" si="82"/>
        <v>5706</v>
      </c>
      <c r="S446" s="322">
        <f t="shared" ca="1" si="83"/>
        <v>21</v>
      </c>
    </row>
    <row r="447" spans="1:19">
      <c r="A447" s="674" t="str">
        <f>Sheet2!E427</f>
        <v>D1-050</v>
      </c>
      <c r="B447" s="3235">
        <f>Sheet2!F427</f>
        <v>37.49</v>
      </c>
      <c r="C447" s="24">
        <f t="shared" si="74"/>
        <v>0.99</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ca="1" si="82"/>
        <v>5706</v>
      </c>
      <c r="S447" s="322">
        <f t="shared" ca="1" si="83"/>
        <v>21</v>
      </c>
    </row>
    <row r="448" spans="1:19">
      <c r="A448" s="674" t="str">
        <f>Sheet2!E428</f>
        <v>D1-058</v>
      </c>
      <c r="B448" s="3235">
        <f>Sheet2!F428</f>
        <v>35.99</v>
      </c>
      <c r="C448" s="24">
        <f t="shared" si="74"/>
        <v>0.99</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ca="1" si="82"/>
        <v>5706</v>
      </c>
      <c r="S448" s="322">
        <f t="shared" ca="1" si="83"/>
        <v>21</v>
      </c>
    </row>
    <row r="449" spans="1:19">
      <c r="A449" s="674" t="str">
        <f>Sheet2!E429</f>
        <v>D1-060</v>
      </c>
      <c r="B449" s="3235">
        <f>Sheet2!F429</f>
        <v>35.99</v>
      </c>
      <c r="C449" s="24">
        <f t="shared" si="74"/>
        <v>0.99</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ca="1" si="82"/>
        <v>5706</v>
      </c>
      <c r="S449" s="322">
        <f t="shared" ca="1" si="83"/>
        <v>21</v>
      </c>
    </row>
    <row r="450" spans="1:19">
      <c r="A450" s="674" t="str">
        <f>Sheet2!E430</f>
        <v>D1-061</v>
      </c>
      <c r="B450" s="3235">
        <f>Sheet2!F430</f>
        <v>35.99</v>
      </c>
      <c r="C450" s="24">
        <f t="shared" si="74"/>
        <v>0.99</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ca="1" si="82"/>
        <v>5706</v>
      </c>
      <c r="S450" s="322">
        <f t="shared" ca="1" si="83"/>
        <v>21</v>
      </c>
    </row>
    <row r="451" spans="1:19">
      <c r="A451" s="674" t="str">
        <f>Sheet2!E431</f>
        <v>D1-069</v>
      </c>
      <c r="B451" s="3235">
        <f>Sheet2!F431</f>
        <v>35.99</v>
      </c>
      <c r="C451" s="24">
        <f t="shared" si="74"/>
        <v>0.99</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ca="1" si="82"/>
        <v>5706</v>
      </c>
      <c r="S451" s="322">
        <f t="shared" ca="1" si="83"/>
        <v>21</v>
      </c>
    </row>
    <row r="452" spans="1:19">
      <c r="A452" s="674" t="str">
        <f>Sheet2!E432</f>
        <v>D1-070</v>
      </c>
      <c r="B452" s="3235">
        <f>Sheet2!F432</f>
        <v>35.99</v>
      </c>
      <c r="C452" s="24">
        <f t="shared" si="74"/>
        <v>0.99</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ca="1" si="82"/>
        <v>5706</v>
      </c>
      <c r="S452" s="322">
        <f t="shared" ca="1" si="83"/>
        <v>21</v>
      </c>
    </row>
    <row r="453" spans="1:19">
      <c r="A453" s="674" t="str">
        <f>Sheet2!E433</f>
        <v>D1-071</v>
      </c>
      <c r="B453" s="3235">
        <f>Sheet2!F433</f>
        <v>35.99</v>
      </c>
      <c r="C453" s="24">
        <f t="shared" si="74"/>
        <v>0.99</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ca="1" si="82"/>
        <v>5706</v>
      </c>
      <c r="S453" s="322">
        <f t="shared" ca="1" si="83"/>
        <v>21</v>
      </c>
    </row>
    <row r="454" spans="1:19">
      <c r="A454" s="674" t="str">
        <f>Sheet2!E434</f>
        <v>D1-072</v>
      </c>
      <c r="B454" s="3235">
        <f>Sheet2!F434</f>
        <v>35.99</v>
      </c>
      <c r="C454" s="24">
        <f t="shared" si="74"/>
        <v>0.99</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ca="1" si="82"/>
        <v>5706</v>
      </c>
      <c r="S454" s="322">
        <f t="shared" ca="1" si="83"/>
        <v>21</v>
      </c>
    </row>
    <row r="455" spans="1:19">
      <c r="A455" s="674" t="str">
        <f>Sheet2!E435</f>
        <v>D1-073</v>
      </c>
      <c r="B455" s="3235">
        <f>Sheet2!F435</f>
        <v>35.99</v>
      </c>
      <c r="C455" s="24">
        <f t="shared" si="74"/>
        <v>0.99</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ca="1" si="82"/>
        <v>5706</v>
      </c>
      <c r="S455" s="322">
        <f t="shared" ca="1" si="83"/>
        <v>21</v>
      </c>
    </row>
    <row r="456" spans="1:19">
      <c r="A456" s="674" t="str">
        <f>Sheet2!E436</f>
        <v>D1-074</v>
      </c>
      <c r="B456" s="3235">
        <f>Sheet2!F436</f>
        <v>35.99</v>
      </c>
      <c r="C456" s="24">
        <f t="shared" si="74"/>
        <v>0.99</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ca="1" si="82"/>
        <v>5706</v>
      </c>
      <c r="S456" s="322">
        <f t="shared" ca="1" si="83"/>
        <v>21</v>
      </c>
    </row>
    <row r="457" spans="1:19">
      <c r="A457" s="674" t="str">
        <f>Sheet2!E437</f>
        <v>D1-075</v>
      </c>
      <c r="B457" s="3235">
        <f>Sheet2!F437</f>
        <v>35.99</v>
      </c>
      <c r="C457" s="24">
        <f t="shared" si="74"/>
        <v>0.99</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ca="1" si="82"/>
        <v>5706</v>
      </c>
      <c r="S457" s="322">
        <f t="shared" ca="1" si="83"/>
        <v>21</v>
      </c>
    </row>
    <row r="458" spans="1:19">
      <c r="A458" s="674" t="str">
        <f>Sheet2!E438</f>
        <v>D1-076</v>
      </c>
      <c r="B458" s="3235">
        <f>Sheet2!F438</f>
        <v>35.99</v>
      </c>
      <c r="C458" s="24">
        <f t="shared" si="74"/>
        <v>0.99</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ca="1" si="82"/>
        <v>5706</v>
      </c>
      <c r="S458" s="322">
        <f t="shared" ca="1" si="83"/>
        <v>21</v>
      </c>
    </row>
    <row r="459" spans="1:19">
      <c r="A459" s="674" t="str">
        <f>Sheet2!E439</f>
        <v>D1-077</v>
      </c>
      <c r="B459" s="3235">
        <f>Sheet2!F439</f>
        <v>35.99</v>
      </c>
      <c r="C459" s="24">
        <f t="shared" si="74"/>
        <v>0.99</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ca="1" si="82"/>
        <v>5706</v>
      </c>
      <c r="S459" s="322">
        <f t="shared" ca="1" si="83"/>
        <v>21</v>
      </c>
    </row>
    <row r="460" spans="1:19">
      <c r="A460" s="674" t="str">
        <f>Sheet2!E440</f>
        <v>D1-079</v>
      </c>
      <c r="B460" s="3235">
        <f>Sheet2!F440</f>
        <v>35.99</v>
      </c>
      <c r="C460" s="24">
        <f t="shared" si="74"/>
        <v>0.99</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ca="1" si="82"/>
        <v>5706</v>
      </c>
      <c r="S460" s="322">
        <f t="shared" ca="1" si="83"/>
        <v>21</v>
      </c>
    </row>
    <row r="461" spans="1:19">
      <c r="A461" s="674" t="str">
        <f>Sheet2!E441</f>
        <v>D1-087</v>
      </c>
      <c r="B461" s="3235">
        <f>Sheet2!F441</f>
        <v>35.99</v>
      </c>
      <c r="C461" s="24">
        <f t="shared" si="74"/>
        <v>0.99</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ca="1" si="82"/>
        <v>5706</v>
      </c>
      <c r="S461" s="322">
        <f t="shared" ca="1" si="83"/>
        <v>21</v>
      </c>
    </row>
    <row r="462" spans="1:19">
      <c r="A462" s="674" t="str">
        <f>Sheet2!E442</f>
        <v>D1-088</v>
      </c>
      <c r="B462" s="3235">
        <f>Sheet2!F442</f>
        <v>35.99</v>
      </c>
      <c r="C462" s="24">
        <f t="shared" si="74"/>
        <v>0.99</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ca="1" si="82"/>
        <v>5706</v>
      </c>
      <c r="S462" s="322">
        <f t="shared" ca="1" si="83"/>
        <v>21</v>
      </c>
    </row>
    <row r="463" spans="1:19">
      <c r="A463" s="674" t="str">
        <f>Sheet2!E443</f>
        <v>D1-089</v>
      </c>
      <c r="B463" s="3235">
        <f>Sheet2!F443</f>
        <v>35.99</v>
      </c>
      <c r="C463" s="24">
        <f t="shared" si="74"/>
        <v>0.99</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ca="1" si="82"/>
        <v>5706</v>
      </c>
      <c r="S463" s="322">
        <f t="shared" ca="1" si="83"/>
        <v>21</v>
      </c>
    </row>
    <row r="464" spans="1:19">
      <c r="A464" s="674" t="str">
        <f>Sheet2!E444</f>
        <v>D1-094</v>
      </c>
      <c r="B464" s="3235">
        <f>Sheet2!F444</f>
        <v>34.49</v>
      </c>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ca="1" si="82"/>
        <v>5764</v>
      </c>
      <c r="S464" s="322">
        <f t="shared" ca="1" si="83"/>
        <v>20</v>
      </c>
    </row>
    <row r="465" spans="1:19">
      <c r="A465" s="674" t="str">
        <f>Sheet2!E445</f>
        <v>D1-096</v>
      </c>
      <c r="B465" s="3235">
        <f>Sheet2!F445</f>
        <v>34.49</v>
      </c>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ca="1" si="82"/>
        <v>5764</v>
      </c>
      <c r="S465" s="322">
        <f t="shared" ca="1" si="83"/>
        <v>20</v>
      </c>
    </row>
    <row r="466" spans="1:19">
      <c r="A466" s="674" t="str">
        <f>Sheet2!E446</f>
        <v>D1-097</v>
      </c>
      <c r="B466" s="3235">
        <f>Sheet2!F446</f>
        <v>34.49</v>
      </c>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ca="1" si="82"/>
        <v>5764</v>
      </c>
      <c r="S466" s="322">
        <f t="shared" ca="1" si="83"/>
        <v>20</v>
      </c>
    </row>
    <row r="467" spans="1:19">
      <c r="A467" s="674" t="str">
        <f>Sheet2!E447</f>
        <v>D1-102</v>
      </c>
      <c r="B467" s="3235">
        <f>Sheet2!F447</f>
        <v>35.99</v>
      </c>
      <c r="C467" s="24">
        <f t="shared" si="74"/>
        <v>0.99</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ca="1" si="82"/>
        <v>5706</v>
      </c>
      <c r="S467" s="322">
        <f t="shared" ca="1" si="83"/>
        <v>21</v>
      </c>
    </row>
    <row r="468" spans="1:19">
      <c r="A468" s="674" t="str">
        <f>Sheet2!E448</f>
        <v>D1-103</v>
      </c>
      <c r="B468" s="3235">
        <f>Sheet2!F448</f>
        <v>35.99</v>
      </c>
      <c r="C468" s="24">
        <f t="shared" si="74"/>
        <v>0.99</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ca="1" si="82"/>
        <v>5706</v>
      </c>
      <c r="S468" s="322">
        <f t="shared" ref="S468:S497" ca="1" si="84">ROUND(R468*B468/10000,0)</f>
        <v>21</v>
      </c>
    </row>
    <row r="469" spans="1:19">
      <c r="A469" s="674" t="str">
        <f>Sheet2!E449</f>
        <v>D1-104</v>
      </c>
      <c r="B469" s="3235">
        <f>Sheet2!F449</f>
        <v>35.99</v>
      </c>
      <c r="C469" s="24">
        <f t="shared" si="74"/>
        <v>0.99</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ca="1" si="82"/>
        <v>5706</v>
      </c>
      <c r="S469" s="322">
        <f t="shared" ca="1" si="84"/>
        <v>21</v>
      </c>
    </row>
    <row r="470" spans="1:19">
      <c r="A470" s="674" t="str">
        <f>Sheet2!E450</f>
        <v>D1-105</v>
      </c>
      <c r="B470" s="3235">
        <f>Sheet2!F450</f>
        <v>35.99</v>
      </c>
      <c r="C470" s="24">
        <f t="shared" si="74"/>
        <v>0.99</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ca="1" si="82"/>
        <v>5706</v>
      </c>
      <c r="S470" s="322">
        <f t="shared" ca="1" si="84"/>
        <v>21</v>
      </c>
    </row>
    <row r="471" spans="1:19">
      <c r="A471" s="674" t="str">
        <f>Sheet2!E451</f>
        <v>D1-106</v>
      </c>
      <c r="B471" s="3235">
        <f>Sheet2!F451</f>
        <v>35.99</v>
      </c>
      <c r="C471" s="24">
        <f t="shared" si="74"/>
        <v>0.99</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ca="1" si="82"/>
        <v>5706</v>
      </c>
      <c r="S471" s="322">
        <f t="shared" ca="1" si="84"/>
        <v>21</v>
      </c>
    </row>
    <row r="472" spans="1:19">
      <c r="A472" s="674" t="str">
        <f>Sheet2!E452</f>
        <v>D1-107</v>
      </c>
      <c r="B472" s="3235">
        <f>Sheet2!F452</f>
        <v>37.49</v>
      </c>
      <c r="C472" s="24">
        <f t="shared" si="74"/>
        <v>0.99</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ca="1" si="82"/>
        <v>5706</v>
      </c>
      <c r="S472" s="322">
        <f t="shared" ca="1" si="84"/>
        <v>21</v>
      </c>
    </row>
    <row r="473" spans="1:19">
      <c r="A473" s="674" t="str">
        <f>Sheet2!E453</f>
        <v>D1-109</v>
      </c>
      <c r="B473" s="3235">
        <f>Sheet2!F453</f>
        <v>35.99</v>
      </c>
      <c r="C473" s="24">
        <f t="shared" si="74"/>
        <v>0.99</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ca="1" si="82"/>
        <v>5706</v>
      </c>
      <c r="S473" s="322">
        <f t="shared" ca="1" si="84"/>
        <v>21</v>
      </c>
    </row>
    <row r="474" spans="1:19">
      <c r="A474" s="674" t="str">
        <f>Sheet2!E454</f>
        <v>D1-112</v>
      </c>
      <c r="B474" s="3235">
        <f>Sheet2!F454</f>
        <v>35.99</v>
      </c>
      <c r="C474" s="24">
        <f t="shared" ref="C474:C524" si="85">IF(B474="",1,(LOOKUP(B474,$3:$3,$4:$4)-LOOKUP($B$24,$3:$3,$4:$4)+100)/100)</f>
        <v>0.99</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ca="1" si="93">IF(B474="",0,ROUND($R$24*C474*E474*G474*I474*K474*M474*O474*Q474,0))</f>
        <v>5706</v>
      </c>
      <c r="S474" s="322">
        <f t="shared" ca="1" si="84"/>
        <v>21</v>
      </c>
    </row>
    <row r="475" spans="1:19">
      <c r="A475" s="674" t="str">
        <f>Sheet2!E455</f>
        <v>D1-113</v>
      </c>
      <c r="B475" s="3235">
        <f>Sheet2!F455</f>
        <v>35.99</v>
      </c>
      <c r="C475" s="24">
        <f t="shared" si="85"/>
        <v>0.99</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ca="1" si="93"/>
        <v>5706</v>
      </c>
      <c r="S475" s="322">
        <f t="shared" ca="1" si="84"/>
        <v>21</v>
      </c>
    </row>
    <row r="476" spans="1:19">
      <c r="A476" s="674" t="str">
        <f>Sheet2!E456</f>
        <v>D1-114</v>
      </c>
      <c r="B476" s="3235">
        <f>Sheet2!F456</f>
        <v>35.99</v>
      </c>
      <c r="C476" s="24">
        <f t="shared" si="85"/>
        <v>0.99</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ca="1" si="93"/>
        <v>5706</v>
      </c>
      <c r="S476" s="322">
        <f t="shared" ca="1" si="84"/>
        <v>21</v>
      </c>
    </row>
    <row r="477" spans="1:19">
      <c r="A477" s="674" t="str">
        <f>Sheet2!E457</f>
        <v>E1-002</v>
      </c>
      <c r="B477" s="3235">
        <f>Sheet2!F457</f>
        <v>37.49</v>
      </c>
      <c r="C477" s="24">
        <f t="shared" si="85"/>
        <v>0.99</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ca="1" si="93"/>
        <v>5706</v>
      </c>
      <c r="S477" s="322">
        <f t="shared" ca="1" si="84"/>
        <v>21</v>
      </c>
    </row>
    <row r="478" spans="1:19">
      <c r="A478" s="674" t="str">
        <f>Sheet2!E458</f>
        <v>E1-004</v>
      </c>
      <c r="B478" s="3235">
        <f>Sheet2!F458</f>
        <v>37.49</v>
      </c>
      <c r="C478" s="24">
        <f t="shared" si="85"/>
        <v>0.99</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ca="1" si="93"/>
        <v>5706</v>
      </c>
      <c r="S478" s="322">
        <f t="shared" ca="1" si="84"/>
        <v>21</v>
      </c>
    </row>
    <row r="479" spans="1:19">
      <c r="A479" s="674" t="str">
        <f>Sheet2!E459</f>
        <v>E1-005</v>
      </c>
      <c r="B479" s="3235">
        <f>Sheet2!F459</f>
        <v>37.49</v>
      </c>
      <c r="C479" s="24">
        <f t="shared" si="85"/>
        <v>0.99</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ca="1" si="93"/>
        <v>5706</v>
      </c>
      <c r="S479" s="322">
        <f t="shared" ca="1" si="84"/>
        <v>21</v>
      </c>
    </row>
    <row r="480" spans="1:19">
      <c r="A480" s="674" t="str">
        <f>Sheet2!E460</f>
        <v>E1-007</v>
      </c>
      <c r="B480" s="3235">
        <f>Sheet2!F460</f>
        <v>36.71</v>
      </c>
      <c r="C480" s="24">
        <f t="shared" si="85"/>
        <v>0.99</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ca="1" si="93"/>
        <v>5706</v>
      </c>
      <c r="S480" s="322">
        <f t="shared" ca="1" si="84"/>
        <v>21</v>
      </c>
    </row>
    <row r="481" spans="1:19">
      <c r="A481" s="674" t="str">
        <f>Sheet2!E461</f>
        <v>E1-009</v>
      </c>
      <c r="B481" s="3235">
        <f>Sheet2!F461</f>
        <v>37.49</v>
      </c>
      <c r="C481" s="24">
        <f t="shared" si="85"/>
        <v>0.99</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ca="1" si="93"/>
        <v>5706</v>
      </c>
      <c r="S481" s="322">
        <f t="shared" ca="1" si="84"/>
        <v>21</v>
      </c>
    </row>
    <row r="482" spans="1:19">
      <c r="A482" s="674" t="str">
        <f>Sheet2!E462</f>
        <v>E1-010</v>
      </c>
      <c r="B482" s="3235">
        <f>Sheet2!F462</f>
        <v>37.49</v>
      </c>
      <c r="C482" s="24">
        <f t="shared" si="85"/>
        <v>0.99</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ca="1" si="93"/>
        <v>5706</v>
      </c>
      <c r="S482" s="322">
        <f t="shared" ca="1" si="84"/>
        <v>21</v>
      </c>
    </row>
    <row r="483" spans="1:19">
      <c r="A483" s="674" t="str">
        <f>Sheet2!E463</f>
        <v>E1-014</v>
      </c>
      <c r="B483" s="3235">
        <f>Sheet2!F463</f>
        <v>38.99</v>
      </c>
      <c r="C483" s="24">
        <f t="shared" si="85"/>
        <v>0.99</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ca="1" si="93"/>
        <v>5706</v>
      </c>
      <c r="S483" s="322">
        <f t="shared" ca="1" si="84"/>
        <v>22</v>
      </c>
    </row>
    <row r="484" spans="1:19">
      <c r="A484" s="674" t="str">
        <f>Sheet2!E464</f>
        <v>E1-015</v>
      </c>
      <c r="B484" s="3235">
        <f>Sheet2!F464</f>
        <v>35.99</v>
      </c>
      <c r="C484" s="24">
        <f t="shared" si="85"/>
        <v>0.99</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ca="1" si="93"/>
        <v>5706</v>
      </c>
      <c r="S484" s="322">
        <f t="shared" ca="1" si="84"/>
        <v>21</v>
      </c>
    </row>
    <row r="485" spans="1:19">
      <c r="A485" s="674" t="str">
        <f>Sheet2!E465</f>
        <v>E1-016</v>
      </c>
      <c r="B485" s="3235">
        <f>Sheet2!F465</f>
        <v>35.99</v>
      </c>
      <c r="C485" s="24">
        <f t="shared" si="85"/>
        <v>0.99</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ca="1" si="93"/>
        <v>5706</v>
      </c>
      <c r="S485" s="322">
        <f t="shared" ca="1" si="84"/>
        <v>21</v>
      </c>
    </row>
    <row r="486" spans="1:19">
      <c r="A486" s="674" t="str">
        <f>Sheet2!E466</f>
        <v>E1-017</v>
      </c>
      <c r="B486" s="3235">
        <f>Sheet2!F466</f>
        <v>35.99</v>
      </c>
      <c r="C486" s="24">
        <f t="shared" si="85"/>
        <v>0.99</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ca="1" si="93"/>
        <v>5706</v>
      </c>
      <c r="S486" s="322">
        <f t="shared" ca="1" si="84"/>
        <v>21</v>
      </c>
    </row>
    <row r="487" spans="1:19">
      <c r="A487" s="674" t="str">
        <f>Sheet2!E467</f>
        <v>E1-018</v>
      </c>
      <c r="B487" s="3235">
        <f>Sheet2!F467</f>
        <v>35.99</v>
      </c>
      <c r="C487" s="24">
        <f t="shared" si="85"/>
        <v>0.99</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ca="1" si="93"/>
        <v>5706</v>
      </c>
      <c r="S487" s="322">
        <f t="shared" ca="1" si="84"/>
        <v>21</v>
      </c>
    </row>
    <row r="488" spans="1:19">
      <c r="A488" s="674" t="str">
        <f>Sheet2!E468</f>
        <v>E1-019</v>
      </c>
      <c r="B488" s="3235">
        <f>Sheet2!F468</f>
        <v>35.99</v>
      </c>
      <c r="C488" s="24">
        <f t="shared" si="85"/>
        <v>0.99</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ca="1" si="93"/>
        <v>5706</v>
      </c>
      <c r="S488" s="322">
        <f t="shared" ca="1" si="84"/>
        <v>21</v>
      </c>
    </row>
    <row r="489" spans="1:19">
      <c r="A489" s="674" t="str">
        <f>Sheet2!E469</f>
        <v>E1-020</v>
      </c>
      <c r="B489" s="3235">
        <f>Sheet2!F469</f>
        <v>35.99</v>
      </c>
      <c r="C489" s="24">
        <f t="shared" si="85"/>
        <v>0.99</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ca="1" si="93"/>
        <v>5706</v>
      </c>
      <c r="S489" s="322">
        <f t="shared" ca="1" si="84"/>
        <v>21</v>
      </c>
    </row>
    <row r="490" spans="1:19">
      <c r="A490" s="674" t="str">
        <f>Sheet2!E470</f>
        <v>E1-021</v>
      </c>
      <c r="B490" s="3235">
        <f>Sheet2!F470</f>
        <v>37.49</v>
      </c>
      <c r="C490" s="24">
        <f t="shared" si="85"/>
        <v>0.99</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ca="1" si="93"/>
        <v>5706</v>
      </c>
      <c r="S490" s="322">
        <f t="shared" ca="1" si="84"/>
        <v>21</v>
      </c>
    </row>
    <row r="491" spans="1:19">
      <c r="A491" s="674" t="str">
        <f>Sheet2!E471</f>
        <v>E1-022</v>
      </c>
      <c r="B491" s="3235">
        <f>Sheet2!F471</f>
        <v>37.49</v>
      </c>
      <c r="C491" s="24">
        <f t="shared" si="85"/>
        <v>0.99</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ca="1" si="93"/>
        <v>5706</v>
      </c>
      <c r="S491" s="322">
        <f t="shared" ca="1" si="84"/>
        <v>21</v>
      </c>
    </row>
    <row r="492" spans="1:19">
      <c r="A492" s="674" t="str">
        <f>Sheet2!E472</f>
        <v>E1-023</v>
      </c>
      <c r="B492" s="3235">
        <f>Sheet2!F472</f>
        <v>35.99</v>
      </c>
      <c r="C492" s="24">
        <f t="shared" si="85"/>
        <v>0.99</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ca="1" si="93"/>
        <v>5706</v>
      </c>
      <c r="S492" s="322">
        <f t="shared" ca="1" si="84"/>
        <v>21</v>
      </c>
    </row>
    <row r="493" spans="1:19">
      <c r="A493" s="674" t="str">
        <f>Sheet2!E473</f>
        <v>E1-024</v>
      </c>
      <c r="B493" s="3235">
        <f>Sheet2!F473</f>
        <v>35.99</v>
      </c>
      <c r="C493" s="24">
        <f t="shared" si="85"/>
        <v>0.99</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ca="1" si="93"/>
        <v>5706</v>
      </c>
      <c r="S493" s="322">
        <f t="shared" ca="1" si="84"/>
        <v>21</v>
      </c>
    </row>
    <row r="494" spans="1:19">
      <c r="A494" s="674" t="str">
        <f>Sheet2!E474</f>
        <v>E1-040</v>
      </c>
      <c r="B494" s="3235">
        <f>Sheet2!F474</f>
        <v>35.99</v>
      </c>
      <c r="C494" s="24">
        <f t="shared" si="85"/>
        <v>0.99</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ca="1" si="93"/>
        <v>5706</v>
      </c>
      <c r="S494" s="322">
        <f t="shared" ca="1" si="84"/>
        <v>21</v>
      </c>
    </row>
    <row r="495" spans="1:19">
      <c r="A495" s="674" t="str">
        <f>Sheet2!E475</f>
        <v>E1-041</v>
      </c>
      <c r="B495" s="3235">
        <f>Sheet2!F475</f>
        <v>35.99</v>
      </c>
      <c r="C495" s="24">
        <f t="shared" si="85"/>
        <v>0.99</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ca="1" si="93"/>
        <v>5706</v>
      </c>
      <c r="S495" s="322">
        <f t="shared" ca="1" si="84"/>
        <v>21</v>
      </c>
    </row>
    <row r="496" spans="1:19">
      <c r="A496" s="674" t="str">
        <f>Sheet2!E476</f>
        <v>E1-044</v>
      </c>
      <c r="B496" s="3235">
        <f>Sheet2!F476</f>
        <v>35.99</v>
      </c>
      <c r="C496" s="24">
        <f t="shared" si="85"/>
        <v>0.99</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ca="1" si="93"/>
        <v>5706</v>
      </c>
      <c r="S496" s="322">
        <f t="shared" ca="1" si="84"/>
        <v>21</v>
      </c>
    </row>
    <row r="497" spans="1:19">
      <c r="A497" s="674" t="str">
        <f>Sheet2!E477</f>
        <v>E1-081</v>
      </c>
      <c r="B497" s="3235">
        <f>Sheet2!F477</f>
        <v>35.99</v>
      </c>
      <c r="C497" s="24">
        <f t="shared" si="85"/>
        <v>0.99</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ca="1" si="93"/>
        <v>5706</v>
      </c>
      <c r="S497" s="322">
        <f t="shared" ca="1" si="84"/>
        <v>21</v>
      </c>
    </row>
    <row r="498" spans="1:19">
      <c r="A498" s="674" t="str">
        <f>Sheet2!E478</f>
        <v>E1-082</v>
      </c>
      <c r="B498" s="3235">
        <f>Sheet2!F478</f>
        <v>35.99</v>
      </c>
      <c r="C498" s="24">
        <f t="shared" si="85"/>
        <v>0.99</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ca="1" si="93"/>
        <v>5706</v>
      </c>
      <c r="S498" s="322">
        <f t="shared" ref="S498:S524" ca="1" si="94">ROUND(R498*B498/10000,0)</f>
        <v>21</v>
      </c>
    </row>
    <row r="499" spans="1:19">
      <c r="A499" s="674" t="str">
        <f>Sheet2!E479</f>
        <v>F1-062</v>
      </c>
      <c r="B499" s="3235">
        <f>Sheet2!F479</f>
        <v>36.340000000000003</v>
      </c>
      <c r="C499" s="24">
        <f t="shared" si="85"/>
        <v>0.99</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ca="1" si="93"/>
        <v>5706</v>
      </c>
      <c r="S499" s="322">
        <f t="shared" ca="1" si="94"/>
        <v>21</v>
      </c>
    </row>
    <row r="500" spans="1:19">
      <c r="A500" s="674" t="str">
        <f>Sheet2!E480</f>
        <v>F1-063</v>
      </c>
      <c r="B500" s="3235">
        <f>Sheet2!F480</f>
        <v>36.340000000000003</v>
      </c>
      <c r="C500" s="24">
        <f t="shared" si="85"/>
        <v>0.99</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ca="1" si="93"/>
        <v>5706</v>
      </c>
      <c r="S500" s="322">
        <f t="shared" ca="1" si="94"/>
        <v>21</v>
      </c>
    </row>
    <row r="501" spans="1:19">
      <c r="A501" s="674" t="str">
        <f>Sheet2!E481</f>
        <v>F1-064</v>
      </c>
      <c r="B501" s="3235">
        <f>Sheet2!F481</f>
        <v>36.340000000000003</v>
      </c>
      <c r="C501" s="24">
        <f t="shared" si="85"/>
        <v>0.99</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ca="1" si="93"/>
        <v>5706</v>
      </c>
      <c r="S501" s="322">
        <f t="shared" ca="1" si="94"/>
        <v>21</v>
      </c>
    </row>
    <row r="502" spans="1:19">
      <c r="A502" s="674" t="str">
        <f>Sheet2!E482</f>
        <v>F1-065</v>
      </c>
      <c r="B502" s="3235">
        <f>Sheet2!F482</f>
        <v>36.340000000000003</v>
      </c>
      <c r="C502" s="24">
        <f t="shared" si="85"/>
        <v>0.99</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ca="1" si="93"/>
        <v>5706</v>
      </c>
      <c r="S502" s="322">
        <f t="shared" ca="1" si="94"/>
        <v>21</v>
      </c>
    </row>
    <row r="503" spans="1:19">
      <c r="A503" s="674" t="str">
        <f>Sheet2!E483</f>
        <v>F1-066</v>
      </c>
      <c r="B503" s="3235">
        <f>Sheet2!F483</f>
        <v>36.340000000000003</v>
      </c>
      <c r="C503" s="24">
        <f t="shared" si="85"/>
        <v>0.99</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ca="1" si="93"/>
        <v>5706</v>
      </c>
      <c r="S503" s="322">
        <f t="shared" ca="1" si="94"/>
        <v>21</v>
      </c>
    </row>
    <row r="504" spans="1:19">
      <c r="A504" s="674" t="str">
        <f>Sheet2!E484</f>
        <v>F1-067</v>
      </c>
      <c r="B504" s="3235">
        <f>Sheet2!F484</f>
        <v>38.659999999999997</v>
      </c>
      <c r="C504" s="24">
        <f t="shared" si="85"/>
        <v>0.99</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ca="1" si="93"/>
        <v>5706</v>
      </c>
      <c r="S504" s="322">
        <f t="shared" ca="1" si="94"/>
        <v>22</v>
      </c>
    </row>
    <row r="505" spans="1:19">
      <c r="A505" s="674" t="str">
        <f>Sheet2!E485</f>
        <v>F1-068</v>
      </c>
      <c r="B505" s="3235">
        <f>Sheet2!F485</f>
        <v>38.659999999999997</v>
      </c>
      <c r="C505" s="24">
        <f t="shared" si="85"/>
        <v>0.99</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ca="1" si="93"/>
        <v>5706</v>
      </c>
      <c r="S505" s="322">
        <f t="shared" ca="1" si="94"/>
        <v>22</v>
      </c>
    </row>
    <row r="506" spans="1:19">
      <c r="A506" s="674" t="str">
        <f>Sheet2!E486</f>
        <v>F1-079</v>
      </c>
      <c r="B506" s="3235">
        <f>Sheet2!F486</f>
        <v>35.56</v>
      </c>
      <c r="C506" s="24">
        <f t="shared" si="85"/>
        <v>0.99</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ca="1" si="93"/>
        <v>5706</v>
      </c>
      <c r="S506" s="322">
        <f t="shared" ca="1" si="94"/>
        <v>20</v>
      </c>
    </row>
    <row r="507" spans="1:19">
      <c r="A507" s="674" t="str">
        <f>Sheet2!E487</f>
        <v>F1-080</v>
      </c>
      <c r="B507" s="3235">
        <f>Sheet2!F487</f>
        <v>35.56</v>
      </c>
      <c r="C507" s="24">
        <f t="shared" si="85"/>
        <v>0.99</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ca="1" si="93"/>
        <v>5706</v>
      </c>
      <c r="S507" s="322">
        <f t="shared" ca="1" si="94"/>
        <v>20</v>
      </c>
    </row>
    <row r="508" spans="1:19">
      <c r="A508" s="674" t="str">
        <f>Sheet2!E488</f>
        <v>F1-082</v>
      </c>
      <c r="B508" s="3235">
        <f>Sheet2!F488</f>
        <v>35.56</v>
      </c>
      <c r="C508" s="24">
        <f t="shared" si="85"/>
        <v>0.99</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ca="1" si="93"/>
        <v>5706</v>
      </c>
      <c r="S508" s="322">
        <f t="shared" ca="1" si="94"/>
        <v>20</v>
      </c>
    </row>
    <row r="509" spans="1:19">
      <c r="A509" s="674" t="str">
        <f>Sheet2!E489</f>
        <v>F1-083</v>
      </c>
      <c r="B509" s="3235">
        <f>Sheet2!F489</f>
        <v>35.56</v>
      </c>
      <c r="C509" s="24">
        <f t="shared" si="85"/>
        <v>0.99</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ca="1" si="93"/>
        <v>5706</v>
      </c>
      <c r="S509" s="322">
        <f t="shared" ca="1" si="94"/>
        <v>20</v>
      </c>
    </row>
    <row r="510" spans="1:19">
      <c r="A510" s="674" t="str">
        <f>Sheet2!E490</f>
        <v>F1-084</v>
      </c>
      <c r="B510" s="3235">
        <f>Sheet2!F490</f>
        <v>35.56</v>
      </c>
      <c r="C510" s="24">
        <f t="shared" si="85"/>
        <v>0.99</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ca="1" si="93"/>
        <v>5706</v>
      </c>
      <c r="S510" s="322">
        <f t="shared" ca="1" si="94"/>
        <v>20</v>
      </c>
    </row>
    <row r="511" spans="1:19">
      <c r="A511" s="674" t="str">
        <f>Sheet2!E491</f>
        <v>F1-085</v>
      </c>
      <c r="B511" s="3235">
        <f>Sheet2!F491</f>
        <v>35.56</v>
      </c>
      <c r="C511" s="24">
        <f t="shared" si="85"/>
        <v>0.99</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ca="1" si="93"/>
        <v>5706</v>
      </c>
      <c r="S511" s="322">
        <f t="shared" ca="1" si="94"/>
        <v>20</v>
      </c>
    </row>
    <row r="512" spans="1:19">
      <c r="A512" s="674" t="str">
        <f>Sheet2!E492</f>
        <v>F1-086</v>
      </c>
      <c r="B512" s="3235">
        <f>Sheet2!F492</f>
        <v>35.56</v>
      </c>
      <c r="C512" s="24">
        <f t="shared" si="85"/>
        <v>0.99</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ca="1" si="93"/>
        <v>5706</v>
      </c>
      <c r="S512" s="322">
        <f t="shared" ca="1" si="94"/>
        <v>20</v>
      </c>
    </row>
    <row r="513" spans="1:19">
      <c r="A513" s="674" t="str">
        <f>Sheet2!E493</f>
        <v>F1-089</v>
      </c>
      <c r="B513" s="3235">
        <f>Sheet2!F493</f>
        <v>35.56</v>
      </c>
      <c r="C513" s="24">
        <f t="shared" si="85"/>
        <v>0.99</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ca="1" si="93"/>
        <v>5706</v>
      </c>
      <c r="S513" s="322">
        <f t="shared" ca="1" si="94"/>
        <v>20</v>
      </c>
    </row>
    <row r="514" spans="1:19">
      <c r="A514" s="674" t="str">
        <f>Sheet2!E494</f>
        <v>F1-090</v>
      </c>
      <c r="B514" s="3235">
        <f>Sheet2!F494</f>
        <v>35.56</v>
      </c>
      <c r="C514" s="24">
        <f t="shared" si="85"/>
        <v>0.99</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ca="1" si="93"/>
        <v>5706</v>
      </c>
      <c r="S514" s="322">
        <f t="shared" ca="1" si="94"/>
        <v>20</v>
      </c>
    </row>
    <row r="515" spans="1:19">
      <c r="A515" s="674" t="str">
        <f>Sheet2!E495</f>
        <v>F1-091</v>
      </c>
      <c r="B515" s="3235">
        <f>Sheet2!F495</f>
        <v>36.340000000000003</v>
      </c>
      <c r="C515" s="24">
        <f t="shared" si="85"/>
        <v>0.99</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ca="1" si="93"/>
        <v>5706</v>
      </c>
      <c r="S515" s="322">
        <f t="shared" ca="1" si="94"/>
        <v>21</v>
      </c>
    </row>
    <row r="516" spans="1:19">
      <c r="A516" s="674" t="str">
        <f>Sheet2!E496</f>
        <v>F1-092</v>
      </c>
      <c r="B516" s="3235">
        <f>Sheet2!F496</f>
        <v>36.340000000000003</v>
      </c>
      <c r="C516" s="24">
        <f t="shared" si="85"/>
        <v>0.99</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ca="1" si="93"/>
        <v>5706</v>
      </c>
      <c r="S516" s="322">
        <f t="shared" ca="1" si="94"/>
        <v>21</v>
      </c>
    </row>
    <row r="517" spans="1:19">
      <c r="A517" s="674" t="str">
        <f>Sheet2!E497</f>
        <v>F1-093</v>
      </c>
      <c r="B517" s="3235">
        <f>Sheet2!F497</f>
        <v>36.340000000000003</v>
      </c>
      <c r="C517" s="24">
        <f t="shared" si="85"/>
        <v>0.99</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ca="1" si="93"/>
        <v>5706</v>
      </c>
      <c r="S517" s="322">
        <f t="shared" ca="1" si="94"/>
        <v>21</v>
      </c>
    </row>
    <row r="518" spans="1:19">
      <c r="A518" s="674" t="str">
        <f>Sheet2!E498</f>
        <v>F1-094</v>
      </c>
      <c r="B518" s="3235">
        <f>Sheet2!F498</f>
        <v>36.340000000000003</v>
      </c>
      <c r="C518" s="24">
        <f t="shared" si="85"/>
        <v>0.99</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ca="1" si="93"/>
        <v>5706</v>
      </c>
      <c r="S518" s="322">
        <f t="shared" ca="1" si="94"/>
        <v>21</v>
      </c>
    </row>
    <row r="519" spans="1:19">
      <c r="A519" s="674" t="str">
        <f>Sheet2!E499</f>
        <v>F1-095</v>
      </c>
      <c r="B519" s="3235">
        <f>Sheet2!F499</f>
        <v>36.340000000000003</v>
      </c>
      <c r="C519" s="24">
        <f t="shared" si="85"/>
        <v>0.99</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ca="1" si="93"/>
        <v>5706</v>
      </c>
      <c r="S519" s="322">
        <f t="shared" ca="1" si="94"/>
        <v>21</v>
      </c>
    </row>
    <row r="520" spans="1:19">
      <c r="A520" s="674" t="str">
        <f>Sheet2!E500</f>
        <v>F1-096</v>
      </c>
      <c r="B520" s="3235">
        <f>Sheet2!F500</f>
        <v>36.340000000000003</v>
      </c>
      <c r="C520" s="24">
        <f t="shared" si="85"/>
        <v>0.99</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ca="1" si="93"/>
        <v>5706</v>
      </c>
      <c r="S520" s="322">
        <f t="shared" ca="1" si="94"/>
        <v>21</v>
      </c>
    </row>
    <row r="521" spans="1:19">
      <c r="A521" s="674" t="str">
        <f>Sheet2!E501</f>
        <v>F1-097</v>
      </c>
      <c r="B521" s="3235">
        <f>Sheet2!F501</f>
        <v>36.340000000000003</v>
      </c>
      <c r="C521" s="24">
        <f t="shared" si="85"/>
        <v>0.99</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ca="1" si="93"/>
        <v>5706</v>
      </c>
      <c r="S521" s="322">
        <f t="shared" ca="1" si="94"/>
        <v>21</v>
      </c>
    </row>
    <row r="522" spans="1:19">
      <c r="A522" s="674" t="str">
        <f>Sheet2!E502</f>
        <v>F1-098</v>
      </c>
      <c r="B522" s="3235">
        <f>Sheet2!F502</f>
        <v>36.340000000000003</v>
      </c>
      <c r="C522" s="24">
        <f t="shared" si="85"/>
        <v>0.99</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ca="1" si="93"/>
        <v>5706</v>
      </c>
      <c r="S522" s="322">
        <f t="shared" ca="1" si="94"/>
        <v>21</v>
      </c>
    </row>
    <row r="523" spans="1:19">
      <c r="A523" s="674" t="str">
        <f>Sheet2!E503</f>
        <v>F1-099</v>
      </c>
      <c r="B523" s="3235">
        <f>Sheet2!F503</f>
        <v>36.340000000000003</v>
      </c>
      <c r="C523" s="24">
        <f t="shared" si="85"/>
        <v>0.99</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ca="1" si="93"/>
        <v>5706</v>
      </c>
      <c r="S523" s="322">
        <f t="shared" ca="1" si="94"/>
        <v>21</v>
      </c>
    </row>
    <row r="524" spans="1:19">
      <c r="A524" s="674" t="str">
        <f>Sheet2!E504</f>
        <v>F1-100</v>
      </c>
      <c r="B524" s="3235">
        <f>Sheet2!F504</f>
        <v>36.340000000000003</v>
      </c>
      <c r="C524" s="24">
        <f t="shared" si="85"/>
        <v>0.99</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ca="1" si="93"/>
        <v>5706</v>
      </c>
      <c r="S524" s="322">
        <f t="shared" ca="1" si="94"/>
        <v>21</v>
      </c>
    </row>
    <row r="525" spans="1:19">
      <c r="A525" s="674" t="str">
        <f>Sheet2!E505</f>
        <v>F1-101</v>
      </c>
      <c r="B525" s="3235">
        <f>Sheet2!F505</f>
        <v>36.340000000000003</v>
      </c>
      <c r="C525" s="3236">
        <f t="shared" ref="C525:C588" si="95">IF(B525="",1,(LOOKUP(B525,$3:$3,$4:$4)-LOOKUP($B$24,$3:$3,$4:$4)+100)/100)</f>
        <v>0.99</v>
      </c>
      <c r="D525" s="676"/>
      <c r="E525" s="3236">
        <f t="shared" ref="E525:E588" si="96">(SUMIF($5:$5,D525,$6:$6)-SUMIF($5:$5,$D$24,$6:$6)+100)/100</f>
        <v>1</v>
      </c>
      <c r="F525" s="676"/>
      <c r="G525" s="3236">
        <f t="shared" ref="G525:G588" si="97">(SUMIF($7:$7,F525,$8:$8)-SUMIF($7:$7,$F$24,$8:$8)+100)/100</f>
        <v>1</v>
      </c>
      <c r="H525" s="676"/>
      <c r="I525" s="3236">
        <f t="shared" ref="I525:I588" si="98">(SUMIF($9:$9,H525,$10:$10)-SUMIF($9:$9,$H$24,$10:$10)+100)/100</f>
        <v>1</v>
      </c>
      <c r="J525" s="676"/>
      <c r="K525" s="3236">
        <f t="shared" ref="K525:K588" si="99">(SUMIF($11:$11,J525,$12:$12)-SUMIF($11:$11,$J$24,$12:$12)+100)/100</f>
        <v>1</v>
      </c>
      <c r="L525" s="676"/>
      <c r="M525" s="3236">
        <f t="shared" ref="M525:M588" si="100">(SUMIF($13:$13,L525,$14:$14)-SUMIF($13:$13,$L$24,$14:$14)+100)/100</f>
        <v>1</v>
      </c>
      <c r="N525" s="676"/>
      <c r="O525" s="3236">
        <f t="shared" ref="O525:O588" si="101">(SUMIF($15:$15,N525,$16:$16)-SUMIF($15:$15,$N$24,$16:$16)+100)/100</f>
        <v>1</v>
      </c>
      <c r="P525" s="676"/>
      <c r="Q525" s="3236">
        <f t="shared" ref="Q525:Q588" si="102">(SUMIF($17:$17,P525,$18:$18)-SUMIF($17:$17,$P$24,$18:$18)+100)/100</f>
        <v>1</v>
      </c>
      <c r="R525" s="3237">
        <f t="shared" ref="R525:R588" ca="1" si="103">IF(B525="",0,ROUND($R$24*C525*E525*G525*I525*K525*M525*O525*Q525,0))</f>
        <v>5706</v>
      </c>
      <c r="S525" s="1090">
        <f t="shared" ref="S525:S588" ca="1" si="104">ROUND(R525*B525/10000,0)</f>
        <v>21</v>
      </c>
    </row>
    <row r="526" spans="1:19">
      <c r="A526" s="674" t="str">
        <f>Sheet2!E506</f>
        <v>F1-102</v>
      </c>
      <c r="B526" s="3235">
        <f>Sheet2!F506</f>
        <v>36.340000000000003</v>
      </c>
      <c r="C526" s="3236">
        <f t="shared" si="95"/>
        <v>0.99</v>
      </c>
      <c r="D526" s="676"/>
      <c r="E526" s="3236">
        <f t="shared" si="96"/>
        <v>1</v>
      </c>
      <c r="F526" s="676"/>
      <c r="G526" s="3236">
        <f t="shared" si="97"/>
        <v>1</v>
      </c>
      <c r="H526" s="676"/>
      <c r="I526" s="3236">
        <f t="shared" si="98"/>
        <v>1</v>
      </c>
      <c r="J526" s="676"/>
      <c r="K526" s="3236">
        <f t="shared" si="99"/>
        <v>1</v>
      </c>
      <c r="L526" s="676"/>
      <c r="M526" s="3236">
        <f t="shared" si="100"/>
        <v>1</v>
      </c>
      <c r="N526" s="676"/>
      <c r="O526" s="3236">
        <f t="shared" si="101"/>
        <v>1</v>
      </c>
      <c r="P526" s="676"/>
      <c r="Q526" s="3236">
        <f t="shared" si="102"/>
        <v>1</v>
      </c>
      <c r="R526" s="3237">
        <f t="shared" ca="1" si="103"/>
        <v>5706</v>
      </c>
      <c r="S526" s="1090">
        <f t="shared" ca="1" si="104"/>
        <v>21</v>
      </c>
    </row>
    <row r="527" spans="1:19">
      <c r="A527" s="674" t="str">
        <f>Sheet2!E507</f>
        <v>F1-103</v>
      </c>
      <c r="B527" s="3235">
        <f>Sheet2!F507</f>
        <v>36.340000000000003</v>
      </c>
      <c r="C527" s="3236">
        <f t="shared" si="95"/>
        <v>0.99</v>
      </c>
      <c r="D527" s="676"/>
      <c r="E527" s="3236">
        <f t="shared" si="96"/>
        <v>1</v>
      </c>
      <c r="F527" s="676"/>
      <c r="G527" s="3236">
        <f t="shared" si="97"/>
        <v>1</v>
      </c>
      <c r="H527" s="676"/>
      <c r="I527" s="3236">
        <f t="shared" si="98"/>
        <v>1</v>
      </c>
      <c r="J527" s="676"/>
      <c r="K527" s="3236">
        <f t="shared" si="99"/>
        <v>1</v>
      </c>
      <c r="L527" s="676"/>
      <c r="M527" s="3236">
        <f t="shared" si="100"/>
        <v>1</v>
      </c>
      <c r="N527" s="676"/>
      <c r="O527" s="3236">
        <f t="shared" si="101"/>
        <v>1</v>
      </c>
      <c r="P527" s="676"/>
      <c r="Q527" s="3236">
        <f t="shared" si="102"/>
        <v>1</v>
      </c>
      <c r="R527" s="3237">
        <f t="shared" ca="1" si="103"/>
        <v>5706</v>
      </c>
      <c r="S527" s="1090">
        <f t="shared" ca="1" si="104"/>
        <v>21</v>
      </c>
    </row>
    <row r="528" spans="1:19">
      <c r="A528" s="674" t="str">
        <f>Sheet2!E508</f>
        <v>F1-104</v>
      </c>
      <c r="B528" s="3235">
        <f>Sheet2!F508</f>
        <v>36.340000000000003</v>
      </c>
      <c r="C528" s="3236">
        <f t="shared" si="95"/>
        <v>0.99</v>
      </c>
      <c r="D528" s="676"/>
      <c r="E528" s="3236">
        <f t="shared" si="96"/>
        <v>1</v>
      </c>
      <c r="F528" s="676"/>
      <c r="G528" s="3236">
        <f t="shared" si="97"/>
        <v>1</v>
      </c>
      <c r="H528" s="676"/>
      <c r="I528" s="3236">
        <f t="shared" si="98"/>
        <v>1</v>
      </c>
      <c r="J528" s="676"/>
      <c r="K528" s="3236">
        <f t="shared" si="99"/>
        <v>1</v>
      </c>
      <c r="L528" s="676"/>
      <c r="M528" s="3236">
        <f t="shared" si="100"/>
        <v>1</v>
      </c>
      <c r="N528" s="676"/>
      <c r="O528" s="3236">
        <f t="shared" si="101"/>
        <v>1</v>
      </c>
      <c r="P528" s="676"/>
      <c r="Q528" s="3236">
        <f t="shared" si="102"/>
        <v>1</v>
      </c>
      <c r="R528" s="3237">
        <f t="shared" ca="1" si="103"/>
        <v>5706</v>
      </c>
      <c r="S528" s="1090">
        <f t="shared" ca="1" si="104"/>
        <v>21</v>
      </c>
    </row>
    <row r="529" spans="1:19">
      <c r="A529" s="674" t="str">
        <f>Sheet2!E509</f>
        <v>F1-105</v>
      </c>
      <c r="B529" s="3235">
        <f>Sheet2!F509</f>
        <v>36.340000000000003</v>
      </c>
      <c r="C529" s="3236">
        <f t="shared" si="95"/>
        <v>0.99</v>
      </c>
      <c r="D529" s="676"/>
      <c r="E529" s="3236">
        <f t="shared" si="96"/>
        <v>1</v>
      </c>
      <c r="F529" s="676"/>
      <c r="G529" s="3236">
        <f t="shared" si="97"/>
        <v>1</v>
      </c>
      <c r="H529" s="676"/>
      <c r="I529" s="3236">
        <f t="shared" si="98"/>
        <v>1</v>
      </c>
      <c r="J529" s="676"/>
      <c r="K529" s="3236">
        <f t="shared" si="99"/>
        <v>1</v>
      </c>
      <c r="L529" s="676"/>
      <c r="M529" s="3236">
        <f t="shared" si="100"/>
        <v>1</v>
      </c>
      <c r="N529" s="676"/>
      <c r="O529" s="3236">
        <f t="shared" si="101"/>
        <v>1</v>
      </c>
      <c r="P529" s="676"/>
      <c r="Q529" s="3236">
        <f t="shared" si="102"/>
        <v>1</v>
      </c>
      <c r="R529" s="3237">
        <f t="shared" ca="1" si="103"/>
        <v>5706</v>
      </c>
      <c r="S529" s="1090">
        <f t="shared" ca="1" si="104"/>
        <v>21</v>
      </c>
    </row>
    <row r="530" spans="1:19">
      <c r="A530" s="674" t="str">
        <f>Sheet2!E510</f>
        <v>F1-107</v>
      </c>
      <c r="B530" s="3235">
        <f>Sheet2!F510</f>
        <v>37.11</v>
      </c>
      <c r="C530" s="3236">
        <f t="shared" si="95"/>
        <v>0.99</v>
      </c>
      <c r="D530" s="676"/>
      <c r="E530" s="3236">
        <f t="shared" si="96"/>
        <v>1</v>
      </c>
      <c r="F530" s="676"/>
      <c r="G530" s="3236">
        <f t="shared" si="97"/>
        <v>1</v>
      </c>
      <c r="H530" s="676"/>
      <c r="I530" s="3236">
        <f t="shared" si="98"/>
        <v>1</v>
      </c>
      <c r="J530" s="676"/>
      <c r="K530" s="3236">
        <f t="shared" si="99"/>
        <v>1</v>
      </c>
      <c r="L530" s="676"/>
      <c r="M530" s="3236">
        <f t="shared" si="100"/>
        <v>1</v>
      </c>
      <c r="N530" s="676"/>
      <c r="O530" s="3236">
        <f t="shared" si="101"/>
        <v>1</v>
      </c>
      <c r="P530" s="676"/>
      <c r="Q530" s="3236">
        <f t="shared" si="102"/>
        <v>1</v>
      </c>
      <c r="R530" s="3237">
        <f t="shared" ca="1" si="103"/>
        <v>5706</v>
      </c>
      <c r="S530" s="1090">
        <f t="shared" ca="1" si="104"/>
        <v>21</v>
      </c>
    </row>
    <row r="531" spans="1:19">
      <c r="A531" s="674" t="str">
        <f>Sheet2!E511</f>
        <v>F1-110</v>
      </c>
      <c r="B531" s="3235">
        <f>Sheet2!F511</f>
        <v>37.11</v>
      </c>
      <c r="C531" s="3236">
        <f t="shared" si="95"/>
        <v>0.99</v>
      </c>
      <c r="D531" s="676"/>
      <c r="E531" s="3236">
        <f t="shared" si="96"/>
        <v>1</v>
      </c>
      <c r="F531" s="676"/>
      <c r="G531" s="3236">
        <f t="shared" si="97"/>
        <v>1</v>
      </c>
      <c r="H531" s="676"/>
      <c r="I531" s="3236">
        <f t="shared" si="98"/>
        <v>1</v>
      </c>
      <c r="J531" s="676"/>
      <c r="K531" s="3236">
        <f t="shared" si="99"/>
        <v>1</v>
      </c>
      <c r="L531" s="676"/>
      <c r="M531" s="3236">
        <f t="shared" si="100"/>
        <v>1</v>
      </c>
      <c r="N531" s="676"/>
      <c r="O531" s="3236">
        <f t="shared" si="101"/>
        <v>1</v>
      </c>
      <c r="P531" s="676"/>
      <c r="Q531" s="3236">
        <f t="shared" si="102"/>
        <v>1</v>
      </c>
      <c r="R531" s="3237">
        <f t="shared" ca="1" si="103"/>
        <v>5706</v>
      </c>
      <c r="S531" s="1090">
        <f t="shared" ca="1" si="104"/>
        <v>21</v>
      </c>
    </row>
    <row r="532" spans="1:19">
      <c r="A532" s="674" t="str">
        <f>Sheet2!E512</f>
        <v>F1-111</v>
      </c>
      <c r="B532" s="3235">
        <f>Sheet2!F512</f>
        <v>37.11</v>
      </c>
      <c r="C532" s="3236">
        <f t="shared" si="95"/>
        <v>0.99</v>
      </c>
      <c r="D532" s="676"/>
      <c r="E532" s="3236">
        <f t="shared" si="96"/>
        <v>1</v>
      </c>
      <c r="F532" s="676"/>
      <c r="G532" s="3236">
        <f t="shared" si="97"/>
        <v>1</v>
      </c>
      <c r="H532" s="676"/>
      <c r="I532" s="3236">
        <f t="shared" si="98"/>
        <v>1</v>
      </c>
      <c r="J532" s="676"/>
      <c r="K532" s="3236">
        <f t="shared" si="99"/>
        <v>1</v>
      </c>
      <c r="L532" s="676"/>
      <c r="M532" s="3236">
        <f t="shared" si="100"/>
        <v>1</v>
      </c>
      <c r="N532" s="676"/>
      <c r="O532" s="3236">
        <f t="shared" si="101"/>
        <v>1</v>
      </c>
      <c r="P532" s="676"/>
      <c r="Q532" s="3236">
        <f t="shared" si="102"/>
        <v>1</v>
      </c>
      <c r="R532" s="3237">
        <f t="shared" ca="1" si="103"/>
        <v>5706</v>
      </c>
      <c r="S532" s="1090">
        <f t="shared" ca="1" si="104"/>
        <v>21</v>
      </c>
    </row>
    <row r="533" spans="1:19">
      <c r="A533" s="674" t="str">
        <f>Sheet2!E513</f>
        <v>F1-112</v>
      </c>
      <c r="B533" s="3235">
        <f>Sheet2!F513</f>
        <v>35.630000000000003</v>
      </c>
      <c r="C533" s="3236">
        <f t="shared" si="95"/>
        <v>0.99</v>
      </c>
      <c r="D533" s="676"/>
      <c r="E533" s="3236">
        <f t="shared" si="96"/>
        <v>1</v>
      </c>
      <c r="F533" s="676"/>
      <c r="G533" s="3236">
        <f t="shared" si="97"/>
        <v>1</v>
      </c>
      <c r="H533" s="676"/>
      <c r="I533" s="3236">
        <f t="shared" si="98"/>
        <v>1</v>
      </c>
      <c r="J533" s="676"/>
      <c r="K533" s="3236">
        <f t="shared" si="99"/>
        <v>1</v>
      </c>
      <c r="L533" s="676"/>
      <c r="M533" s="3236">
        <f t="shared" si="100"/>
        <v>1</v>
      </c>
      <c r="N533" s="676"/>
      <c r="O533" s="3236">
        <f t="shared" si="101"/>
        <v>1</v>
      </c>
      <c r="P533" s="676"/>
      <c r="Q533" s="3236">
        <f t="shared" si="102"/>
        <v>1</v>
      </c>
      <c r="R533" s="3237">
        <f t="shared" ca="1" si="103"/>
        <v>5706</v>
      </c>
      <c r="S533" s="1090">
        <f t="shared" ca="1" si="104"/>
        <v>20</v>
      </c>
    </row>
    <row r="534" spans="1:19">
      <c r="A534" s="674" t="str">
        <f>Sheet2!E514</f>
        <v>F1-113</v>
      </c>
      <c r="B534" s="3235">
        <f>Sheet2!F514</f>
        <v>35.630000000000003</v>
      </c>
      <c r="C534" s="3236">
        <f t="shared" si="95"/>
        <v>0.99</v>
      </c>
      <c r="D534" s="676"/>
      <c r="E534" s="3236">
        <f t="shared" si="96"/>
        <v>1</v>
      </c>
      <c r="F534" s="676"/>
      <c r="G534" s="3236">
        <f t="shared" si="97"/>
        <v>1</v>
      </c>
      <c r="H534" s="676"/>
      <c r="I534" s="3236">
        <f t="shared" si="98"/>
        <v>1</v>
      </c>
      <c r="J534" s="676"/>
      <c r="K534" s="3236">
        <f t="shared" si="99"/>
        <v>1</v>
      </c>
      <c r="L534" s="676"/>
      <c r="M534" s="3236">
        <f t="shared" si="100"/>
        <v>1</v>
      </c>
      <c r="N534" s="676"/>
      <c r="O534" s="3236">
        <f t="shared" si="101"/>
        <v>1</v>
      </c>
      <c r="P534" s="676"/>
      <c r="Q534" s="3236">
        <f t="shared" si="102"/>
        <v>1</v>
      </c>
      <c r="R534" s="3237">
        <f t="shared" ca="1" si="103"/>
        <v>5706</v>
      </c>
      <c r="S534" s="1090">
        <f t="shared" ca="1" si="104"/>
        <v>20</v>
      </c>
    </row>
    <row r="535" spans="1:19">
      <c r="A535" s="674" t="str">
        <f>Sheet2!E515</f>
        <v>F1-114</v>
      </c>
      <c r="B535" s="3235">
        <f>Sheet2!F515</f>
        <v>35.630000000000003</v>
      </c>
      <c r="C535" s="3236">
        <f t="shared" si="95"/>
        <v>0.99</v>
      </c>
      <c r="D535" s="676"/>
      <c r="E535" s="3236">
        <f t="shared" si="96"/>
        <v>1</v>
      </c>
      <c r="F535" s="676"/>
      <c r="G535" s="3236">
        <f t="shared" si="97"/>
        <v>1</v>
      </c>
      <c r="H535" s="676"/>
      <c r="I535" s="3236">
        <f t="shared" si="98"/>
        <v>1</v>
      </c>
      <c r="J535" s="676"/>
      <c r="K535" s="3236">
        <f t="shared" si="99"/>
        <v>1</v>
      </c>
      <c r="L535" s="676"/>
      <c r="M535" s="3236">
        <f t="shared" si="100"/>
        <v>1</v>
      </c>
      <c r="N535" s="676"/>
      <c r="O535" s="3236">
        <f t="shared" si="101"/>
        <v>1</v>
      </c>
      <c r="P535" s="676"/>
      <c r="Q535" s="3236">
        <f t="shared" si="102"/>
        <v>1</v>
      </c>
      <c r="R535" s="3237">
        <f t="shared" ca="1" si="103"/>
        <v>5706</v>
      </c>
      <c r="S535" s="1090">
        <f t="shared" ca="1" si="104"/>
        <v>20</v>
      </c>
    </row>
    <row r="536" spans="1:19">
      <c r="A536" s="674" t="str">
        <f>Sheet2!E516</f>
        <v>F1-116</v>
      </c>
      <c r="B536" s="3235">
        <f>Sheet2!F516</f>
        <v>37.85</v>
      </c>
      <c r="C536" s="3236">
        <f t="shared" si="95"/>
        <v>0.99</v>
      </c>
      <c r="D536" s="676"/>
      <c r="E536" s="3236">
        <f t="shared" si="96"/>
        <v>1</v>
      </c>
      <c r="F536" s="676"/>
      <c r="G536" s="3236">
        <f t="shared" si="97"/>
        <v>1</v>
      </c>
      <c r="H536" s="676"/>
      <c r="I536" s="3236">
        <f t="shared" si="98"/>
        <v>1</v>
      </c>
      <c r="J536" s="676"/>
      <c r="K536" s="3236">
        <f t="shared" si="99"/>
        <v>1</v>
      </c>
      <c r="L536" s="676"/>
      <c r="M536" s="3236">
        <f t="shared" si="100"/>
        <v>1</v>
      </c>
      <c r="N536" s="676"/>
      <c r="O536" s="3236">
        <f t="shared" si="101"/>
        <v>1</v>
      </c>
      <c r="P536" s="676"/>
      <c r="Q536" s="3236">
        <f t="shared" si="102"/>
        <v>1</v>
      </c>
      <c r="R536" s="3237">
        <f t="shared" ca="1" si="103"/>
        <v>5706</v>
      </c>
      <c r="S536" s="1090">
        <f t="shared" ca="1" si="104"/>
        <v>22</v>
      </c>
    </row>
    <row r="537" spans="1:19">
      <c r="A537" s="674" t="str">
        <f>Sheet2!E517</f>
        <v>F1-117</v>
      </c>
      <c r="B537" s="3235">
        <f>Sheet2!F517</f>
        <v>37.85</v>
      </c>
      <c r="C537" s="3236">
        <f t="shared" si="95"/>
        <v>0.99</v>
      </c>
      <c r="D537" s="676"/>
      <c r="E537" s="3236">
        <f t="shared" si="96"/>
        <v>1</v>
      </c>
      <c r="F537" s="676"/>
      <c r="G537" s="3236">
        <f t="shared" si="97"/>
        <v>1</v>
      </c>
      <c r="H537" s="676"/>
      <c r="I537" s="3236">
        <f t="shared" si="98"/>
        <v>1</v>
      </c>
      <c r="J537" s="676"/>
      <c r="K537" s="3236">
        <f t="shared" si="99"/>
        <v>1</v>
      </c>
      <c r="L537" s="676"/>
      <c r="M537" s="3236">
        <f t="shared" si="100"/>
        <v>1</v>
      </c>
      <c r="N537" s="676"/>
      <c r="O537" s="3236">
        <f t="shared" si="101"/>
        <v>1</v>
      </c>
      <c r="P537" s="676"/>
      <c r="Q537" s="3236">
        <f t="shared" si="102"/>
        <v>1</v>
      </c>
      <c r="R537" s="3237">
        <f t="shared" ca="1" si="103"/>
        <v>5706</v>
      </c>
      <c r="S537" s="1090">
        <f t="shared" ca="1" si="104"/>
        <v>22</v>
      </c>
    </row>
    <row r="538" spans="1:19">
      <c r="A538" s="674" t="str">
        <f>Sheet2!E518</f>
        <v>J1-001</v>
      </c>
      <c r="B538" s="3235">
        <f>Sheet2!F518</f>
        <v>35.630000000000003</v>
      </c>
      <c r="C538" s="3236">
        <f t="shared" si="95"/>
        <v>0.99</v>
      </c>
      <c r="D538" s="676"/>
      <c r="E538" s="3236">
        <f t="shared" si="96"/>
        <v>1</v>
      </c>
      <c r="F538" s="676"/>
      <c r="G538" s="3236">
        <f t="shared" si="97"/>
        <v>1</v>
      </c>
      <c r="H538" s="676"/>
      <c r="I538" s="3236">
        <f t="shared" si="98"/>
        <v>1</v>
      </c>
      <c r="J538" s="676"/>
      <c r="K538" s="3236">
        <f t="shared" si="99"/>
        <v>1</v>
      </c>
      <c r="L538" s="676"/>
      <c r="M538" s="3236">
        <f t="shared" si="100"/>
        <v>1</v>
      </c>
      <c r="N538" s="676"/>
      <c r="O538" s="3236">
        <f t="shared" si="101"/>
        <v>1</v>
      </c>
      <c r="P538" s="676"/>
      <c r="Q538" s="3236">
        <f t="shared" si="102"/>
        <v>1</v>
      </c>
      <c r="R538" s="3237">
        <f t="shared" ca="1" si="103"/>
        <v>5706</v>
      </c>
      <c r="S538" s="1090">
        <f t="shared" ca="1" si="104"/>
        <v>20</v>
      </c>
    </row>
    <row r="539" spans="1:19">
      <c r="A539" s="674" t="str">
        <f>Sheet2!E519</f>
        <v>J1-002</v>
      </c>
      <c r="B539" s="3235">
        <f>Sheet2!F519</f>
        <v>35.630000000000003</v>
      </c>
      <c r="C539" s="3236">
        <f t="shared" si="95"/>
        <v>0.99</v>
      </c>
      <c r="D539" s="676"/>
      <c r="E539" s="3236">
        <f t="shared" si="96"/>
        <v>1</v>
      </c>
      <c r="F539" s="676"/>
      <c r="G539" s="3236">
        <f t="shared" si="97"/>
        <v>1</v>
      </c>
      <c r="H539" s="676"/>
      <c r="I539" s="3236">
        <f t="shared" si="98"/>
        <v>1</v>
      </c>
      <c r="J539" s="676"/>
      <c r="K539" s="3236">
        <f t="shared" si="99"/>
        <v>1</v>
      </c>
      <c r="L539" s="676"/>
      <c r="M539" s="3236">
        <f t="shared" si="100"/>
        <v>1</v>
      </c>
      <c r="N539" s="676"/>
      <c r="O539" s="3236">
        <f t="shared" si="101"/>
        <v>1</v>
      </c>
      <c r="P539" s="676"/>
      <c r="Q539" s="3236">
        <f t="shared" si="102"/>
        <v>1</v>
      </c>
      <c r="R539" s="3237">
        <f t="shared" ca="1" si="103"/>
        <v>5706</v>
      </c>
      <c r="S539" s="1090">
        <f t="shared" ca="1" si="104"/>
        <v>20</v>
      </c>
    </row>
    <row r="540" spans="1:19">
      <c r="A540" s="674" t="str">
        <f>Sheet2!E520</f>
        <v>J1-003</v>
      </c>
      <c r="B540" s="3235">
        <f>Sheet2!F520</f>
        <v>35.630000000000003</v>
      </c>
      <c r="C540" s="3236">
        <f t="shared" si="95"/>
        <v>0.99</v>
      </c>
      <c r="D540" s="676"/>
      <c r="E540" s="3236">
        <f t="shared" si="96"/>
        <v>1</v>
      </c>
      <c r="F540" s="676"/>
      <c r="G540" s="3236">
        <f t="shared" si="97"/>
        <v>1</v>
      </c>
      <c r="H540" s="676"/>
      <c r="I540" s="3236">
        <f t="shared" si="98"/>
        <v>1</v>
      </c>
      <c r="J540" s="676"/>
      <c r="K540" s="3236">
        <f t="shared" si="99"/>
        <v>1</v>
      </c>
      <c r="L540" s="676"/>
      <c r="M540" s="3236">
        <f t="shared" si="100"/>
        <v>1</v>
      </c>
      <c r="N540" s="676"/>
      <c r="O540" s="3236">
        <f t="shared" si="101"/>
        <v>1</v>
      </c>
      <c r="P540" s="676"/>
      <c r="Q540" s="3236">
        <f t="shared" si="102"/>
        <v>1</v>
      </c>
      <c r="R540" s="3237">
        <f t="shared" ca="1" si="103"/>
        <v>5706</v>
      </c>
      <c r="S540" s="1090">
        <f t="shared" ca="1" si="104"/>
        <v>20</v>
      </c>
    </row>
    <row r="541" spans="1:19">
      <c r="A541" s="674" t="str">
        <f>Sheet2!E521</f>
        <v>J1-004</v>
      </c>
      <c r="B541" s="3235">
        <f>Sheet2!F521</f>
        <v>35.630000000000003</v>
      </c>
      <c r="C541" s="3236">
        <f t="shared" si="95"/>
        <v>0.99</v>
      </c>
      <c r="D541" s="676"/>
      <c r="E541" s="3236">
        <f t="shared" si="96"/>
        <v>1</v>
      </c>
      <c r="F541" s="676"/>
      <c r="G541" s="3236">
        <f t="shared" si="97"/>
        <v>1</v>
      </c>
      <c r="H541" s="676"/>
      <c r="I541" s="3236">
        <f t="shared" si="98"/>
        <v>1</v>
      </c>
      <c r="J541" s="676"/>
      <c r="K541" s="3236">
        <f t="shared" si="99"/>
        <v>1</v>
      </c>
      <c r="L541" s="676"/>
      <c r="M541" s="3236">
        <f t="shared" si="100"/>
        <v>1</v>
      </c>
      <c r="N541" s="676"/>
      <c r="O541" s="3236">
        <f t="shared" si="101"/>
        <v>1</v>
      </c>
      <c r="P541" s="676"/>
      <c r="Q541" s="3236">
        <f t="shared" si="102"/>
        <v>1</v>
      </c>
      <c r="R541" s="3237">
        <f t="shared" ca="1" si="103"/>
        <v>5706</v>
      </c>
      <c r="S541" s="1090">
        <f t="shared" ca="1" si="104"/>
        <v>20</v>
      </c>
    </row>
    <row r="542" spans="1:19">
      <c r="A542" s="674" t="str">
        <f>Sheet2!E522</f>
        <v>J1-005</v>
      </c>
      <c r="B542" s="3235">
        <f>Sheet2!F522</f>
        <v>35.630000000000003</v>
      </c>
      <c r="C542" s="3236">
        <f t="shared" si="95"/>
        <v>0.99</v>
      </c>
      <c r="D542" s="676"/>
      <c r="E542" s="3236">
        <f t="shared" si="96"/>
        <v>1</v>
      </c>
      <c r="F542" s="676"/>
      <c r="G542" s="3236">
        <f t="shared" si="97"/>
        <v>1</v>
      </c>
      <c r="H542" s="676"/>
      <c r="I542" s="3236">
        <f t="shared" si="98"/>
        <v>1</v>
      </c>
      <c r="J542" s="676"/>
      <c r="K542" s="3236">
        <f t="shared" si="99"/>
        <v>1</v>
      </c>
      <c r="L542" s="676"/>
      <c r="M542" s="3236">
        <f t="shared" si="100"/>
        <v>1</v>
      </c>
      <c r="N542" s="676"/>
      <c r="O542" s="3236">
        <f t="shared" si="101"/>
        <v>1</v>
      </c>
      <c r="P542" s="676"/>
      <c r="Q542" s="3236">
        <f t="shared" si="102"/>
        <v>1</v>
      </c>
      <c r="R542" s="3237">
        <f t="shared" ca="1" si="103"/>
        <v>5706</v>
      </c>
      <c r="S542" s="1090">
        <f t="shared" ca="1" si="104"/>
        <v>20</v>
      </c>
    </row>
    <row r="543" spans="1:19">
      <c r="A543" s="674" t="str">
        <f>Sheet2!E523</f>
        <v>J1-006</v>
      </c>
      <c r="B543" s="3235">
        <f>Sheet2!F523</f>
        <v>35.630000000000003</v>
      </c>
      <c r="C543" s="3236">
        <f t="shared" si="95"/>
        <v>0.99</v>
      </c>
      <c r="D543" s="676"/>
      <c r="E543" s="3236">
        <f t="shared" si="96"/>
        <v>1</v>
      </c>
      <c r="F543" s="676"/>
      <c r="G543" s="3236">
        <f t="shared" si="97"/>
        <v>1</v>
      </c>
      <c r="H543" s="676"/>
      <c r="I543" s="3236">
        <f t="shared" si="98"/>
        <v>1</v>
      </c>
      <c r="J543" s="676"/>
      <c r="K543" s="3236">
        <f t="shared" si="99"/>
        <v>1</v>
      </c>
      <c r="L543" s="676"/>
      <c r="M543" s="3236">
        <f t="shared" si="100"/>
        <v>1</v>
      </c>
      <c r="N543" s="676"/>
      <c r="O543" s="3236">
        <f t="shared" si="101"/>
        <v>1</v>
      </c>
      <c r="P543" s="676"/>
      <c r="Q543" s="3236">
        <f t="shared" si="102"/>
        <v>1</v>
      </c>
      <c r="R543" s="3237">
        <f t="shared" ca="1" si="103"/>
        <v>5706</v>
      </c>
      <c r="S543" s="1090">
        <f t="shared" ca="1" si="104"/>
        <v>20</v>
      </c>
    </row>
    <row r="544" spans="1:19">
      <c r="A544" s="674" t="str">
        <f>Sheet2!E524</f>
        <v>K1-033</v>
      </c>
      <c r="B544" s="3235">
        <f>Sheet2!F524</f>
        <v>35.99</v>
      </c>
      <c r="C544" s="3236">
        <f t="shared" si="95"/>
        <v>0.99</v>
      </c>
      <c r="D544" s="676"/>
      <c r="E544" s="3236">
        <f t="shared" si="96"/>
        <v>1</v>
      </c>
      <c r="F544" s="676"/>
      <c r="G544" s="3236">
        <f t="shared" si="97"/>
        <v>1</v>
      </c>
      <c r="H544" s="676"/>
      <c r="I544" s="3236">
        <f t="shared" si="98"/>
        <v>1</v>
      </c>
      <c r="J544" s="676"/>
      <c r="K544" s="3236">
        <f t="shared" si="99"/>
        <v>1</v>
      </c>
      <c r="L544" s="676"/>
      <c r="M544" s="3236">
        <f t="shared" si="100"/>
        <v>1</v>
      </c>
      <c r="N544" s="676"/>
      <c r="O544" s="3236">
        <f t="shared" si="101"/>
        <v>1</v>
      </c>
      <c r="P544" s="676"/>
      <c r="Q544" s="3236">
        <f t="shared" si="102"/>
        <v>1</v>
      </c>
      <c r="R544" s="3237">
        <f t="shared" ca="1" si="103"/>
        <v>5706</v>
      </c>
      <c r="S544" s="1090">
        <f t="shared" ca="1" si="104"/>
        <v>21</v>
      </c>
    </row>
    <row r="545" spans="1:19">
      <c r="A545" s="674" t="str">
        <f>Sheet2!E525</f>
        <v>K1-034</v>
      </c>
      <c r="B545" s="3235">
        <f>Sheet2!F525</f>
        <v>37.49</v>
      </c>
      <c r="C545" s="3236">
        <f t="shared" si="95"/>
        <v>0.99</v>
      </c>
      <c r="D545" s="676"/>
      <c r="E545" s="3236">
        <f t="shared" si="96"/>
        <v>1</v>
      </c>
      <c r="F545" s="676"/>
      <c r="G545" s="3236">
        <f t="shared" si="97"/>
        <v>1</v>
      </c>
      <c r="H545" s="676"/>
      <c r="I545" s="3236">
        <f t="shared" si="98"/>
        <v>1</v>
      </c>
      <c r="J545" s="676"/>
      <c r="K545" s="3236">
        <f t="shared" si="99"/>
        <v>1</v>
      </c>
      <c r="L545" s="676"/>
      <c r="M545" s="3236">
        <f t="shared" si="100"/>
        <v>1</v>
      </c>
      <c r="N545" s="676"/>
      <c r="O545" s="3236">
        <f t="shared" si="101"/>
        <v>1</v>
      </c>
      <c r="P545" s="676"/>
      <c r="Q545" s="3236">
        <f t="shared" si="102"/>
        <v>1</v>
      </c>
      <c r="R545" s="3237">
        <f t="shared" ca="1" si="103"/>
        <v>5706</v>
      </c>
      <c r="S545" s="1090">
        <f t="shared" ca="1" si="104"/>
        <v>21</v>
      </c>
    </row>
    <row r="546" spans="1:19">
      <c r="A546" s="674" t="str">
        <f>Sheet2!E526</f>
        <v>K1-035</v>
      </c>
      <c r="B546" s="3235">
        <f>Sheet2!F526</f>
        <v>37.49</v>
      </c>
      <c r="C546" s="3236">
        <f t="shared" si="95"/>
        <v>0.99</v>
      </c>
      <c r="D546" s="676"/>
      <c r="E546" s="3236">
        <f t="shared" si="96"/>
        <v>1</v>
      </c>
      <c r="F546" s="676"/>
      <c r="G546" s="3236">
        <f t="shared" si="97"/>
        <v>1</v>
      </c>
      <c r="H546" s="676"/>
      <c r="I546" s="3236">
        <f t="shared" si="98"/>
        <v>1</v>
      </c>
      <c r="J546" s="676"/>
      <c r="K546" s="3236">
        <f t="shared" si="99"/>
        <v>1</v>
      </c>
      <c r="L546" s="676"/>
      <c r="M546" s="3236">
        <f t="shared" si="100"/>
        <v>1</v>
      </c>
      <c r="N546" s="676"/>
      <c r="O546" s="3236">
        <f t="shared" si="101"/>
        <v>1</v>
      </c>
      <c r="P546" s="676"/>
      <c r="Q546" s="3236">
        <f t="shared" si="102"/>
        <v>1</v>
      </c>
      <c r="R546" s="3237">
        <f t="shared" ca="1" si="103"/>
        <v>5706</v>
      </c>
      <c r="S546" s="1090">
        <f t="shared" ca="1" si="104"/>
        <v>21</v>
      </c>
    </row>
    <row r="547" spans="1:19">
      <c r="A547" s="674" t="str">
        <f>Sheet2!E527</f>
        <v>K1-036</v>
      </c>
      <c r="B547" s="3235">
        <f>Sheet2!F527</f>
        <v>35.99</v>
      </c>
      <c r="C547" s="3236">
        <f t="shared" si="95"/>
        <v>0.99</v>
      </c>
      <c r="D547" s="676"/>
      <c r="E547" s="3236">
        <f t="shared" si="96"/>
        <v>1</v>
      </c>
      <c r="F547" s="676"/>
      <c r="G547" s="3236">
        <f t="shared" si="97"/>
        <v>1</v>
      </c>
      <c r="H547" s="676"/>
      <c r="I547" s="3236">
        <f t="shared" si="98"/>
        <v>1</v>
      </c>
      <c r="J547" s="676"/>
      <c r="K547" s="3236">
        <f t="shared" si="99"/>
        <v>1</v>
      </c>
      <c r="L547" s="676"/>
      <c r="M547" s="3236">
        <f t="shared" si="100"/>
        <v>1</v>
      </c>
      <c r="N547" s="676"/>
      <c r="O547" s="3236">
        <f t="shared" si="101"/>
        <v>1</v>
      </c>
      <c r="P547" s="676"/>
      <c r="Q547" s="3236">
        <f t="shared" si="102"/>
        <v>1</v>
      </c>
      <c r="R547" s="3237">
        <f t="shared" ca="1" si="103"/>
        <v>5706</v>
      </c>
      <c r="S547" s="1090">
        <f t="shared" ca="1" si="104"/>
        <v>21</v>
      </c>
    </row>
    <row r="548" spans="1:19">
      <c r="A548" s="674" t="str">
        <f>Sheet2!E528</f>
        <v>K1-037</v>
      </c>
      <c r="B548" s="3235">
        <f>Sheet2!F528</f>
        <v>35.99</v>
      </c>
      <c r="C548" s="3236">
        <f t="shared" si="95"/>
        <v>0.99</v>
      </c>
      <c r="D548" s="676"/>
      <c r="E548" s="3236">
        <f t="shared" si="96"/>
        <v>1</v>
      </c>
      <c r="F548" s="676"/>
      <c r="G548" s="3236">
        <f t="shared" si="97"/>
        <v>1</v>
      </c>
      <c r="H548" s="676"/>
      <c r="I548" s="3236">
        <f t="shared" si="98"/>
        <v>1</v>
      </c>
      <c r="J548" s="676"/>
      <c r="K548" s="3236">
        <f t="shared" si="99"/>
        <v>1</v>
      </c>
      <c r="L548" s="676"/>
      <c r="M548" s="3236">
        <f t="shared" si="100"/>
        <v>1</v>
      </c>
      <c r="N548" s="676"/>
      <c r="O548" s="3236">
        <f t="shared" si="101"/>
        <v>1</v>
      </c>
      <c r="P548" s="676"/>
      <c r="Q548" s="3236">
        <f t="shared" si="102"/>
        <v>1</v>
      </c>
      <c r="R548" s="3237">
        <f t="shared" ca="1" si="103"/>
        <v>5706</v>
      </c>
      <c r="S548" s="1090">
        <f t="shared" ca="1" si="104"/>
        <v>21</v>
      </c>
    </row>
    <row r="549" spans="1:19">
      <c r="A549" s="674" t="str">
        <f>Sheet2!E529</f>
        <v>K1-038</v>
      </c>
      <c r="B549" s="3235">
        <f>Sheet2!F529</f>
        <v>35.99</v>
      </c>
      <c r="C549" s="3236">
        <f t="shared" si="95"/>
        <v>0.99</v>
      </c>
      <c r="D549" s="676"/>
      <c r="E549" s="3236">
        <f t="shared" si="96"/>
        <v>1</v>
      </c>
      <c r="F549" s="676"/>
      <c r="G549" s="3236">
        <f t="shared" si="97"/>
        <v>1</v>
      </c>
      <c r="H549" s="676"/>
      <c r="I549" s="3236">
        <f t="shared" si="98"/>
        <v>1</v>
      </c>
      <c r="J549" s="676"/>
      <c r="K549" s="3236">
        <f t="shared" si="99"/>
        <v>1</v>
      </c>
      <c r="L549" s="676"/>
      <c r="M549" s="3236">
        <f t="shared" si="100"/>
        <v>1</v>
      </c>
      <c r="N549" s="676"/>
      <c r="O549" s="3236">
        <f t="shared" si="101"/>
        <v>1</v>
      </c>
      <c r="P549" s="676"/>
      <c r="Q549" s="3236">
        <f t="shared" si="102"/>
        <v>1</v>
      </c>
      <c r="R549" s="3237">
        <f t="shared" ca="1" si="103"/>
        <v>5706</v>
      </c>
      <c r="S549" s="1090">
        <f t="shared" ca="1" si="104"/>
        <v>21</v>
      </c>
    </row>
    <row r="550" spans="1:19">
      <c r="A550" s="674" t="str">
        <f>Sheet2!E530</f>
        <v>K1-039</v>
      </c>
      <c r="B550" s="3235">
        <f>Sheet2!F530</f>
        <v>35.99</v>
      </c>
      <c r="C550" s="3236">
        <f t="shared" si="95"/>
        <v>0.99</v>
      </c>
      <c r="D550" s="676"/>
      <c r="E550" s="3236">
        <f t="shared" si="96"/>
        <v>1</v>
      </c>
      <c r="F550" s="676"/>
      <c r="G550" s="3236">
        <f t="shared" si="97"/>
        <v>1</v>
      </c>
      <c r="H550" s="676"/>
      <c r="I550" s="3236">
        <f t="shared" si="98"/>
        <v>1</v>
      </c>
      <c r="J550" s="676"/>
      <c r="K550" s="3236">
        <f t="shared" si="99"/>
        <v>1</v>
      </c>
      <c r="L550" s="676"/>
      <c r="M550" s="3236">
        <f t="shared" si="100"/>
        <v>1</v>
      </c>
      <c r="N550" s="676"/>
      <c r="O550" s="3236">
        <f t="shared" si="101"/>
        <v>1</v>
      </c>
      <c r="P550" s="676"/>
      <c r="Q550" s="3236">
        <f t="shared" si="102"/>
        <v>1</v>
      </c>
      <c r="R550" s="3237">
        <f t="shared" ca="1" si="103"/>
        <v>5706</v>
      </c>
      <c r="S550" s="1090">
        <f t="shared" ca="1" si="104"/>
        <v>21</v>
      </c>
    </row>
    <row r="551" spans="1:19">
      <c r="A551" s="674" t="str">
        <f>Sheet2!E531</f>
        <v>K1-040</v>
      </c>
      <c r="B551" s="3235">
        <f>Sheet2!F531</f>
        <v>35.99</v>
      </c>
      <c r="C551" s="3236">
        <f t="shared" si="95"/>
        <v>0.99</v>
      </c>
      <c r="D551" s="676"/>
      <c r="E551" s="3236">
        <f t="shared" si="96"/>
        <v>1</v>
      </c>
      <c r="F551" s="676"/>
      <c r="G551" s="3236">
        <f t="shared" si="97"/>
        <v>1</v>
      </c>
      <c r="H551" s="676"/>
      <c r="I551" s="3236">
        <f t="shared" si="98"/>
        <v>1</v>
      </c>
      <c r="J551" s="676"/>
      <c r="K551" s="3236">
        <f t="shared" si="99"/>
        <v>1</v>
      </c>
      <c r="L551" s="676"/>
      <c r="M551" s="3236">
        <f t="shared" si="100"/>
        <v>1</v>
      </c>
      <c r="N551" s="676"/>
      <c r="O551" s="3236">
        <f t="shared" si="101"/>
        <v>1</v>
      </c>
      <c r="P551" s="676"/>
      <c r="Q551" s="3236">
        <f t="shared" si="102"/>
        <v>1</v>
      </c>
      <c r="R551" s="3237">
        <f t="shared" ca="1" si="103"/>
        <v>5706</v>
      </c>
      <c r="S551" s="1090">
        <f t="shared" ca="1" si="104"/>
        <v>21</v>
      </c>
    </row>
    <row r="552" spans="1:19">
      <c r="A552" s="674" t="str">
        <f>Sheet2!E532</f>
        <v>K1-041</v>
      </c>
      <c r="B552" s="3235">
        <f>Sheet2!F532</f>
        <v>35.99</v>
      </c>
      <c r="C552" s="3236">
        <f t="shared" si="95"/>
        <v>0.99</v>
      </c>
      <c r="D552" s="676"/>
      <c r="E552" s="3236">
        <f t="shared" si="96"/>
        <v>1</v>
      </c>
      <c r="F552" s="676"/>
      <c r="G552" s="3236">
        <f t="shared" si="97"/>
        <v>1</v>
      </c>
      <c r="H552" s="676"/>
      <c r="I552" s="3236">
        <f t="shared" si="98"/>
        <v>1</v>
      </c>
      <c r="J552" s="676"/>
      <c r="K552" s="3236">
        <f t="shared" si="99"/>
        <v>1</v>
      </c>
      <c r="L552" s="676"/>
      <c r="M552" s="3236">
        <f t="shared" si="100"/>
        <v>1</v>
      </c>
      <c r="N552" s="676"/>
      <c r="O552" s="3236">
        <f t="shared" si="101"/>
        <v>1</v>
      </c>
      <c r="P552" s="676"/>
      <c r="Q552" s="3236">
        <f t="shared" si="102"/>
        <v>1</v>
      </c>
      <c r="R552" s="3237">
        <f t="shared" ca="1" si="103"/>
        <v>5706</v>
      </c>
      <c r="S552" s="1090">
        <f t="shared" ca="1" si="104"/>
        <v>21</v>
      </c>
    </row>
    <row r="553" spans="1:19">
      <c r="A553" s="674" t="str">
        <f>Sheet2!E533</f>
        <v>K1-042</v>
      </c>
      <c r="B553" s="3235">
        <f>Sheet2!F533</f>
        <v>35.99</v>
      </c>
      <c r="C553" s="3236">
        <f t="shared" si="95"/>
        <v>0.99</v>
      </c>
      <c r="D553" s="676"/>
      <c r="E553" s="3236">
        <f t="shared" si="96"/>
        <v>1</v>
      </c>
      <c r="F553" s="676"/>
      <c r="G553" s="3236">
        <f t="shared" si="97"/>
        <v>1</v>
      </c>
      <c r="H553" s="676"/>
      <c r="I553" s="3236">
        <f t="shared" si="98"/>
        <v>1</v>
      </c>
      <c r="J553" s="676"/>
      <c r="K553" s="3236">
        <f t="shared" si="99"/>
        <v>1</v>
      </c>
      <c r="L553" s="676"/>
      <c r="M553" s="3236">
        <f t="shared" si="100"/>
        <v>1</v>
      </c>
      <c r="N553" s="676"/>
      <c r="O553" s="3236">
        <f t="shared" si="101"/>
        <v>1</v>
      </c>
      <c r="P553" s="676"/>
      <c r="Q553" s="3236">
        <f t="shared" si="102"/>
        <v>1</v>
      </c>
      <c r="R553" s="3237">
        <f t="shared" ca="1" si="103"/>
        <v>5706</v>
      </c>
      <c r="S553" s="1090">
        <f t="shared" ca="1" si="104"/>
        <v>21</v>
      </c>
    </row>
    <row r="554" spans="1:19">
      <c r="A554" s="674" t="str">
        <f>Sheet2!E534</f>
        <v>K1-043</v>
      </c>
      <c r="B554" s="3235">
        <f>Sheet2!F534</f>
        <v>35.99</v>
      </c>
      <c r="C554" s="3236">
        <f t="shared" si="95"/>
        <v>0.99</v>
      </c>
      <c r="D554" s="676"/>
      <c r="E554" s="3236">
        <f t="shared" si="96"/>
        <v>1</v>
      </c>
      <c r="F554" s="676"/>
      <c r="G554" s="3236">
        <f t="shared" si="97"/>
        <v>1</v>
      </c>
      <c r="H554" s="676"/>
      <c r="I554" s="3236">
        <f t="shared" si="98"/>
        <v>1</v>
      </c>
      <c r="J554" s="676"/>
      <c r="K554" s="3236">
        <f t="shared" si="99"/>
        <v>1</v>
      </c>
      <c r="L554" s="676"/>
      <c r="M554" s="3236">
        <f t="shared" si="100"/>
        <v>1</v>
      </c>
      <c r="N554" s="676"/>
      <c r="O554" s="3236">
        <f t="shared" si="101"/>
        <v>1</v>
      </c>
      <c r="P554" s="676"/>
      <c r="Q554" s="3236">
        <f t="shared" si="102"/>
        <v>1</v>
      </c>
      <c r="R554" s="3237">
        <f t="shared" ca="1" si="103"/>
        <v>5706</v>
      </c>
      <c r="S554" s="1090">
        <f t="shared" ca="1" si="104"/>
        <v>21</v>
      </c>
    </row>
    <row r="555" spans="1:19">
      <c r="A555" s="674" t="str">
        <f>Sheet2!E535</f>
        <v>K1-044</v>
      </c>
      <c r="B555" s="3235">
        <f>Sheet2!F535</f>
        <v>35.99</v>
      </c>
      <c r="C555" s="3236">
        <f t="shared" si="95"/>
        <v>0.99</v>
      </c>
      <c r="D555" s="676"/>
      <c r="E555" s="3236">
        <f t="shared" si="96"/>
        <v>1</v>
      </c>
      <c r="F555" s="676"/>
      <c r="G555" s="3236">
        <f t="shared" si="97"/>
        <v>1</v>
      </c>
      <c r="H555" s="676"/>
      <c r="I555" s="3236">
        <f t="shared" si="98"/>
        <v>1</v>
      </c>
      <c r="J555" s="676"/>
      <c r="K555" s="3236">
        <f t="shared" si="99"/>
        <v>1</v>
      </c>
      <c r="L555" s="676"/>
      <c r="M555" s="3236">
        <f t="shared" si="100"/>
        <v>1</v>
      </c>
      <c r="N555" s="676"/>
      <c r="O555" s="3236">
        <f t="shared" si="101"/>
        <v>1</v>
      </c>
      <c r="P555" s="676"/>
      <c r="Q555" s="3236">
        <f t="shared" si="102"/>
        <v>1</v>
      </c>
      <c r="R555" s="3237">
        <f t="shared" ca="1" si="103"/>
        <v>5706</v>
      </c>
      <c r="S555" s="1090">
        <f t="shared" ca="1" si="104"/>
        <v>21</v>
      </c>
    </row>
    <row r="556" spans="1:19">
      <c r="A556" s="674" t="str">
        <f>Sheet2!E536</f>
        <v>K1-045</v>
      </c>
      <c r="B556" s="3235">
        <f>Sheet2!F536</f>
        <v>33.65</v>
      </c>
      <c r="C556" s="3236">
        <f t="shared" si="95"/>
        <v>1</v>
      </c>
      <c r="D556" s="676"/>
      <c r="E556" s="3236">
        <f t="shared" si="96"/>
        <v>1</v>
      </c>
      <c r="F556" s="676"/>
      <c r="G556" s="3236">
        <f t="shared" si="97"/>
        <v>1</v>
      </c>
      <c r="H556" s="676"/>
      <c r="I556" s="3236">
        <f t="shared" si="98"/>
        <v>1</v>
      </c>
      <c r="J556" s="676"/>
      <c r="K556" s="3236">
        <f t="shared" si="99"/>
        <v>1</v>
      </c>
      <c r="L556" s="676"/>
      <c r="M556" s="3236">
        <f t="shared" si="100"/>
        <v>1</v>
      </c>
      <c r="N556" s="676"/>
      <c r="O556" s="3236">
        <f t="shared" si="101"/>
        <v>1</v>
      </c>
      <c r="P556" s="676"/>
      <c r="Q556" s="3236">
        <f t="shared" si="102"/>
        <v>1</v>
      </c>
      <c r="R556" s="3237">
        <f t="shared" ca="1" si="103"/>
        <v>5764</v>
      </c>
      <c r="S556" s="1090">
        <f t="shared" ca="1" si="104"/>
        <v>19</v>
      </c>
    </row>
    <row r="557" spans="1:19">
      <c r="A557" s="674" t="str">
        <f>Sheet2!E537</f>
        <v>K1-046</v>
      </c>
      <c r="B557" s="3235">
        <f>Sheet2!F537</f>
        <v>37.49</v>
      </c>
      <c r="C557" s="3236">
        <f t="shared" si="95"/>
        <v>0.99</v>
      </c>
      <c r="D557" s="676"/>
      <c r="E557" s="3236">
        <f t="shared" si="96"/>
        <v>1</v>
      </c>
      <c r="F557" s="676"/>
      <c r="G557" s="3236">
        <f t="shared" si="97"/>
        <v>1</v>
      </c>
      <c r="H557" s="676"/>
      <c r="I557" s="3236">
        <f t="shared" si="98"/>
        <v>1</v>
      </c>
      <c r="J557" s="676"/>
      <c r="K557" s="3236">
        <f t="shared" si="99"/>
        <v>1</v>
      </c>
      <c r="L557" s="676"/>
      <c r="M557" s="3236">
        <f t="shared" si="100"/>
        <v>1</v>
      </c>
      <c r="N557" s="676"/>
      <c r="O557" s="3236">
        <f t="shared" si="101"/>
        <v>1</v>
      </c>
      <c r="P557" s="676"/>
      <c r="Q557" s="3236">
        <f t="shared" si="102"/>
        <v>1</v>
      </c>
      <c r="R557" s="3237">
        <f t="shared" ca="1" si="103"/>
        <v>5706</v>
      </c>
      <c r="S557" s="1090">
        <f t="shared" ca="1" si="104"/>
        <v>21</v>
      </c>
    </row>
    <row r="558" spans="1:19">
      <c r="A558" s="674" t="str">
        <f>Sheet2!E538</f>
        <v>K1-047</v>
      </c>
      <c r="B558" s="3235">
        <f>Sheet2!F538</f>
        <v>37.49</v>
      </c>
      <c r="C558" s="3236">
        <f t="shared" si="95"/>
        <v>0.99</v>
      </c>
      <c r="D558" s="676"/>
      <c r="E558" s="3236">
        <f t="shared" si="96"/>
        <v>1</v>
      </c>
      <c r="F558" s="676"/>
      <c r="G558" s="3236">
        <f t="shared" si="97"/>
        <v>1</v>
      </c>
      <c r="H558" s="676"/>
      <c r="I558" s="3236">
        <f t="shared" si="98"/>
        <v>1</v>
      </c>
      <c r="J558" s="676"/>
      <c r="K558" s="3236">
        <f t="shared" si="99"/>
        <v>1</v>
      </c>
      <c r="L558" s="676"/>
      <c r="M558" s="3236">
        <f t="shared" si="100"/>
        <v>1</v>
      </c>
      <c r="N558" s="676"/>
      <c r="O558" s="3236">
        <f t="shared" si="101"/>
        <v>1</v>
      </c>
      <c r="P558" s="676"/>
      <c r="Q558" s="3236">
        <f t="shared" si="102"/>
        <v>1</v>
      </c>
      <c r="R558" s="3237">
        <f t="shared" ca="1" si="103"/>
        <v>5706</v>
      </c>
      <c r="S558" s="1090">
        <f t="shared" ca="1" si="104"/>
        <v>21</v>
      </c>
    </row>
    <row r="559" spans="1:19">
      <c r="A559" s="674" t="str">
        <f>Sheet2!E539</f>
        <v>K1-048</v>
      </c>
      <c r="B559" s="3235">
        <f>Sheet2!F539</f>
        <v>37.49</v>
      </c>
      <c r="C559" s="3236">
        <f t="shared" si="95"/>
        <v>0.99</v>
      </c>
      <c r="D559" s="676"/>
      <c r="E559" s="3236">
        <f t="shared" si="96"/>
        <v>1</v>
      </c>
      <c r="F559" s="676"/>
      <c r="G559" s="3236">
        <f t="shared" si="97"/>
        <v>1</v>
      </c>
      <c r="H559" s="676"/>
      <c r="I559" s="3236">
        <f t="shared" si="98"/>
        <v>1</v>
      </c>
      <c r="J559" s="676"/>
      <c r="K559" s="3236">
        <f t="shared" si="99"/>
        <v>1</v>
      </c>
      <c r="L559" s="676"/>
      <c r="M559" s="3236">
        <f t="shared" si="100"/>
        <v>1</v>
      </c>
      <c r="N559" s="676"/>
      <c r="O559" s="3236">
        <f t="shared" si="101"/>
        <v>1</v>
      </c>
      <c r="P559" s="676"/>
      <c r="Q559" s="3236">
        <f t="shared" si="102"/>
        <v>1</v>
      </c>
      <c r="R559" s="3237">
        <f t="shared" ca="1" si="103"/>
        <v>5706</v>
      </c>
      <c r="S559" s="1090">
        <f t="shared" ca="1" si="104"/>
        <v>21</v>
      </c>
    </row>
    <row r="560" spans="1:19">
      <c r="A560" s="674" t="str">
        <f>Sheet2!E540</f>
        <v>K1-049</v>
      </c>
      <c r="B560" s="3235">
        <f>Sheet2!F540</f>
        <v>37.49</v>
      </c>
      <c r="C560" s="3236">
        <f t="shared" si="95"/>
        <v>0.99</v>
      </c>
      <c r="D560" s="676"/>
      <c r="E560" s="3236">
        <f t="shared" si="96"/>
        <v>1</v>
      </c>
      <c r="F560" s="676"/>
      <c r="G560" s="3236">
        <f t="shared" si="97"/>
        <v>1</v>
      </c>
      <c r="H560" s="676"/>
      <c r="I560" s="3236">
        <f t="shared" si="98"/>
        <v>1</v>
      </c>
      <c r="J560" s="676"/>
      <c r="K560" s="3236">
        <f t="shared" si="99"/>
        <v>1</v>
      </c>
      <c r="L560" s="676"/>
      <c r="M560" s="3236">
        <f t="shared" si="100"/>
        <v>1</v>
      </c>
      <c r="N560" s="676"/>
      <c r="O560" s="3236">
        <f t="shared" si="101"/>
        <v>1</v>
      </c>
      <c r="P560" s="676"/>
      <c r="Q560" s="3236">
        <f t="shared" si="102"/>
        <v>1</v>
      </c>
      <c r="R560" s="3237">
        <f t="shared" ca="1" si="103"/>
        <v>5706</v>
      </c>
      <c r="S560" s="1090">
        <f t="shared" ca="1" si="104"/>
        <v>21</v>
      </c>
    </row>
    <row r="561" spans="1:19">
      <c r="A561" s="674" t="str">
        <f>Sheet2!E541</f>
        <v>K1-050</v>
      </c>
      <c r="B561" s="3235">
        <f>Sheet2!F541</f>
        <v>37.49</v>
      </c>
      <c r="C561" s="3236">
        <f t="shared" si="95"/>
        <v>0.99</v>
      </c>
      <c r="D561" s="676"/>
      <c r="E561" s="3236">
        <f t="shared" si="96"/>
        <v>1</v>
      </c>
      <c r="F561" s="676"/>
      <c r="G561" s="3236">
        <f t="shared" si="97"/>
        <v>1</v>
      </c>
      <c r="H561" s="676"/>
      <c r="I561" s="3236">
        <f t="shared" si="98"/>
        <v>1</v>
      </c>
      <c r="J561" s="676"/>
      <c r="K561" s="3236">
        <f t="shared" si="99"/>
        <v>1</v>
      </c>
      <c r="L561" s="676"/>
      <c r="M561" s="3236">
        <f t="shared" si="100"/>
        <v>1</v>
      </c>
      <c r="N561" s="676"/>
      <c r="O561" s="3236">
        <f t="shared" si="101"/>
        <v>1</v>
      </c>
      <c r="P561" s="676"/>
      <c r="Q561" s="3236">
        <f t="shared" si="102"/>
        <v>1</v>
      </c>
      <c r="R561" s="3237">
        <f t="shared" ca="1" si="103"/>
        <v>5706</v>
      </c>
      <c r="S561" s="1090">
        <f t="shared" ca="1" si="104"/>
        <v>21</v>
      </c>
    </row>
    <row r="562" spans="1:19">
      <c r="A562" s="674" t="str">
        <f>Sheet2!E542</f>
        <v>K1-052</v>
      </c>
      <c r="B562" s="3235">
        <f>Sheet2!F542</f>
        <v>37.49</v>
      </c>
      <c r="C562" s="3236">
        <f t="shared" si="95"/>
        <v>0.99</v>
      </c>
      <c r="D562" s="676"/>
      <c r="E562" s="3236">
        <f t="shared" si="96"/>
        <v>1</v>
      </c>
      <c r="F562" s="676"/>
      <c r="G562" s="3236">
        <f t="shared" si="97"/>
        <v>1</v>
      </c>
      <c r="H562" s="676"/>
      <c r="I562" s="3236">
        <f t="shared" si="98"/>
        <v>1</v>
      </c>
      <c r="J562" s="676"/>
      <c r="K562" s="3236">
        <f t="shared" si="99"/>
        <v>1</v>
      </c>
      <c r="L562" s="676"/>
      <c r="M562" s="3236">
        <f t="shared" si="100"/>
        <v>1</v>
      </c>
      <c r="N562" s="676"/>
      <c r="O562" s="3236">
        <f t="shared" si="101"/>
        <v>1</v>
      </c>
      <c r="P562" s="676"/>
      <c r="Q562" s="3236">
        <f t="shared" si="102"/>
        <v>1</v>
      </c>
      <c r="R562" s="3237">
        <f t="shared" ca="1" si="103"/>
        <v>5706</v>
      </c>
      <c r="S562" s="1090">
        <f t="shared" ca="1" si="104"/>
        <v>21</v>
      </c>
    </row>
    <row r="563" spans="1:19">
      <c r="A563" s="674" t="str">
        <f>Sheet2!E543</f>
        <v>K1-053</v>
      </c>
      <c r="B563" s="3235">
        <f>Sheet2!F543</f>
        <v>37.49</v>
      </c>
      <c r="C563" s="3236">
        <f t="shared" si="95"/>
        <v>0.99</v>
      </c>
      <c r="D563" s="676"/>
      <c r="E563" s="3236">
        <f t="shared" si="96"/>
        <v>1</v>
      </c>
      <c r="F563" s="676"/>
      <c r="G563" s="3236">
        <f t="shared" si="97"/>
        <v>1</v>
      </c>
      <c r="H563" s="676"/>
      <c r="I563" s="3236">
        <f t="shared" si="98"/>
        <v>1</v>
      </c>
      <c r="J563" s="676"/>
      <c r="K563" s="3236">
        <f t="shared" si="99"/>
        <v>1</v>
      </c>
      <c r="L563" s="676"/>
      <c r="M563" s="3236">
        <f t="shared" si="100"/>
        <v>1</v>
      </c>
      <c r="N563" s="676"/>
      <c r="O563" s="3236">
        <f t="shared" si="101"/>
        <v>1</v>
      </c>
      <c r="P563" s="676"/>
      <c r="Q563" s="3236">
        <f t="shared" si="102"/>
        <v>1</v>
      </c>
      <c r="R563" s="3237">
        <f t="shared" ca="1" si="103"/>
        <v>5706</v>
      </c>
      <c r="S563" s="1090">
        <f t="shared" ca="1" si="104"/>
        <v>21</v>
      </c>
    </row>
    <row r="564" spans="1:19">
      <c r="A564" s="674" t="str">
        <f>Sheet2!E544</f>
        <v>K1-054</v>
      </c>
      <c r="B564" s="3235">
        <f>Sheet2!F544</f>
        <v>37.49</v>
      </c>
      <c r="C564" s="3236">
        <f t="shared" si="95"/>
        <v>0.99</v>
      </c>
      <c r="D564" s="676"/>
      <c r="E564" s="3236">
        <f t="shared" si="96"/>
        <v>1</v>
      </c>
      <c r="F564" s="676"/>
      <c r="G564" s="3236">
        <f t="shared" si="97"/>
        <v>1</v>
      </c>
      <c r="H564" s="676"/>
      <c r="I564" s="3236">
        <f t="shared" si="98"/>
        <v>1</v>
      </c>
      <c r="J564" s="676"/>
      <c r="K564" s="3236">
        <f t="shared" si="99"/>
        <v>1</v>
      </c>
      <c r="L564" s="676"/>
      <c r="M564" s="3236">
        <f t="shared" si="100"/>
        <v>1</v>
      </c>
      <c r="N564" s="676"/>
      <c r="O564" s="3236">
        <f t="shared" si="101"/>
        <v>1</v>
      </c>
      <c r="P564" s="676"/>
      <c r="Q564" s="3236">
        <f t="shared" si="102"/>
        <v>1</v>
      </c>
      <c r="R564" s="3237">
        <f t="shared" ca="1" si="103"/>
        <v>5706</v>
      </c>
      <c r="S564" s="1090">
        <f t="shared" ca="1" si="104"/>
        <v>21</v>
      </c>
    </row>
    <row r="565" spans="1:19">
      <c r="A565" s="674" t="str">
        <f>Sheet2!E545</f>
        <v>K1-055</v>
      </c>
      <c r="B565" s="3235">
        <f>Sheet2!F545</f>
        <v>37.49</v>
      </c>
      <c r="C565" s="3236">
        <f t="shared" si="95"/>
        <v>0.99</v>
      </c>
      <c r="D565" s="676"/>
      <c r="E565" s="3236">
        <f t="shared" si="96"/>
        <v>1</v>
      </c>
      <c r="F565" s="676"/>
      <c r="G565" s="3236">
        <f t="shared" si="97"/>
        <v>1</v>
      </c>
      <c r="H565" s="676"/>
      <c r="I565" s="3236">
        <f t="shared" si="98"/>
        <v>1</v>
      </c>
      <c r="J565" s="676"/>
      <c r="K565" s="3236">
        <f t="shared" si="99"/>
        <v>1</v>
      </c>
      <c r="L565" s="676"/>
      <c r="M565" s="3236">
        <f t="shared" si="100"/>
        <v>1</v>
      </c>
      <c r="N565" s="676"/>
      <c r="O565" s="3236">
        <f t="shared" si="101"/>
        <v>1</v>
      </c>
      <c r="P565" s="676"/>
      <c r="Q565" s="3236">
        <f t="shared" si="102"/>
        <v>1</v>
      </c>
      <c r="R565" s="3237">
        <f t="shared" ca="1" si="103"/>
        <v>5706</v>
      </c>
      <c r="S565" s="1090">
        <f t="shared" ca="1" si="104"/>
        <v>21</v>
      </c>
    </row>
    <row r="566" spans="1:19">
      <c r="A566" s="674" t="str">
        <f>Sheet2!E546</f>
        <v>M1-073</v>
      </c>
      <c r="B566" s="3235">
        <f>Sheet2!F546</f>
        <v>37.49</v>
      </c>
      <c r="C566" s="3236">
        <f t="shared" si="95"/>
        <v>0.99</v>
      </c>
      <c r="D566" s="676"/>
      <c r="E566" s="3236">
        <f t="shared" si="96"/>
        <v>1</v>
      </c>
      <c r="F566" s="676"/>
      <c r="G566" s="3236">
        <f t="shared" si="97"/>
        <v>1</v>
      </c>
      <c r="H566" s="676"/>
      <c r="I566" s="3236">
        <f t="shared" si="98"/>
        <v>1</v>
      </c>
      <c r="J566" s="676"/>
      <c r="K566" s="3236">
        <f t="shared" si="99"/>
        <v>1</v>
      </c>
      <c r="L566" s="676"/>
      <c r="M566" s="3236">
        <f t="shared" si="100"/>
        <v>1</v>
      </c>
      <c r="N566" s="676"/>
      <c r="O566" s="3236">
        <f t="shared" si="101"/>
        <v>1</v>
      </c>
      <c r="P566" s="676"/>
      <c r="Q566" s="3236">
        <f t="shared" si="102"/>
        <v>1</v>
      </c>
      <c r="R566" s="3237">
        <f t="shared" ca="1" si="103"/>
        <v>5706</v>
      </c>
      <c r="S566" s="1090">
        <f t="shared" ca="1" si="104"/>
        <v>21</v>
      </c>
    </row>
    <row r="567" spans="1:19">
      <c r="A567" s="674" t="str">
        <f>Sheet2!E547</f>
        <v>M1-074</v>
      </c>
      <c r="B567" s="3235">
        <f>Sheet2!F547</f>
        <v>37.49</v>
      </c>
      <c r="C567" s="3236">
        <f t="shared" si="95"/>
        <v>0.99</v>
      </c>
      <c r="D567" s="676"/>
      <c r="E567" s="3236">
        <f t="shared" si="96"/>
        <v>1</v>
      </c>
      <c r="F567" s="676"/>
      <c r="G567" s="3236">
        <f t="shared" si="97"/>
        <v>1</v>
      </c>
      <c r="H567" s="676"/>
      <c r="I567" s="3236">
        <f t="shared" si="98"/>
        <v>1</v>
      </c>
      <c r="J567" s="676"/>
      <c r="K567" s="3236">
        <f t="shared" si="99"/>
        <v>1</v>
      </c>
      <c r="L567" s="676"/>
      <c r="M567" s="3236">
        <f t="shared" si="100"/>
        <v>1</v>
      </c>
      <c r="N567" s="676"/>
      <c r="O567" s="3236">
        <f t="shared" si="101"/>
        <v>1</v>
      </c>
      <c r="P567" s="676"/>
      <c r="Q567" s="3236">
        <f t="shared" si="102"/>
        <v>1</v>
      </c>
      <c r="R567" s="3237">
        <f t="shared" ca="1" si="103"/>
        <v>5706</v>
      </c>
      <c r="S567" s="1090">
        <f t="shared" ca="1" si="104"/>
        <v>21</v>
      </c>
    </row>
    <row r="568" spans="1:19">
      <c r="A568" s="674" t="str">
        <f>Sheet2!E548</f>
        <v>M1-075</v>
      </c>
      <c r="B568" s="3235">
        <f>Sheet2!F548</f>
        <v>37.49</v>
      </c>
      <c r="C568" s="3236">
        <f t="shared" si="95"/>
        <v>0.99</v>
      </c>
      <c r="D568" s="676"/>
      <c r="E568" s="3236">
        <f t="shared" si="96"/>
        <v>1</v>
      </c>
      <c r="F568" s="676"/>
      <c r="G568" s="3236">
        <f t="shared" si="97"/>
        <v>1</v>
      </c>
      <c r="H568" s="676"/>
      <c r="I568" s="3236">
        <f t="shared" si="98"/>
        <v>1</v>
      </c>
      <c r="J568" s="676"/>
      <c r="K568" s="3236">
        <f t="shared" si="99"/>
        <v>1</v>
      </c>
      <c r="L568" s="676"/>
      <c r="M568" s="3236">
        <f t="shared" si="100"/>
        <v>1</v>
      </c>
      <c r="N568" s="676"/>
      <c r="O568" s="3236">
        <f t="shared" si="101"/>
        <v>1</v>
      </c>
      <c r="P568" s="676"/>
      <c r="Q568" s="3236">
        <f t="shared" si="102"/>
        <v>1</v>
      </c>
      <c r="R568" s="3237">
        <f t="shared" ca="1" si="103"/>
        <v>5706</v>
      </c>
      <c r="S568" s="1090">
        <f t="shared" ca="1" si="104"/>
        <v>21</v>
      </c>
    </row>
    <row r="569" spans="1:19">
      <c r="A569" s="674" t="str">
        <f>Sheet2!E549</f>
        <v>M1-077</v>
      </c>
      <c r="B569" s="3235">
        <f>Sheet2!F549</f>
        <v>37.49</v>
      </c>
      <c r="C569" s="3236">
        <f t="shared" si="95"/>
        <v>0.99</v>
      </c>
      <c r="D569" s="676"/>
      <c r="E569" s="3236">
        <f t="shared" si="96"/>
        <v>1</v>
      </c>
      <c r="F569" s="676"/>
      <c r="G569" s="3236">
        <f t="shared" si="97"/>
        <v>1</v>
      </c>
      <c r="H569" s="676"/>
      <c r="I569" s="3236">
        <f t="shared" si="98"/>
        <v>1</v>
      </c>
      <c r="J569" s="676"/>
      <c r="K569" s="3236">
        <f t="shared" si="99"/>
        <v>1</v>
      </c>
      <c r="L569" s="676"/>
      <c r="M569" s="3236">
        <f t="shared" si="100"/>
        <v>1</v>
      </c>
      <c r="N569" s="676"/>
      <c r="O569" s="3236">
        <f t="shared" si="101"/>
        <v>1</v>
      </c>
      <c r="P569" s="676"/>
      <c r="Q569" s="3236">
        <f t="shared" si="102"/>
        <v>1</v>
      </c>
      <c r="R569" s="3237">
        <f t="shared" ca="1" si="103"/>
        <v>5706</v>
      </c>
      <c r="S569" s="1090">
        <f t="shared" ca="1" si="104"/>
        <v>21</v>
      </c>
    </row>
    <row r="570" spans="1:19">
      <c r="A570" s="674" t="str">
        <f>Sheet2!E550</f>
        <v>M1-078</v>
      </c>
      <c r="B570" s="3235">
        <f>Sheet2!F550</f>
        <v>37.49</v>
      </c>
      <c r="C570" s="3236">
        <f t="shared" si="95"/>
        <v>0.99</v>
      </c>
      <c r="D570" s="676"/>
      <c r="E570" s="3236">
        <f t="shared" si="96"/>
        <v>1</v>
      </c>
      <c r="F570" s="676"/>
      <c r="G570" s="3236">
        <f t="shared" si="97"/>
        <v>1</v>
      </c>
      <c r="H570" s="676"/>
      <c r="I570" s="3236">
        <f t="shared" si="98"/>
        <v>1</v>
      </c>
      <c r="J570" s="676"/>
      <c r="K570" s="3236">
        <f t="shared" si="99"/>
        <v>1</v>
      </c>
      <c r="L570" s="676"/>
      <c r="M570" s="3236">
        <f t="shared" si="100"/>
        <v>1</v>
      </c>
      <c r="N570" s="676"/>
      <c r="O570" s="3236">
        <f t="shared" si="101"/>
        <v>1</v>
      </c>
      <c r="P570" s="676"/>
      <c r="Q570" s="3236">
        <f t="shared" si="102"/>
        <v>1</v>
      </c>
      <c r="R570" s="3237">
        <f t="shared" ca="1" si="103"/>
        <v>5706</v>
      </c>
      <c r="S570" s="1090">
        <f t="shared" ca="1" si="104"/>
        <v>21</v>
      </c>
    </row>
    <row r="571" spans="1:19">
      <c r="A571" s="674" t="str">
        <f>Sheet2!E551</f>
        <v>M1-079</v>
      </c>
      <c r="B571" s="3235">
        <f>Sheet2!F551</f>
        <v>37.49</v>
      </c>
      <c r="C571" s="3236">
        <f t="shared" si="95"/>
        <v>0.99</v>
      </c>
      <c r="D571" s="676"/>
      <c r="E571" s="3236">
        <f t="shared" si="96"/>
        <v>1</v>
      </c>
      <c r="F571" s="676"/>
      <c r="G571" s="3236">
        <f t="shared" si="97"/>
        <v>1</v>
      </c>
      <c r="H571" s="676"/>
      <c r="I571" s="3236">
        <f t="shared" si="98"/>
        <v>1</v>
      </c>
      <c r="J571" s="676"/>
      <c r="K571" s="3236">
        <f t="shared" si="99"/>
        <v>1</v>
      </c>
      <c r="L571" s="676"/>
      <c r="M571" s="3236">
        <f t="shared" si="100"/>
        <v>1</v>
      </c>
      <c r="N571" s="676"/>
      <c r="O571" s="3236">
        <f t="shared" si="101"/>
        <v>1</v>
      </c>
      <c r="P571" s="676"/>
      <c r="Q571" s="3236">
        <f t="shared" si="102"/>
        <v>1</v>
      </c>
      <c r="R571" s="3237">
        <f t="shared" ca="1" si="103"/>
        <v>5706</v>
      </c>
      <c r="S571" s="1090">
        <f t="shared" ca="1" si="104"/>
        <v>21</v>
      </c>
    </row>
    <row r="572" spans="1:19">
      <c r="A572" s="674" t="str">
        <f>Sheet2!E552</f>
        <v>M1-080</v>
      </c>
      <c r="B572" s="3235">
        <f>Sheet2!F552</f>
        <v>37.49</v>
      </c>
      <c r="C572" s="3236">
        <f t="shared" si="95"/>
        <v>0.99</v>
      </c>
      <c r="D572" s="676"/>
      <c r="E572" s="3236">
        <f t="shared" si="96"/>
        <v>1</v>
      </c>
      <c r="F572" s="676"/>
      <c r="G572" s="3236">
        <f t="shared" si="97"/>
        <v>1</v>
      </c>
      <c r="H572" s="676"/>
      <c r="I572" s="3236">
        <f t="shared" si="98"/>
        <v>1</v>
      </c>
      <c r="J572" s="676"/>
      <c r="K572" s="3236">
        <f t="shared" si="99"/>
        <v>1</v>
      </c>
      <c r="L572" s="676"/>
      <c r="M572" s="3236">
        <f t="shared" si="100"/>
        <v>1</v>
      </c>
      <c r="N572" s="676"/>
      <c r="O572" s="3236">
        <f t="shared" si="101"/>
        <v>1</v>
      </c>
      <c r="P572" s="676"/>
      <c r="Q572" s="3236">
        <f t="shared" si="102"/>
        <v>1</v>
      </c>
      <c r="R572" s="3237">
        <f t="shared" ca="1" si="103"/>
        <v>5706</v>
      </c>
      <c r="S572" s="1090">
        <f t="shared" ca="1" si="104"/>
        <v>21</v>
      </c>
    </row>
    <row r="573" spans="1:19">
      <c r="A573" s="674" t="str">
        <f>Sheet2!E553</f>
        <v>M1-081</v>
      </c>
      <c r="B573" s="3235">
        <f>Sheet2!F553</f>
        <v>37.49</v>
      </c>
      <c r="C573" s="3236">
        <f t="shared" si="95"/>
        <v>0.99</v>
      </c>
      <c r="D573" s="676"/>
      <c r="E573" s="3236">
        <f t="shared" si="96"/>
        <v>1</v>
      </c>
      <c r="F573" s="676"/>
      <c r="G573" s="3236">
        <f t="shared" si="97"/>
        <v>1</v>
      </c>
      <c r="H573" s="676"/>
      <c r="I573" s="3236">
        <f t="shared" si="98"/>
        <v>1</v>
      </c>
      <c r="J573" s="676"/>
      <c r="K573" s="3236">
        <f t="shared" si="99"/>
        <v>1</v>
      </c>
      <c r="L573" s="676"/>
      <c r="M573" s="3236">
        <f t="shared" si="100"/>
        <v>1</v>
      </c>
      <c r="N573" s="676"/>
      <c r="O573" s="3236">
        <f t="shared" si="101"/>
        <v>1</v>
      </c>
      <c r="P573" s="676"/>
      <c r="Q573" s="3236">
        <f t="shared" si="102"/>
        <v>1</v>
      </c>
      <c r="R573" s="3237">
        <f t="shared" ca="1" si="103"/>
        <v>5706</v>
      </c>
      <c r="S573" s="1090">
        <f t="shared" ca="1" si="104"/>
        <v>21</v>
      </c>
    </row>
    <row r="574" spans="1:19">
      <c r="A574" s="674" t="str">
        <f>Sheet2!E554</f>
        <v>C1-010</v>
      </c>
      <c r="B574" s="3235">
        <f>Sheet2!F554</f>
        <v>36.340000000000003</v>
      </c>
      <c r="C574" s="3236">
        <f t="shared" si="95"/>
        <v>0.99</v>
      </c>
      <c r="D574" s="676"/>
      <c r="E574" s="3236">
        <f t="shared" si="96"/>
        <v>1</v>
      </c>
      <c r="F574" s="676"/>
      <c r="G574" s="3236">
        <f t="shared" si="97"/>
        <v>1</v>
      </c>
      <c r="H574" s="676"/>
      <c r="I574" s="3236">
        <f t="shared" si="98"/>
        <v>1</v>
      </c>
      <c r="J574" s="676"/>
      <c r="K574" s="3236">
        <f t="shared" si="99"/>
        <v>1</v>
      </c>
      <c r="L574" s="676"/>
      <c r="M574" s="3236">
        <f t="shared" si="100"/>
        <v>1</v>
      </c>
      <c r="N574" s="676"/>
      <c r="O574" s="3236">
        <f t="shared" si="101"/>
        <v>1</v>
      </c>
      <c r="P574" s="676"/>
      <c r="Q574" s="3236">
        <f t="shared" si="102"/>
        <v>1</v>
      </c>
      <c r="R574" s="3237">
        <f t="shared" ca="1" si="103"/>
        <v>5706</v>
      </c>
      <c r="S574" s="1090">
        <f t="shared" ca="1" si="104"/>
        <v>21</v>
      </c>
    </row>
    <row r="575" spans="1:19">
      <c r="A575" s="674" t="str">
        <f>Sheet2!E555</f>
        <v>C1-011</v>
      </c>
      <c r="B575" s="3235">
        <f>Sheet2!F555</f>
        <v>36.340000000000003</v>
      </c>
      <c r="C575" s="3236">
        <f t="shared" si="95"/>
        <v>0.99</v>
      </c>
      <c r="D575" s="676"/>
      <c r="E575" s="3236">
        <f t="shared" si="96"/>
        <v>1</v>
      </c>
      <c r="F575" s="676"/>
      <c r="G575" s="3236">
        <f t="shared" si="97"/>
        <v>1</v>
      </c>
      <c r="H575" s="676"/>
      <c r="I575" s="3236">
        <f t="shared" si="98"/>
        <v>1</v>
      </c>
      <c r="J575" s="676"/>
      <c r="K575" s="3236">
        <f t="shared" si="99"/>
        <v>1</v>
      </c>
      <c r="L575" s="676"/>
      <c r="M575" s="3236">
        <f t="shared" si="100"/>
        <v>1</v>
      </c>
      <c r="N575" s="676"/>
      <c r="O575" s="3236">
        <f t="shared" si="101"/>
        <v>1</v>
      </c>
      <c r="P575" s="676"/>
      <c r="Q575" s="3236">
        <f t="shared" si="102"/>
        <v>1</v>
      </c>
      <c r="R575" s="3237">
        <f t="shared" ca="1" si="103"/>
        <v>5706</v>
      </c>
      <c r="S575" s="1090">
        <f t="shared" ca="1" si="104"/>
        <v>21</v>
      </c>
    </row>
    <row r="576" spans="1:19">
      <c r="A576" s="674" t="str">
        <f>Sheet2!E556</f>
        <v>C1-012</v>
      </c>
      <c r="B576" s="3235">
        <f>Sheet2!F556</f>
        <v>36.340000000000003</v>
      </c>
      <c r="C576" s="3236">
        <f t="shared" si="95"/>
        <v>0.99</v>
      </c>
      <c r="D576" s="676"/>
      <c r="E576" s="3236">
        <f t="shared" si="96"/>
        <v>1</v>
      </c>
      <c r="F576" s="676"/>
      <c r="G576" s="3236">
        <f t="shared" si="97"/>
        <v>1</v>
      </c>
      <c r="H576" s="676"/>
      <c r="I576" s="3236">
        <f t="shared" si="98"/>
        <v>1</v>
      </c>
      <c r="J576" s="676"/>
      <c r="K576" s="3236">
        <f t="shared" si="99"/>
        <v>1</v>
      </c>
      <c r="L576" s="676"/>
      <c r="M576" s="3236">
        <f t="shared" si="100"/>
        <v>1</v>
      </c>
      <c r="N576" s="676"/>
      <c r="O576" s="3236">
        <f t="shared" si="101"/>
        <v>1</v>
      </c>
      <c r="P576" s="676"/>
      <c r="Q576" s="3236">
        <f t="shared" si="102"/>
        <v>1</v>
      </c>
      <c r="R576" s="3237">
        <f t="shared" ca="1" si="103"/>
        <v>5706</v>
      </c>
      <c r="S576" s="1090">
        <f t="shared" ca="1" si="104"/>
        <v>21</v>
      </c>
    </row>
    <row r="577" spans="1:19">
      <c r="A577" s="674" t="str">
        <f>Sheet2!E557</f>
        <v>C1-013</v>
      </c>
      <c r="B577" s="3235">
        <f>Sheet2!F557</f>
        <v>36.340000000000003</v>
      </c>
      <c r="C577" s="3236">
        <f t="shared" si="95"/>
        <v>0.99</v>
      </c>
      <c r="D577" s="676"/>
      <c r="E577" s="3236">
        <f t="shared" si="96"/>
        <v>1</v>
      </c>
      <c r="F577" s="676"/>
      <c r="G577" s="3236">
        <f t="shared" si="97"/>
        <v>1</v>
      </c>
      <c r="H577" s="676"/>
      <c r="I577" s="3236">
        <f t="shared" si="98"/>
        <v>1</v>
      </c>
      <c r="J577" s="676"/>
      <c r="K577" s="3236">
        <f t="shared" si="99"/>
        <v>1</v>
      </c>
      <c r="L577" s="676"/>
      <c r="M577" s="3236">
        <f t="shared" si="100"/>
        <v>1</v>
      </c>
      <c r="N577" s="676"/>
      <c r="O577" s="3236">
        <f t="shared" si="101"/>
        <v>1</v>
      </c>
      <c r="P577" s="676"/>
      <c r="Q577" s="3236">
        <f t="shared" si="102"/>
        <v>1</v>
      </c>
      <c r="R577" s="3237">
        <f t="shared" ca="1" si="103"/>
        <v>5706</v>
      </c>
      <c r="S577" s="1090">
        <f t="shared" ca="1" si="104"/>
        <v>21</v>
      </c>
    </row>
    <row r="578" spans="1:19">
      <c r="A578" s="674" t="str">
        <f>Sheet2!E558</f>
        <v>C1-014</v>
      </c>
      <c r="B578" s="3235">
        <f>Sheet2!F558</f>
        <v>37.11</v>
      </c>
      <c r="C578" s="3236">
        <f t="shared" si="95"/>
        <v>0.99</v>
      </c>
      <c r="D578" s="676"/>
      <c r="E578" s="3236">
        <f t="shared" si="96"/>
        <v>1</v>
      </c>
      <c r="F578" s="676"/>
      <c r="G578" s="3236">
        <f t="shared" si="97"/>
        <v>1</v>
      </c>
      <c r="H578" s="676"/>
      <c r="I578" s="3236">
        <f t="shared" si="98"/>
        <v>1</v>
      </c>
      <c r="J578" s="676"/>
      <c r="K578" s="3236">
        <f t="shared" si="99"/>
        <v>1</v>
      </c>
      <c r="L578" s="676"/>
      <c r="M578" s="3236">
        <f t="shared" si="100"/>
        <v>1</v>
      </c>
      <c r="N578" s="676"/>
      <c r="O578" s="3236">
        <f t="shared" si="101"/>
        <v>1</v>
      </c>
      <c r="P578" s="676"/>
      <c r="Q578" s="3236">
        <f t="shared" si="102"/>
        <v>1</v>
      </c>
      <c r="R578" s="3237">
        <f t="shared" ca="1" si="103"/>
        <v>5706</v>
      </c>
      <c r="S578" s="1090">
        <f t="shared" ca="1" si="104"/>
        <v>21</v>
      </c>
    </row>
    <row r="579" spans="1:19">
      <c r="A579" s="674" t="str">
        <f>Sheet2!E559</f>
        <v>C1-015</v>
      </c>
      <c r="B579" s="3235">
        <f>Sheet2!F559</f>
        <v>37.11</v>
      </c>
      <c r="C579" s="3236">
        <f t="shared" si="95"/>
        <v>0.99</v>
      </c>
      <c r="D579" s="676"/>
      <c r="E579" s="3236">
        <f t="shared" si="96"/>
        <v>1</v>
      </c>
      <c r="F579" s="676"/>
      <c r="G579" s="3236">
        <f t="shared" si="97"/>
        <v>1</v>
      </c>
      <c r="H579" s="676"/>
      <c r="I579" s="3236">
        <f t="shared" si="98"/>
        <v>1</v>
      </c>
      <c r="J579" s="676"/>
      <c r="K579" s="3236">
        <f t="shared" si="99"/>
        <v>1</v>
      </c>
      <c r="L579" s="676"/>
      <c r="M579" s="3236">
        <f t="shared" si="100"/>
        <v>1</v>
      </c>
      <c r="N579" s="676"/>
      <c r="O579" s="3236">
        <f t="shared" si="101"/>
        <v>1</v>
      </c>
      <c r="P579" s="676"/>
      <c r="Q579" s="3236">
        <f t="shared" si="102"/>
        <v>1</v>
      </c>
      <c r="R579" s="3237">
        <f t="shared" ca="1" si="103"/>
        <v>5706</v>
      </c>
      <c r="S579" s="1090">
        <f t="shared" ca="1" si="104"/>
        <v>21</v>
      </c>
    </row>
    <row r="580" spans="1:19">
      <c r="A580" s="674" t="str">
        <f>Sheet2!E560</f>
        <v>C1-016</v>
      </c>
      <c r="B580" s="3235">
        <f>Sheet2!F560</f>
        <v>37.520000000000003</v>
      </c>
      <c r="C580" s="3236">
        <f t="shared" si="95"/>
        <v>0.99</v>
      </c>
      <c r="D580" s="676"/>
      <c r="E580" s="3236">
        <f t="shared" si="96"/>
        <v>1</v>
      </c>
      <c r="F580" s="676"/>
      <c r="G580" s="3236">
        <f t="shared" si="97"/>
        <v>1</v>
      </c>
      <c r="H580" s="676"/>
      <c r="I580" s="3236">
        <f t="shared" si="98"/>
        <v>1</v>
      </c>
      <c r="J580" s="676"/>
      <c r="K580" s="3236">
        <f t="shared" si="99"/>
        <v>1</v>
      </c>
      <c r="L580" s="676"/>
      <c r="M580" s="3236">
        <f t="shared" si="100"/>
        <v>1</v>
      </c>
      <c r="N580" s="676"/>
      <c r="O580" s="3236">
        <f t="shared" si="101"/>
        <v>1</v>
      </c>
      <c r="P580" s="676"/>
      <c r="Q580" s="3236">
        <f t="shared" si="102"/>
        <v>1</v>
      </c>
      <c r="R580" s="3237">
        <f t="shared" ca="1" si="103"/>
        <v>5706</v>
      </c>
      <c r="S580" s="1090">
        <f t="shared" ca="1" si="104"/>
        <v>21</v>
      </c>
    </row>
    <row r="581" spans="1:19">
      <c r="A581" s="674" t="str">
        <f>Sheet2!E561</f>
        <v>C1-017</v>
      </c>
      <c r="B581" s="3235">
        <f>Sheet2!F561</f>
        <v>37.520000000000003</v>
      </c>
      <c r="C581" s="3236">
        <f t="shared" si="95"/>
        <v>0.99</v>
      </c>
      <c r="D581" s="676"/>
      <c r="E581" s="3236">
        <f t="shared" si="96"/>
        <v>1</v>
      </c>
      <c r="F581" s="676"/>
      <c r="G581" s="3236">
        <f t="shared" si="97"/>
        <v>1</v>
      </c>
      <c r="H581" s="676"/>
      <c r="I581" s="3236">
        <f t="shared" si="98"/>
        <v>1</v>
      </c>
      <c r="J581" s="676"/>
      <c r="K581" s="3236">
        <f t="shared" si="99"/>
        <v>1</v>
      </c>
      <c r="L581" s="676"/>
      <c r="M581" s="3236">
        <f t="shared" si="100"/>
        <v>1</v>
      </c>
      <c r="N581" s="676"/>
      <c r="O581" s="3236">
        <f t="shared" si="101"/>
        <v>1</v>
      </c>
      <c r="P581" s="676"/>
      <c r="Q581" s="3236">
        <f t="shared" si="102"/>
        <v>1</v>
      </c>
      <c r="R581" s="3237">
        <f t="shared" ca="1" si="103"/>
        <v>5706</v>
      </c>
      <c r="S581" s="1090">
        <f t="shared" ca="1" si="104"/>
        <v>21</v>
      </c>
    </row>
    <row r="582" spans="1:19">
      <c r="A582" s="674" t="str">
        <f>Sheet2!E562</f>
        <v>C1-019</v>
      </c>
      <c r="B582" s="3235">
        <f>Sheet2!F562</f>
        <v>37.520000000000003</v>
      </c>
      <c r="C582" s="3236">
        <f t="shared" si="95"/>
        <v>0.99</v>
      </c>
      <c r="D582" s="676"/>
      <c r="E582" s="3236">
        <f t="shared" si="96"/>
        <v>1</v>
      </c>
      <c r="F582" s="676"/>
      <c r="G582" s="3236">
        <f t="shared" si="97"/>
        <v>1</v>
      </c>
      <c r="H582" s="676"/>
      <c r="I582" s="3236">
        <f t="shared" si="98"/>
        <v>1</v>
      </c>
      <c r="J582" s="676"/>
      <c r="K582" s="3236">
        <f t="shared" si="99"/>
        <v>1</v>
      </c>
      <c r="L582" s="676"/>
      <c r="M582" s="3236">
        <f t="shared" si="100"/>
        <v>1</v>
      </c>
      <c r="N582" s="676"/>
      <c r="O582" s="3236">
        <f t="shared" si="101"/>
        <v>1</v>
      </c>
      <c r="P582" s="676"/>
      <c r="Q582" s="3236">
        <f t="shared" si="102"/>
        <v>1</v>
      </c>
      <c r="R582" s="3237">
        <f t="shared" ca="1" si="103"/>
        <v>5706</v>
      </c>
      <c r="S582" s="1090">
        <f t="shared" ca="1" si="104"/>
        <v>21</v>
      </c>
    </row>
    <row r="583" spans="1:19">
      <c r="A583" s="674" t="str">
        <f>Sheet2!E563</f>
        <v>C1-020</v>
      </c>
      <c r="B583" s="3235">
        <f>Sheet2!F563</f>
        <v>37.520000000000003</v>
      </c>
      <c r="C583" s="3236">
        <f t="shared" si="95"/>
        <v>0.99</v>
      </c>
      <c r="D583" s="676"/>
      <c r="E583" s="3236">
        <f t="shared" si="96"/>
        <v>1</v>
      </c>
      <c r="F583" s="676"/>
      <c r="G583" s="3236">
        <f t="shared" si="97"/>
        <v>1</v>
      </c>
      <c r="H583" s="676"/>
      <c r="I583" s="3236">
        <f t="shared" si="98"/>
        <v>1</v>
      </c>
      <c r="J583" s="676"/>
      <c r="K583" s="3236">
        <f t="shared" si="99"/>
        <v>1</v>
      </c>
      <c r="L583" s="676"/>
      <c r="M583" s="3236">
        <f t="shared" si="100"/>
        <v>1</v>
      </c>
      <c r="N583" s="676"/>
      <c r="O583" s="3236">
        <f t="shared" si="101"/>
        <v>1</v>
      </c>
      <c r="P583" s="676"/>
      <c r="Q583" s="3236">
        <f t="shared" si="102"/>
        <v>1</v>
      </c>
      <c r="R583" s="3237">
        <f t="shared" ca="1" si="103"/>
        <v>5706</v>
      </c>
      <c r="S583" s="1090">
        <f t="shared" ca="1" si="104"/>
        <v>21</v>
      </c>
    </row>
    <row r="584" spans="1:19">
      <c r="A584" s="674" t="str">
        <f>Sheet2!E564</f>
        <v>C1-021</v>
      </c>
      <c r="B584" s="3235">
        <f>Sheet2!F564</f>
        <v>37.520000000000003</v>
      </c>
      <c r="C584" s="3236">
        <f t="shared" si="95"/>
        <v>0.99</v>
      </c>
      <c r="D584" s="676"/>
      <c r="E584" s="3236">
        <f t="shared" si="96"/>
        <v>1</v>
      </c>
      <c r="F584" s="676"/>
      <c r="G584" s="3236">
        <f t="shared" si="97"/>
        <v>1</v>
      </c>
      <c r="H584" s="676"/>
      <c r="I584" s="3236">
        <f t="shared" si="98"/>
        <v>1</v>
      </c>
      <c r="J584" s="676"/>
      <c r="K584" s="3236">
        <f t="shared" si="99"/>
        <v>1</v>
      </c>
      <c r="L584" s="676"/>
      <c r="M584" s="3236">
        <f t="shared" si="100"/>
        <v>1</v>
      </c>
      <c r="N584" s="676"/>
      <c r="O584" s="3236">
        <f t="shared" si="101"/>
        <v>1</v>
      </c>
      <c r="P584" s="676"/>
      <c r="Q584" s="3236">
        <f t="shared" si="102"/>
        <v>1</v>
      </c>
      <c r="R584" s="3237">
        <f t="shared" ca="1" si="103"/>
        <v>5706</v>
      </c>
      <c r="S584" s="1090">
        <f t="shared" ca="1" si="104"/>
        <v>21</v>
      </c>
    </row>
    <row r="585" spans="1:19">
      <c r="A585" s="674" t="str">
        <f>Sheet2!E565</f>
        <v>C1-040</v>
      </c>
      <c r="B585" s="3235">
        <f>Sheet2!F565</f>
        <v>37.520000000000003</v>
      </c>
      <c r="C585" s="3236">
        <f t="shared" si="95"/>
        <v>0.99</v>
      </c>
      <c r="D585" s="676"/>
      <c r="E585" s="3236">
        <f t="shared" si="96"/>
        <v>1</v>
      </c>
      <c r="F585" s="676"/>
      <c r="G585" s="3236">
        <f t="shared" si="97"/>
        <v>1</v>
      </c>
      <c r="H585" s="676"/>
      <c r="I585" s="3236">
        <f t="shared" si="98"/>
        <v>1</v>
      </c>
      <c r="J585" s="676"/>
      <c r="K585" s="3236">
        <f t="shared" si="99"/>
        <v>1</v>
      </c>
      <c r="L585" s="676"/>
      <c r="M585" s="3236">
        <f t="shared" si="100"/>
        <v>1</v>
      </c>
      <c r="N585" s="676"/>
      <c r="O585" s="3236">
        <f t="shared" si="101"/>
        <v>1</v>
      </c>
      <c r="P585" s="676"/>
      <c r="Q585" s="3236">
        <f t="shared" si="102"/>
        <v>1</v>
      </c>
      <c r="R585" s="3237">
        <f t="shared" ca="1" si="103"/>
        <v>5706</v>
      </c>
      <c r="S585" s="1090">
        <f t="shared" ca="1" si="104"/>
        <v>21</v>
      </c>
    </row>
    <row r="586" spans="1:19">
      <c r="A586" s="674" t="str">
        <f>Sheet2!E566</f>
        <v>C1-041</v>
      </c>
      <c r="B586" s="3235">
        <f>Sheet2!F566</f>
        <v>37.520000000000003</v>
      </c>
      <c r="C586" s="3236">
        <f t="shared" si="95"/>
        <v>0.99</v>
      </c>
      <c r="D586" s="676"/>
      <c r="E586" s="3236">
        <f t="shared" si="96"/>
        <v>1</v>
      </c>
      <c r="F586" s="676"/>
      <c r="G586" s="3236">
        <f t="shared" si="97"/>
        <v>1</v>
      </c>
      <c r="H586" s="676"/>
      <c r="I586" s="3236">
        <f t="shared" si="98"/>
        <v>1</v>
      </c>
      <c r="J586" s="676"/>
      <c r="K586" s="3236">
        <f t="shared" si="99"/>
        <v>1</v>
      </c>
      <c r="L586" s="676"/>
      <c r="M586" s="3236">
        <f t="shared" si="100"/>
        <v>1</v>
      </c>
      <c r="N586" s="676"/>
      <c r="O586" s="3236">
        <f t="shared" si="101"/>
        <v>1</v>
      </c>
      <c r="P586" s="676"/>
      <c r="Q586" s="3236">
        <f t="shared" si="102"/>
        <v>1</v>
      </c>
      <c r="R586" s="3237">
        <f t="shared" ca="1" si="103"/>
        <v>5706</v>
      </c>
      <c r="S586" s="1090">
        <f t="shared" ca="1" si="104"/>
        <v>21</v>
      </c>
    </row>
    <row r="587" spans="1:19">
      <c r="A587" s="674" t="str">
        <f>Sheet2!E567</f>
        <v>C1-042</v>
      </c>
      <c r="B587" s="3235">
        <f>Sheet2!F567</f>
        <v>37.520000000000003</v>
      </c>
      <c r="C587" s="3236">
        <f t="shared" si="95"/>
        <v>0.99</v>
      </c>
      <c r="D587" s="676"/>
      <c r="E587" s="3236">
        <f t="shared" si="96"/>
        <v>1</v>
      </c>
      <c r="F587" s="676"/>
      <c r="G587" s="3236">
        <f t="shared" si="97"/>
        <v>1</v>
      </c>
      <c r="H587" s="676"/>
      <c r="I587" s="3236">
        <f t="shared" si="98"/>
        <v>1</v>
      </c>
      <c r="J587" s="676"/>
      <c r="K587" s="3236">
        <f t="shared" si="99"/>
        <v>1</v>
      </c>
      <c r="L587" s="676"/>
      <c r="M587" s="3236">
        <f t="shared" si="100"/>
        <v>1</v>
      </c>
      <c r="N587" s="676"/>
      <c r="O587" s="3236">
        <f t="shared" si="101"/>
        <v>1</v>
      </c>
      <c r="P587" s="676"/>
      <c r="Q587" s="3236">
        <f t="shared" si="102"/>
        <v>1</v>
      </c>
      <c r="R587" s="3237">
        <f t="shared" ca="1" si="103"/>
        <v>5706</v>
      </c>
      <c r="S587" s="1090">
        <f t="shared" ca="1" si="104"/>
        <v>21</v>
      </c>
    </row>
    <row r="588" spans="1:19">
      <c r="A588" s="674" t="str">
        <f>Sheet2!E568</f>
        <v>C1-043</v>
      </c>
      <c r="B588" s="3235">
        <f>Sheet2!F568</f>
        <v>37.520000000000003</v>
      </c>
      <c r="C588" s="3236">
        <f t="shared" si="95"/>
        <v>0.99</v>
      </c>
      <c r="D588" s="676"/>
      <c r="E588" s="3236">
        <f t="shared" si="96"/>
        <v>1</v>
      </c>
      <c r="F588" s="676"/>
      <c r="G588" s="3236">
        <f t="shared" si="97"/>
        <v>1</v>
      </c>
      <c r="H588" s="676"/>
      <c r="I588" s="3236">
        <f t="shared" si="98"/>
        <v>1</v>
      </c>
      <c r="J588" s="676"/>
      <c r="K588" s="3236">
        <f t="shared" si="99"/>
        <v>1</v>
      </c>
      <c r="L588" s="676"/>
      <c r="M588" s="3236">
        <f t="shared" si="100"/>
        <v>1</v>
      </c>
      <c r="N588" s="676"/>
      <c r="O588" s="3236">
        <f t="shared" si="101"/>
        <v>1</v>
      </c>
      <c r="P588" s="676"/>
      <c r="Q588" s="3236">
        <f t="shared" si="102"/>
        <v>1</v>
      </c>
      <c r="R588" s="3237">
        <f t="shared" ca="1" si="103"/>
        <v>5706</v>
      </c>
      <c r="S588" s="1090">
        <f t="shared" ca="1" si="104"/>
        <v>21</v>
      </c>
    </row>
    <row r="589" spans="1:19">
      <c r="A589" s="674" t="str">
        <f>Sheet2!E569</f>
        <v>C1-044</v>
      </c>
      <c r="B589" s="3235">
        <f>Sheet2!F569</f>
        <v>37.520000000000003</v>
      </c>
      <c r="C589" s="3236">
        <f t="shared" ref="C589:C652" si="105">IF(B589="",1,(LOOKUP(B589,$3:$3,$4:$4)-LOOKUP($B$24,$3:$3,$4:$4)+100)/100)</f>
        <v>0.99</v>
      </c>
      <c r="D589" s="676"/>
      <c r="E589" s="3236">
        <f t="shared" ref="E589:E652" si="106">(SUMIF($5:$5,D589,$6:$6)-SUMIF($5:$5,$D$24,$6:$6)+100)/100</f>
        <v>1</v>
      </c>
      <c r="F589" s="676"/>
      <c r="G589" s="3236">
        <f t="shared" ref="G589:G652" si="107">(SUMIF($7:$7,F589,$8:$8)-SUMIF($7:$7,$F$24,$8:$8)+100)/100</f>
        <v>1</v>
      </c>
      <c r="H589" s="676"/>
      <c r="I589" s="3236">
        <f t="shared" ref="I589:I652" si="108">(SUMIF($9:$9,H589,$10:$10)-SUMIF($9:$9,$H$24,$10:$10)+100)/100</f>
        <v>1</v>
      </c>
      <c r="J589" s="676"/>
      <c r="K589" s="3236">
        <f t="shared" ref="K589:K652" si="109">(SUMIF($11:$11,J589,$12:$12)-SUMIF($11:$11,$J$24,$12:$12)+100)/100</f>
        <v>1</v>
      </c>
      <c r="L589" s="676"/>
      <c r="M589" s="3236">
        <f t="shared" ref="M589:M652" si="110">(SUMIF($13:$13,L589,$14:$14)-SUMIF($13:$13,$L$24,$14:$14)+100)/100</f>
        <v>1</v>
      </c>
      <c r="N589" s="676"/>
      <c r="O589" s="3236">
        <f t="shared" ref="O589:O652" si="111">(SUMIF($15:$15,N589,$16:$16)-SUMIF($15:$15,$N$24,$16:$16)+100)/100</f>
        <v>1</v>
      </c>
      <c r="P589" s="676"/>
      <c r="Q589" s="3236">
        <f t="shared" ref="Q589:Q652" si="112">(SUMIF($17:$17,P589,$18:$18)-SUMIF($17:$17,$P$24,$18:$18)+100)/100</f>
        <v>1</v>
      </c>
      <c r="R589" s="3237">
        <f t="shared" ref="R589:R652" ca="1" si="113">IF(B589="",0,ROUND($R$24*C589*E589*G589*I589*K589*M589*O589*Q589,0))</f>
        <v>5706</v>
      </c>
      <c r="S589" s="1090">
        <f t="shared" ref="S589:S652" ca="1" si="114">ROUND(R589*B589/10000,0)</f>
        <v>21</v>
      </c>
    </row>
    <row r="590" spans="1:19">
      <c r="A590" s="674" t="str">
        <f>Sheet2!E570</f>
        <v>C1-045</v>
      </c>
      <c r="B590" s="3235">
        <f>Sheet2!F570</f>
        <v>37.520000000000003</v>
      </c>
      <c r="C590" s="3236">
        <f t="shared" si="105"/>
        <v>0.99</v>
      </c>
      <c r="D590" s="676"/>
      <c r="E590" s="3236">
        <f t="shared" si="106"/>
        <v>1</v>
      </c>
      <c r="F590" s="676"/>
      <c r="G590" s="3236">
        <f t="shared" si="107"/>
        <v>1</v>
      </c>
      <c r="H590" s="676"/>
      <c r="I590" s="3236">
        <f t="shared" si="108"/>
        <v>1</v>
      </c>
      <c r="J590" s="676"/>
      <c r="K590" s="3236">
        <f t="shared" si="109"/>
        <v>1</v>
      </c>
      <c r="L590" s="676"/>
      <c r="M590" s="3236">
        <f t="shared" si="110"/>
        <v>1</v>
      </c>
      <c r="N590" s="676"/>
      <c r="O590" s="3236">
        <f t="shared" si="111"/>
        <v>1</v>
      </c>
      <c r="P590" s="676"/>
      <c r="Q590" s="3236">
        <f t="shared" si="112"/>
        <v>1</v>
      </c>
      <c r="R590" s="3237">
        <f t="shared" ca="1" si="113"/>
        <v>5706</v>
      </c>
      <c r="S590" s="1090">
        <f t="shared" ca="1" si="114"/>
        <v>21</v>
      </c>
    </row>
    <row r="591" spans="1:19">
      <c r="A591" s="674" t="str">
        <f>Sheet2!E571</f>
        <v>F1-008</v>
      </c>
      <c r="B591" s="3235">
        <f>Sheet2!F571</f>
        <v>39.090000000000003</v>
      </c>
      <c r="C591" s="3236">
        <f t="shared" si="105"/>
        <v>0.99</v>
      </c>
      <c r="D591" s="676"/>
      <c r="E591" s="3236">
        <f t="shared" si="106"/>
        <v>1</v>
      </c>
      <c r="F591" s="676"/>
      <c r="G591" s="3236">
        <f t="shared" si="107"/>
        <v>1</v>
      </c>
      <c r="H591" s="676"/>
      <c r="I591" s="3236">
        <f t="shared" si="108"/>
        <v>1</v>
      </c>
      <c r="J591" s="676"/>
      <c r="K591" s="3236">
        <f t="shared" si="109"/>
        <v>1</v>
      </c>
      <c r="L591" s="676"/>
      <c r="M591" s="3236">
        <f t="shared" si="110"/>
        <v>1</v>
      </c>
      <c r="N591" s="676"/>
      <c r="O591" s="3236">
        <f t="shared" si="111"/>
        <v>1</v>
      </c>
      <c r="P591" s="676"/>
      <c r="Q591" s="3236">
        <f t="shared" si="112"/>
        <v>1</v>
      </c>
      <c r="R591" s="3237">
        <f t="shared" ca="1" si="113"/>
        <v>5706</v>
      </c>
      <c r="S591" s="1090">
        <f t="shared" ca="1" si="114"/>
        <v>22</v>
      </c>
    </row>
    <row r="592" spans="1:19">
      <c r="A592" s="674" t="str">
        <f>Sheet2!E572</f>
        <v>F1-009</v>
      </c>
      <c r="B592" s="3235">
        <f>Sheet2!F572</f>
        <v>39.090000000000003</v>
      </c>
      <c r="C592" s="3236">
        <f t="shared" si="105"/>
        <v>0.99</v>
      </c>
      <c r="D592" s="676"/>
      <c r="E592" s="3236">
        <f t="shared" si="106"/>
        <v>1</v>
      </c>
      <c r="F592" s="676"/>
      <c r="G592" s="3236">
        <f t="shared" si="107"/>
        <v>1</v>
      </c>
      <c r="H592" s="676"/>
      <c r="I592" s="3236">
        <f t="shared" si="108"/>
        <v>1</v>
      </c>
      <c r="J592" s="676"/>
      <c r="K592" s="3236">
        <f t="shared" si="109"/>
        <v>1</v>
      </c>
      <c r="L592" s="676"/>
      <c r="M592" s="3236">
        <f t="shared" si="110"/>
        <v>1</v>
      </c>
      <c r="N592" s="676"/>
      <c r="O592" s="3236">
        <f t="shared" si="111"/>
        <v>1</v>
      </c>
      <c r="P592" s="676"/>
      <c r="Q592" s="3236">
        <f t="shared" si="112"/>
        <v>1</v>
      </c>
      <c r="R592" s="3237">
        <f t="shared" ca="1" si="113"/>
        <v>5706</v>
      </c>
      <c r="S592" s="1090">
        <f t="shared" ca="1" si="114"/>
        <v>22</v>
      </c>
    </row>
    <row r="593" spans="1:19">
      <c r="A593" s="674" t="str">
        <f>Sheet2!E573</f>
        <v>F1-010</v>
      </c>
      <c r="B593" s="3235">
        <f>Sheet2!F573</f>
        <v>39.090000000000003</v>
      </c>
      <c r="C593" s="3236">
        <f t="shared" si="105"/>
        <v>0.99</v>
      </c>
      <c r="D593" s="676"/>
      <c r="E593" s="3236">
        <f t="shared" si="106"/>
        <v>1</v>
      </c>
      <c r="F593" s="676"/>
      <c r="G593" s="3236">
        <f t="shared" si="107"/>
        <v>1</v>
      </c>
      <c r="H593" s="676"/>
      <c r="I593" s="3236">
        <f t="shared" si="108"/>
        <v>1</v>
      </c>
      <c r="J593" s="676"/>
      <c r="K593" s="3236">
        <f t="shared" si="109"/>
        <v>1</v>
      </c>
      <c r="L593" s="676"/>
      <c r="M593" s="3236">
        <f t="shared" si="110"/>
        <v>1</v>
      </c>
      <c r="N593" s="676"/>
      <c r="O593" s="3236">
        <f t="shared" si="111"/>
        <v>1</v>
      </c>
      <c r="P593" s="676"/>
      <c r="Q593" s="3236">
        <f t="shared" si="112"/>
        <v>1</v>
      </c>
      <c r="R593" s="3237">
        <f t="shared" ca="1" si="113"/>
        <v>5706</v>
      </c>
      <c r="S593" s="1090">
        <f t="shared" ca="1" si="114"/>
        <v>22</v>
      </c>
    </row>
    <row r="594" spans="1:19">
      <c r="A594" s="674" t="str">
        <f>Sheet2!E574</f>
        <v>F1-011</v>
      </c>
      <c r="B594" s="3235">
        <f>Sheet2!F574</f>
        <v>39.090000000000003</v>
      </c>
      <c r="C594" s="3236">
        <f t="shared" si="105"/>
        <v>0.99</v>
      </c>
      <c r="D594" s="676"/>
      <c r="E594" s="3236">
        <f t="shared" si="106"/>
        <v>1</v>
      </c>
      <c r="F594" s="676"/>
      <c r="G594" s="3236">
        <f t="shared" si="107"/>
        <v>1</v>
      </c>
      <c r="H594" s="676"/>
      <c r="I594" s="3236">
        <f t="shared" si="108"/>
        <v>1</v>
      </c>
      <c r="J594" s="676"/>
      <c r="K594" s="3236">
        <f t="shared" si="109"/>
        <v>1</v>
      </c>
      <c r="L594" s="676"/>
      <c r="M594" s="3236">
        <f t="shared" si="110"/>
        <v>1</v>
      </c>
      <c r="N594" s="676"/>
      <c r="O594" s="3236">
        <f t="shared" si="111"/>
        <v>1</v>
      </c>
      <c r="P594" s="676"/>
      <c r="Q594" s="3236">
        <f t="shared" si="112"/>
        <v>1</v>
      </c>
      <c r="R594" s="3237">
        <f t="shared" ca="1" si="113"/>
        <v>5706</v>
      </c>
      <c r="S594" s="1090">
        <f t="shared" ca="1" si="114"/>
        <v>22</v>
      </c>
    </row>
    <row r="595" spans="1:19">
      <c r="A595" s="674" t="str">
        <f>Sheet2!E575</f>
        <v>F1-012</v>
      </c>
      <c r="B595" s="3235">
        <f>Sheet2!F575</f>
        <v>37.520000000000003</v>
      </c>
      <c r="C595" s="3236">
        <f t="shared" si="105"/>
        <v>0.99</v>
      </c>
      <c r="D595" s="676"/>
      <c r="E595" s="3236">
        <f t="shared" si="106"/>
        <v>1</v>
      </c>
      <c r="F595" s="676"/>
      <c r="G595" s="3236">
        <f t="shared" si="107"/>
        <v>1</v>
      </c>
      <c r="H595" s="676"/>
      <c r="I595" s="3236">
        <f t="shared" si="108"/>
        <v>1</v>
      </c>
      <c r="J595" s="676"/>
      <c r="K595" s="3236">
        <f t="shared" si="109"/>
        <v>1</v>
      </c>
      <c r="L595" s="676"/>
      <c r="M595" s="3236">
        <f t="shared" si="110"/>
        <v>1</v>
      </c>
      <c r="N595" s="676"/>
      <c r="O595" s="3236">
        <f t="shared" si="111"/>
        <v>1</v>
      </c>
      <c r="P595" s="676"/>
      <c r="Q595" s="3236">
        <f t="shared" si="112"/>
        <v>1</v>
      </c>
      <c r="R595" s="3237">
        <f t="shared" ca="1" si="113"/>
        <v>5706</v>
      </c>
      <c r="S595" s="1090">
        <f t="shared" ca="1" si="114"/>
        <v>21</v>
      </c>
    </row>
    <row r="596" spans="1:19">
      <c r="A596" s="674" t="str">
        <f>Sheet2!E576</f>
        <v>F1-013</v>
      </c>
      <c r="B596" s="3235">
        <f>Sheet2!F576</f>
        <v>37.520000000000003</v>
      </c>
      <c r="C596" s="3236">
        <f t="shared" si="105"/>
        <v>0.99</v>
      </c>
      <c r="D596" s="676"/>
      <c r="E596" s="3236">
        <f t="shared" si="106"/>
        <v>1</v>
      </c>
      <c r="F596" s="676"/>
      <c r="G596" s="3236">
        <f t="shared" si="107"/>
        <v>1</v>
      </c>
      <c r="H596" s="676"/>
      <c r="I596" s="3236">
        <f t="shared" si="108"/>
        <v>1</v>
      </c>
      <c r="J596" s="676"/>
      <c r="K596" s="3236">
        <f t="shared" si="109"/>
        <v>1</v>
      </c>
      <c r="L596" s="676"/>
      <c r="M596" s="3236">
        <f t="shared" si="110"/>
        <v>1</v>
      </c>
      <c r="N596" s="676"/>
      <c r="O596" s="3236">
        <f t="shared" si="111"/>
        <v>1</v>
      </c>
      <c r="P596" s="676"/>
      <c r="Q596" s="3236">
        <f t="shared" si="112"/>
        <v>1</v>
      </c>
      <c r="R596" s="3237">
        <f t="shared" ca="1" si="113"/>
        <v>5706</v>
      </c>
      <c r="S596" s="1090">
        <f t="shared" ca="1" si="114"/>
        <v>21</v>
      </c>
    </row>
    <row r="597" spans="1:19">
      <c r="A597" s="674" t="str">
        <f>Sheet2!E577</f>
        <v>F1-014</v>
      </c>
      <c r="B597" s="3235">
        <f>Sheet2!F577</f>
        <v>37.520000000000003</v>
      </c>
      <c r="C597" s="3236">
        <f t="shared" si="105"/>
        <v>0.99</v>
      </c>
      <c r="D597" s="676"/>
      <c r="E597" s="3236">
        <f t="shared" si="106"/>
        <v>1</v>
      </c>
      <c r="F597" s="676"/>
      <c r="G597" s="3236">
        <f t="shared" si="107"/>
        <v>1</v>
      </c>
      <c r="H597" s="676"/>
      <c r="I597" s="3236">
        <f t="shared" si="108"/>
        <v>1</v>
      </c>
      <c r="J597" s="676"/>
      <c r="K597" s="3236">
        <f t="shared" si="109"/>
        <v>1</v>
      </c>
      <c r="L597" s="676"/>
      <c r="M597" s="3236">
        <f t="shared" si="110"/>
        <v>1</v>
      </c>
      <c r="N597" s="676"/>
      <c r="O597" s="3236">
        <f t="shared" si="111"/>
        <v>1</v>
      </c>
      <c r="P597" s="676"/>
      <c r="Q597" s="3236">
        <f t="shared" si="112"/>
        <v>1</v>
      </c>
      <c r="R597" s="3237">
        <f t="shared" ca="1" si="113"/>
        <v>5706</v>
      </c>
      <c r="S597" s="1090">
        <f t="shared" ca="1" si="114"/>
        <v>21</v>
      </c>
    </row>
    <row r="598" spans="1:19">
      <c r="A598" s="674" t="str">
        <f>Sheet2!E578</f>
        <v>F1-015</v>
      </c>
      <c r="B598" s="3235">
        <f>Sheet2!F578</f>
        <v>37.520000000000003</v>
      </c>
      <c r="C598" s="3236">
        <f t="shared" si="105"/>
        <v>0.99</v>
      </c>
      <c r="D598" s="676"/>
      <c r="E598" s="3236">
        <f t="shared" si="106"/>
        <v>1</v>
      </c>
      <c r="F598" s="676"/>
      <c r="G598" s="3236">
        <f t="shared" si="107"/>
        <v>1</v>
      </c>
      <c r="H598" s="676"/>
      <c r="I598" s="3236">
        <f t="shared" si="108"/>
        <v>1</v>
      </c>
      <c r="J598" s="676"/>
      <c r="K598" s="3236">
        <f t="shared" si="109"/>
        <v>1</v>
      </c>
      <c r="L598" s="676"/>
      <c r="M598" s="3236">
        <f t="shared" si="110"/>
        <v>1</v>
      </c>
      <c r="N598" s="676"/>
      <c r="O598" s="3236">
        <f t="shared" si="111"/>
        <v>1</v>
      </c>
      <c r="P598" s="676"/>
      <c r="Q598" s="3236">
        <f t="shared" si="112"/>
        <v>1</v>
      </c>
      <c r="R598" s="3237">
        <f t="shared" ca="1" si="113"/>
        <v>5706</v>
      </c>
      <c r="S598" s="1090">
        <f t="shared" ca="1" si="114"/>
        <v>21</v>
      </c>
    </row>
    <row r="599" spans="1:19">
      <c r="A599" s="674" t="str">
        <f>Sheet2!E579</f>
        <v>F1-016</v>
      </c>
      <c r="B599" s="3235">
        <f>Sheet2!F579</f>
        <v>37.520000000000003</v>
      </c>
      <c r="C599" s="3236">
        <f t="shared" si="105"/>
        <v>0.99</v>
      </c>
      <c r="D599" s="676"/>
      <c r="E599" s="3236">
        <f t="shared" si="106"/>
        <v>1</v>
      </c>
      <c r="F599" s="676"/>
      <c r="G599" s="3236">
        <f t="shared" si="107"/>
        <v>1</v>
      </c>
      <c r="H599" s="676"/>
      <c r="I599" s="3236">
        <f t="shared" si="108"/>
        <v>1</v>
      </c>
      <c r="J599" s="676"/>
      <c r="K599" s="3236">
        <f t="shared" si="109"/>
        <v>1</v>
      </c>
      <c r="L599" s="676"/>
      <c r="M599" s="3236">
        <f t="shared" si="110"/>
        <v>1</v>
      </c>
      <c r="N599" s="676"/>
      <c r="O599" s="3236">
        <f t="shared" si="111"/>
        <v>1</v>
      </c>
      <c r="P599" s="676"/>
      <c r="Q599" s="3236">
        <f t="shared" si="112"/>
        <v>1</v>
      </c>
      <c r="R599" s="3237">
        <f t="shared" ca="1" si="113"/>
        <v>5706</v>
      </c>
      <c r="S599" s="1090">
        <f t="shared" ca="1" si="114"/>
        <v>21</v>
      </c>
    </row>
    <row r="600" spans="1:19">
      <c r="A600" s="674" t="str">
        <f>Sheet2!E580</f>
        <v>F1-017</v>
      </c>
      <c r="B600" s="3235">
        <f>Sheet2!F580</f>
        <v>37.520000000000003</v>
      </c>
      <c r="C600" s="3236">
        <f t="shared" si="105"/>
        <v>0.99</v>
      </c>
      <c r="D600" s="676"/>
      <c r="E600" s="3236">
        <f t="shared" si="106"/>
        <v>1</v>
      </c>
      <c r="F600" s="676"/>
      <c r="G600" s="3236">
        <f t="shared" si="107"/>
        <v>1</v>
      </c>
      <c r="H600" s="676"/>
      <c r="I600" s="3236">
        <f t="shared" si="108"/>
        <v>1</v>
      </c>
      <c r="J600" s="676"/>
      <c r="K600" s="3236">
        <f t="shared" si="109"/>
        <v>1</v>
      </c>
      <c r="L600" s="676"/>
      <c r="M600" s="3236">
        <f t="shared" si="110"/>
        <v>1</v>
      </c>
      <c r="N600" s="676"/>
      <c r="O600" s="3236">
        <f t="shared" si="111"/>
        <v>1</v>
      </c>
      <c r="P600" s="676"/>
      <c r="Q600" s="3236">
        <f t="shared" si="112"/>
        <v>1</v>
      </c>
      <c r="R600" s="3237">
        <f t="shared" ca="1" si="113"/>
        <v>5706</v>
      </c>
      <c r="S600" s="1090">
        <f t="shared" ca="1" si="114"/>
        <v>21</v>
      </c>
    </row>
    <row r="601" spans="1:19">
      <c r="A601" s="674" t="str">
        <f>Sheet2!E581</f>
        <v>F1-018</v>
      </c>
      <c r="B601" s="3235">
        <f>Sheet2!F581</f>
        <v>37.520000000000003</v>
      </c>
      <c r="C601" s="3236">
        <f t="shared" si="105"/>
        <v>0.99</v>
      </c>
      <c r="D601" s="676"/>
      <c r="E601" s="3236">
        <f t="shared" si="106"/>
        <v>1</v>
      </c>
      <c r="F601" s="676"/>
      <c r="G601" s="3236">
        <f t="shared" si="107"/>
        <v>1</v>
      </c>
      <c r="H601" s="676"/>
      <c r="I601" s="3236">
        <f t="shared" si="108"/>
        <v>1</v>
      </c>
      <c r="J601" s="676"/>
      <c r="K601" s="3236">
        <f t="shared" si="109"/>
        <v>1</v>
      </c>
      <c r="L601" s="676"/>
      <c r="M601" s="3236">
        <f t="shared" si="110"/>
        <v>1</v>
      </c>
      <c r="N601" s="676"/>
      <c r="O601" s="3236">
        <f t="shared" si="111"/>
        <v>1</v>
      </c>
      <c r="P601" s="676"/>
      <c r="Q601" s="3236">
        <f t="shared" si="112"/>
        <v>1</v>
      </c>
      <c r="R601" s="3237">
        <f t="shared" ca="1" si="113"/>
        <v>5706</v>
      </c>
      <c r="S601" s="1090">
        <f t="shared" ca="1" si="114"/>
        <v>21</v>
      </c>
    </row>
    <row r="602" spans="1:19">
      <c r="A602" s="674" t="str">
        <f>Sheet2!E582</f>
        <v>F1-019</v>
      </c>
      <c r="B602" s="3235">
        <f>Sheet2!F582</f>
        <v>37.520000000000003</v>
      </c>
      <c r="C602" s="3236">
        <f t="shared" si="105"/>
        <v>0.99</v>
      </c>
      <c r="D602" s="676"/>
      <c r="E602" s="3236">
        <f t="shared" si="106"/>
        <v>1</v>
      </c>
      <c r="F602" s="676"/>
      <c r="G602" s="3236">
        <f t="shared" si="107"/>
        <v>1</v>
      </c>
      <c r="H602" s="676"/>
      <c r="I602" s="3236">
        <f t="shared" si="108"/>
        <v>1</v>
      </c>
      <c r="J602" s="676"/>
      <c r="K602" s="3236">
        <f t="shared" si="109"/>
        <v>1</v>
      </c>
      <c r="L602" s="676"/>
      <c r="M602" s="3236">
        <f t="shared" si="110"/>
        <v>1</v>
      </c>
      <c r="N602" s="676"/>
      <c r="O602" s="3236">
        <f t="shared" si="111"/>
        <v>1</v>
      </c>
      <c r="P602" s="676"/>
      <c r="Q602" s="3236">
        <f t="shared" si="112"/>
        <v>1</v>
      </c>
      <c r="R602" s="3237">
        <f t="shared" ca="1" si="113"/>
        <v>5706</v>
      </c>
      <c r="S602" s="1090">
        <f t="shared" ca="1" si="114"/>
        <v>21</v>
      </c>
    </row>
    <row r="603" spans="1:19">
      <c r="A603" s="674" t="str">
        <f>Sheet2!E583</f>
        <v>F1-022</v>
      </c>
      <c r="B603" s="3235">
        <f>Sheet2!F583</f>
        <v>37.520000000000003</v>
      </c>
      <c r="C603" s="3236">
        <f t="shared" si="105"/>
        <v>0.99</v>
      </c>
      <c r="D603" s="676"/>
      <c r="E603" s="3236">
        <f t="shared" si="106"/>
        <v>1</v>
      </c>
      <c r="F603" s="676"/>
      <c r="G603" s="3236">
        <f t="shared" si="107"/>
        <v>1</v>
      </c>
      <c r="H603" s="676"/>
      <c r="I603" s="3236">
        <f t="shared" si="108"/>
        <v>1</v>
      </c>
      <c r="J603" s="676"/>
      <c r="K603" s="3236">
        <f t="shared" si="109"/>
        <v>1</v>
      </c>
      <c r="L603" s="676"/>
      <c r="M603" s="3236">
        <f t="shared" si="110"/>
        <v>1</v>
      </c>
      <c r="N603" s="676"/>
      <c r="O603" s="3236">
        <f t="shared" si="111"/>
        <v>1</v>
      </c>
      <c r="P603" s="676"/>
      <c r="Q603" s="3236">
        <f t="shared" si="112"/>
        <v>1</v>
      </c>
      <c r="R603" s="3237">
        <f t="shared" ca="1" si="113"/>
        <v>5706</v>
      </c>
      <c r="S603" s="1090">
        <f t="shared" ca="1" si="114"/>
        <v>21</v>
      </c>
    </row>
    <row r="604" spans="1:19">
      <c r="A604" s="674" t="str">
        <f>Sheet2!E584</f>
        <v>F1-024</v>
      </c>
      <c r="B604" s="3235">
        <f>Sheet2!F584</f>
        <v>37.520000000000003</v>
      </c>
      <c r="C604" s="3236">
        <f t="shared" si="105"/>
        <v>0.99</v>
      </c>
      <c r="D604" s="676"/>
      <c r="E604" s="3236">
        <f t="shared" si="106"/>
        <v>1</v>
      </c>
      <c r="F604" s="676"/>
      <c r="G604" s="3236">
        <f t="shared" si="107"/>
        <v>1</v>
      </c>
      <c r="H604" s="676"/>
      <c r="I604" s="3236">
        <f t="shared" si="108"/>
        <v>1</v>
      </c>
      <c r="J604" s="676"/>
      <c r="K604" s="3236">
        <f t="shared" si="109"/>
        <v>1</v>
      </c>
      <c r="L604" s="676"/>
      <c r="M604" s="3236">
        <f t="shared" si="110"/>
        <v>1</v>
      </c>
      <c r="N604" s="676"/>
      <c r="O604" s="3236">
        <f t="shared" si="111"/>
        <v>1</v>
      </c>
      <c r="P604" s="676"/>
      <c r="Q604" s="3236">
        <f t="shared" si="112"/>
        <v>1</v>
      </c>
      <c r="R604" s="3237">
        <f t="shared" ca="1" si="113"/>
        <v>5706</v>
      </c>
      <c r="S604" s="1090">
        <f t="shared" ca="1" si="114"/>
        <v>21</v>
      </c>
    </row>
    <row r="605" spans="1:19">
      <c r="A605" s="674" t="str">
        <f>Sheet2!E585</f>
        <v>F1-025</v>
      </c>
      <c r="B605" s="3235">
        <f>Sheet2!F585</f>
        <v>37.520000000000003</v>
      </c>
      <c r="C605" s="3236">
        <f t="shared" si="105"/>
        <v>0.99</v>
      </c>
      <c r="D605" s="676"/>
      <c r="E605" s="3236">
        <f t="shared" si="106"/>
        <v>1</v>
      </c>
      <c r="F605" s="676"/>
      <c r="G605" s="3236">
        <f t="shared" si="107"/>
        <v>1</v>
      </c>
      <c r="H605" s="676"/>
      <c r="I605" s="3236">
        <f t="shared" si="108"/>
        <v>1</v>
      </c>
      <c r="J605" s="676"/>
      <c r="K605" s="3236">
        <f t="shared" si="109"/>
        <v>1</v>
      </c>
      <c r="L605" s="676"/>
      <c r="M605" s="3236">
        <f t="shared" si="110"/>
        <v>1</v>
      </c>
      <c r="N605" s="676"/>
      <c r="O605" s="3236">
        <f t="shared" si="111"/>
        <v>1</v>
      </c>
      <c r="P605" s="676"/>
      <c r="Q605" s="3236">
        <f t="shared" si="112"/>
        <v>1</v>
      </c>
      <c r="R605" s="3237">
        <f t="shared" ca="1" si="113"/>
        <v>5706</v>
      </c>
      <c r="S605" s="1090">
        <f t="shared" ca="1" si="114"/>
        <v>21</v>
      </c>
    </row>
    <row r="606" spans="1:19">
      <c r="A606" s="674" t="str">
        <f>Sheet2!E586</f>
        <v>F1-027</v>
      </c>
      <c r="B606" s="3235">
        <f>Sheet2!F586</f>
        <v>37.520000000000003</v>
      </c>
      <c r="C606" s="3236">
        <f t="shared" si="105"/>
        <v>0.99</v>
      </c>
      <c r="D606" s="676"/>
      <c r="E606" s="3236">
        <f t="shared" si="106"/>
        <v>1</v>
      </c>
      <c r="F606" s="676"/>
      <c r="G606" s="3236">
        <f t="shared" si="107"/>
        <v>1</v>
      </c>
      <c r="H606" s="676"/>
      <c r="I606" s="3236">
        <f t="shared" si="108"/>
        <v>1</v>
      </c>
      <c r="J606" s="676"/>
      <c r="K606" s="3236">
        <f t="shared" si="109"/>
        <v>1</v>
      </c>
      <c r="L606" s="676"/>
      <c r="M606" s="3236">
        <f t="shared" si="110"/>
        <v>1</v>
      </c>
      <c r="N606" s="676"/>
      <c r="O606" s="3236">
        <f t="shared" si="111"/>
        <v>1</v>
      </c>
      <c r="P606" s="676"/>
      <c r="Q606" s="3236">
        <f t="shared" si="112"/>
        <v>1</v>
      </c>
      <c r="R606" s="3237">
        <f t="shared" ca="1" si="113"/>
        <v>5706</v>
      </c>
      <c r="S606" s="1090">
        <f t="shared" ca="1" si="114"/>
        <v>21</v>
      </c>
    </row>
    <row r="607" spans="1:19">
      <c r="A607" s="674" t="str">
        <f>Sheet2!E587</f>
        <v>F1-028</v>
      </c>
      <c r="B607" s="3235">
        <f>Sheet2!F587</f>
        <v>37.520000000000003</v>
      </c>
      <c r="C607" s="3236">
        <f t="shared" si="105"/>
        <v>0.99</v>
      </c>
      <c r="D607" s="676"/>
      <c r="E607" s="3236">
        <f t="shared" si="106"/>
        <v>1</v>
      </c>
      <c r="F607" s="676"/>
      <c r="G607" s="3236">
        <f t="shared" si="107"/>
        <v>1</v>
      </c>
      <c r="H607" s="676"/>
      <c r="I607" s="3236">
        <f t="shared" si="108"/>
        <v>1</v>
      </c>
      <c r="J607" s="676"/>
      <c r="K607" s="3236">
        <f t="shared" si="109"/>
        <v>1</v>
      </c>
      <c r="L607" s="676"/>
      <c r="M607" s="3236">
        <f t="shared" si="110"/>
        <v>1</v>
      </c>
      <c r="N607" s="676"/>
      <c r="O607" s="3236">
        <f t="shared" si="111"/>
        <v>1</v>
      </c>
      <c r="P607" s="676"/>
      <c r="Q607" s="3236">
        <f t="shared" si="112"/>
        <v>1</v>
      </c>
      <c r="R607" s="3237">
        <f t="shared" ca="1" si="113"/>
        <v>5706</v>
      </c>
      <c r="S607" s="1090">
        <f t="shared" ca="1" si="114"/>
        <v>21</v>
      </c>
    </row>
    <row r="608" spans="1:19">
      <c r="A608" s="674" t="str">
        <f>Sheet2!E588</f>
        <v>F1-029</v>
      </c>
      <c r="B608" s="3235">
        <f>Sheet2!F588</f>
        <v>37.520000000000003</v>
      </c>
      <c r="C608" s="3236">
        <f t="shared" si="105"/>
        <v>0.99</v>
      </c>
      <c r="D608" s="676"/>
      <c r="E608" s="3236">
        <f t="shared" si="106"/>
        <v>1</v>
      </c>
      <c r="F608" s="676"/>
      <c r="G608" s="3236">
        <f t="shared" si="107"/>
        <v>1</v>
      </c>
      <c r="H608" s="676"/>
      <c r="I608" s="3236">
        <f t="shared" si="108"/>
        <v>1</v>
      </c>
      <c r="J608" s="676"/>
      <c r="K608" s="3236">
        <f t="shared" si="109"/>
        <v>1</v>
      </c>
      <c r="L608" s="676"/>
      <c r="M608" s="3236">
        <f t="shared" si="110"/>
        <v>1</v>
      </c>
      <c r="N608" s="676"/>
      <c r="O608" s="3236">
        <f t="shared" si="111"/>
        <v>1</v>
      </c>
      <c r="P608" s="676"/>
      <c r="Q608" s="3236">
        <f t="shared" si="112"/>
        <v>1</v>
      </c>
      <c r="R608" s="3237">
        <f t="shared" ca="1" si="113"/>
        <v>5706</v>
      </c>
      <c r="S608" s="1090">
        <f t="shared" ca="1" si="114"/>
        <v>21</v>
      </c>
    </row>
    <row r="609" spans="1:19">
      <c r="A609" s="674" t="str">
        <f>Sheet2!E589</f>
        <v>F1-032</v>
      </c>
      <c r="B609" s="3235">
        <f>Sheet2!F589</f>
        <v>37.520000000000003</v>
      </c>
      <c r="C609" s="3236">
        <f t="shared" si="105"/>
        <v>0.99</v>
      </c>
      <c r="D609" s="676"/>
      <c r="E609" s="3236">
        <f t="shared" si="106"/>
        <v>1</v>
      </c>
      <c r="F609" s="676"/>
      <c r="G609" s="3236">
        <f t="shared" si="107"/>
        <v>1</v>
      </c>
      <c r="H609" s="676"/>
      <c r="I609" s="3236">
        <f t="shared" si="108"/>
        <v>1</v>
      </c>
      <c r="J609" s="676"/>
      <c r="K609" s="3236">
        <f t="shared" si="109"/>
        <v>1</v>
      </c>
      <c r="L609" s="676"/>
      <c r="M609" s="3236">
        <f t="shared" si="110"/>
        <v>1</v>
      </c>
      <c r="N609" s="676"/>
      <c r="O609" s="3236">
        <f t="shared" si="111"/>
        <v>1</v>
      </c>
      <c r="P609" s="676"/>
      <c r="Q609" s="3236">
        <f t="shared" si="112"/>
        <v>1</v>
      </c>
      <c r="R609" s="3237">
        <f t="shared" ca="1" si="113"/>
        <v>5706</v>
      </c>
      <c r="S609" s="1090">
        <f t="shared" ca="1" si="114"/>
        <v>21</v>
      </c>
    </row>
    <row r="610" spans="1:19">
      <c r="A610" s="674" t="str">
        <f>Sheet2!E590</f>
        <v>F1-033</v>
      </c>
      <c r="B610" s="3235">
        <f>Sheet2!F590</f>
        <v>37.520000000000003</v>
      </c>
      <c r="C610" s="3236">
        <f t="shared" si="105"/>
        <v>0.99</v>
      </c>
      <c r="D610" s="676"/>
      <c r="E610" s="3236">
        <f t="shared" si="106"/>
        <v>1</v>
      </c>
      <c r="F610" s="676"/>
      <c r="G610" s="3236">
        <f t="shared" si="107"/>
        <v>1</v>
      </c>
      <c r="H610" s="676"/>
      <c r="I610" s="3236">
        <f t="shared" si="108"/>
        <v>1</v>
      </c>
      <c r="J610" s="676"/>
      <c r="K610" s="3236">
        <f t="shared" si="109"/>
        <v>1</v>
      </c>
      <c r="L610" s="676"/>
      <c r="M610" s="3236">
        <f t="shared" si="110"/>
        <v>1</v>
      </c>
      <c r="N610" s="676"/>
      <c r="O610" s="3236">
        <f t="shared" si="111"/>
        <v>1</v>
      </c>
      <c r="P610" s="676"/>
      <c r="Q610" s="3236">
        <f t="shared" si="112"/>
        <v>1</v>
      </c>
      <c r="R610" s="3237">
        <f t="shared" ca="1" si="113"/>
        <v>5706</v>
      </c>
      <c r="S610" s="1090">
        <f t="shared" ca="1" si="114"/>
        <v>21</v>
      </c>
    </row>
    <row r="611" spans="1:19">
      <c r="A611" s="674" t="str">
        <f>Sheet2!E591</f>
        <v>F1-034</v>
      </c>
      <c r="B611" s="3235">
        <f>Sheet2!F591</f>
        <v>37.520000000000003</v>
      </c>
      <c r="C611" s="3236">
        <f t="shared" si="105"/>
        <v>0.99</v>
      </c>
      <c r="D611" s="676"/>
      <c r="E611" s="3236">
        <f t="shared" si="106"/>
        <v>1</v>
      </c>
      <c r="F611" s="676"/>
      <c r="G611" s="3236">
        <f t="shared" si="107"/>
        <v>1</v>
      </c>
      <c r="H611" s="676"/>
      <c r="I611" s="3236">
        <f t="shared" si="108"/>
        <v>1</v>
      </c>
      <c r="J611" s="676"/>
      <c r="K611" s="3236">
        <f t="shared" si="109"/>
        <v>1</v>
      </c>
      <c r="L611" s="676"/>
      <c r="M611" s="3236">
        <f t="shared" si="110"/>
        <v>1</v>
      </c>
      <c r="N611" s="676"/>
      <c r="O611" s="3236">
        <f t="shared" si="111"/>
        <v>1</v>
      </c>
      <c r="P611" s="676"/>
      <c r="Q611" s="3236">
        <f t="shared" si="112"/>
        <v>1</v>
      </c>
      <c r="R611" s="3237">
        <f t="shared" ca="1" si="113"/>
        <v>5706</v>
      </c>
      <c r="S611" s="1090">
        <f t="shared" ca="1" si="114"/>
        <v>21</v>
      </c>
    </row>
    <row r="612" spans="1:19">
      <c r="A612" s="674" t="str">
        <f>Sheet2!E592</f>
        <v>F1-035</v>
      </c>
      <c r="B612" s="3235">
        <f>Sheet2!F592</f>
        <v>37.520000000000003</v>
      </c>
      <c r="C612" s="3236">
        <f t="shared" si="105"/>
        <v>0.99</v>
      </c>
      <c r="D612" s="676"/>
      <c r="E612" s="3236">
        <f t="shared" si="106"/>
        <v>1</v>
      </c>
      <c r="F612" s="676"/>
      <c r="G612" s="3236">
        <f t="shared" si="107"/>
        <v>1</v>
      </c>
      <c r="H612" s="676"/>
      <c r="I612" s="3236">
        <f t="shared" si="108"/>
        <v>1</v>
      </c>
      <c r="J612" s="676"/>
      <c r="K612" s="3236">
        <f t="shared" si="109"/>
        <v>1</v>
      </c>
      <c r="L612" s="676"/>
      <c r="M612" s="3236">
        <f t="shared" si="110"/>
        <v>1</v>
      </c>
      <c r="N612" s="676"/>
      <c r="O612" s="3236">
        <f t="shared" si="111"/>
        <v>1</v>
      </c>
      <c r="P612" s="676"/>
      <c r="Q612" s="3236">
        <f t="shared" si="112"/>
        <v>1</v>
      </c>
      <c r="R612" s="3237">
        <f t="shared" ca="1" si="113"/>
        <v>5706</v>
      </c>
      <c r="S612" s="1090">
        <f t="shared" ca="1" si="114"/>
        <v>21</v>
      </c>
    </row>
    <row r="613" spans="1:19">
      <c r="A613" s="674" t="str">
        <f>Sheet2!E593</f>
        <v>F1-036</v>
      </c>
      <c r="B613" s="3235">
        <f>Sheet2!F593</f>
        <v>37.520000000000003</v>
      </c>
      <c r="C613" s="3236">
        <f t="shared" si="105"/>
        <v>0.99</v>
      </c>
      <c r="D613" s="676"/>
      <c r="E613" s="3236">
        <f t="shared" si="106"/>
        <v>1</v>
      </c>
      <c r="F613" s="676"/>
      <c r="G613" s="3236">
        <f t="shared" si="107"/>
        <v>1</v>
      </c>
      <c r="H613" s="676"/>
      <c r="I613" s="3236">
        <f t="shared" si="108"/>
        <v>1</v>
      </c>
      <c r="J613" s="676"/>
      <c r="K613" s="3236">
        <f t="shared" si="109"/>
        <v>1</v>
      </c>
      <c r="L613" s="676"/>
      <c r="M613" s="3236">
        <f t="shared" si="110"/>
        <v>1</v>
      </c>
      <c r="N613" s="676"/>
      <c r="O613" s="3236">
        <f t="shared" si="111"/>
        <v>1</v>
      </c>
      <c r="P613" s="676"/>
      <c r="Q613" s="3236">
        <f t="shared" si="112"/>
        <v>1</v>
      </c>
      <c r="R613" s="3237">
        <f t="shared" ca="1" si="113"/>
        <v>5706</v>
      </c>
      <c r="S613" s="1090">
        <f t="shared" ca="1" si="114"/>
        <v>21</v>
      </c>
    </row>
    <row r="614" spans="1:19">
      <c r="A614" s="674" t="str">
        <f>Sheet2!E594</f>
        <v>F1-041</v>
      </c>
      <c r="B614" s="3235">
        <f>Sheet2!F594</f>
        <v>37.520000000000003</v>
      </c>
      <c r="C614" s="3236">
        <f t="shared" si="105"/>
        <v>0.99</v>
      </c>
      <c r="D614" s="676"/>
      <c r="E614" s="3236">
        <f t="shared" si="106"/>
        <v>1</v>
      </c>
      <c r="F614" s="676"/>
      <c r="G614" s="3236">
        <f t="shared" si="107"/>
        <v>1</v>
      </c>
      <c r="H614" s="676"/>
      <c r="I614" s="3236">
        <f t="shared" si="108"/>
        <v>1</v>
      </c>
      <c r="J614" s="676"/>
      <c r="K614" s="3236">
        <f t="shared" si="109"/>
        <v>1</v>
      </c>
      <c r="L614" s="676"/>
      <c r="M614" s="3236">
        <f t="shared" si="110"/>
        <v>1</v>
      </c>
      <c r="N614" s="676"/>
      <c r="O614" s="3236">
        <f t="shared" si="111"/>
        <v>1</v>
      </c>
      <c r="P614" s="676"/>
      <c r="Q614" s="3236">
        <f t="shared" si="112"/>
        <v>1</v>
      </c>
      <c r="R614" s="3237">
        <f t="shared" ca="1" si="113"/>
        <v>5706</v>
      </c>
      <c r="S614" s="1090">
        <f t="shared" ca="1" si="114"/>
        <v>21</v>
      </c>
    </row>
    <row r="615" spans="1:19">
      <c r="A615" s="674" t="str">
        <f>Sheet2!E595</f>
        <v>F1-042</v>
      </c>
      <c r="B615" s="3235">
        <f>Sheet2!F595</f>
        <v>37.520000000000003</v>
      </c>
      <c r="C615" s="3236">
        <f t="shared" si="105"/>
        <v>0.99</v>
      </c>
      <c r="D615" s="676"/>
      <c r="E615" s="3236">
        <f t="shared" si="106"/>
        <v>1</v>
      </c>
      <c r="F615" s="676"/>
      <c r="G615" s="3236">
        <f t="shared" si="107"/>
        <v>1</v>
      </c>
      <c r="H615" s="676"/>
      <c r="I615" s="3236">
        <f t="shared" si="108"/>
        <v>1</v>
      </c>
      <c r="J615" s="676"/>
      <c r="K615" s="3236">
        <f t="shared" si="109"/>
        <v>1</v>
      </c>
      <c r="L615" s="676"/>
      <c r="M615" s="3236">
        <f t="shared" si="110"/>
        <v>1</v>
      </c>
      <c r="N615" s="676"/>
      <c r="O615" s="3236">
        <f t="shared" si="111"/>
        <v>1</v>
      </c>
      <c r="P615" s="676"/>
      <c r="Q615" s="3236">
        <f t="shared" si="112"/>
        <v>1</v>
      </c>
      <c r="R615" s="3237">
        <f t="shared" ca="1" si="113"/>
        <v>5706</v>
      </c>
      <c r="S615" s="1090">
        <f t="shared" ca="1" si="114"/>
        <v>21</v>
      </c>
    </row>
    <row r="616" spans="1:19">
      <c r="A616" s="674" t="str">
        <f>Sheet2!E596</f>
        <v>F1-046</v>
      </c>
      <c r="B616" s="3235">
        <f>Sheet2!F596</f>
        <v>37.520000000000003</v>
      </c>
      <c r="C616" s="3236">
        <f t="shared" si="105"/>
        <v>0.99</v>
      </c>
      <c r="D616" s="676"/>
      <c r="E616" s="3236">
        <f t="shared" si="106"/>
        <v>1</v>
      </c>
      <c r="F616" s="676"/>
      <c r="G616" s="3236">
        <f t="shared" si="107"/>
        <v>1</v>
      </c>
      <c r="H616" s="676"/>
      <c r="I616" s="3236">
        <f t="shared" si="108"/>
        <v>1</v>
      </c>
      <c r="J616" s="676"/>
      <c r="K616" s="3236">
        <f t="shared" si="109"/>
        <v>1</v>
      </c>
      <c r="L616" s="676"/>
      <c r="M616" s="3236">
        <f t="shared" si="110"/>
        <v>1</v>
      </c>
      <c r="N616" s="676"/>
      <c r="O616" s="3236">
        <f t="shared" si="111"/>
        <v>1</v>
      </c>
      <c r="P616" s="676"/>
      <c r="Q616" s="3236">
        <f t="shared" si="112"/>
        <v>1</v>
      </c>
      <c r="R616" s="3237">
        <f t="shared" ca="1" si="113"/>
        <v>5706</v>
      </c>
      <c r="S616" s="1090">
        <f t="shared" ca="1" si="114"/>
        <v>21</v>
      </c>
    </row>
    <row r="617" spans="1:19">
      <c r="A617" s="674" t="str">
        <f>Sheet2!E597</f>
        <v>G1-002</v>
      </c>
      <c r="B617" s="3235">
        <f>Sheet2!F597</f>
        <v>37.520000000000003</v>
      </c>
      <c r="C617" s="3236">
        <f t="shared" si="105"/>
        <v>0.99</v>
      </c>
      <c r="D617" s="676"/>
      <c r="E617" s="3236">
        <f t="shared" si="106"/>
        <v>1</v>
      </c>
      <c r="F617" s="676"/>
      <c r="G617" s="3236">
        <f t="shared" si="107"/>
        <v>1</v>
      </c>
      <c r="H617" s="676"/>
      <c r="I617" s="3236">
        <f t="shared" si="108"/>
        <v>1</v>
      </c>
      <c r="J617" s="676"/>
      <c r="K617" s="3236">
        <f t="shared" si="109"/>
        <v>1</v>
      </c>
      <c r="L617" s="676"/>
      <c r="M617" s="3236">
        <f t="shared" si="110"/>
        <v>1</v>
      </c>
      <c r="N617" s="676"/>
      <c r="O617" s="3236">
        <f t="shared" si="111"/>
        <v>1</v>
      </c>
      <c r="P617" s="676"/>
      <c r="Q617" s="3236">
        <f t="shared" si="112"/>
        <v>1</v>
      </c>
      <c r="R617" s="3237">
        <f t="shared" ca="1" si="113"/>
        <v>5706</v>
      </c>
      <c r="S617" s="1090">
        <f t="shared" ca="1" si="114"/>
        <v>21</v>
      </c>
    </row>
    <row r="618" spans="1:19">
      <c r="A618" s="674" t="str">
        <f>Sheet2!E598</f>
        <v>G1-003</v>
      </c>
      <c r="B618" s="3235">
        <f>Sheet2!F598</f>
        <v>37.520000000000003</v>
      </c>
      <c r="C618" s="3236">
        <f t="shared" si="105"/>
        <v>0.99</v>
      </c>
      <c r="D618" s="676"/>
      <c r="E618" s="3236">
        <f t="shared" si="106"/>
        <v>1</v>
      </c>
      <c r="F618" s="676"/>
      <c r="G618" s="3236">
        <f t="shared" si="107"/>
        <v>1</v>
      </c>
      <c r="H618" s="676"/>
      <c r="I618" s="3236">
        <f t="shared" si="108"/>
        <v>1</v>
      </c>
      <c r="J618" s="676"/>
      <c r="K618" s="3236">
        <f t="shared" si="109"/>
        <v>1</v>
      </c>
      <c r="L618" s="676"/>
      <c r="M618" s="3236">
        <f t="shared" si="110"/>
        <v>1</v>
      </c>
      <c r="N618" s="676"/>
      <c r="O618" s="3236">
        <f t="shared" si="111"/>
        <v>1</v>
      </c>
      <c r="P618" s="676"/>
      <c r="Q618" s="3236">
        <f t="shared" si="112"/>
        <v>1</v>
      </c>
      <c r="R618" s="3237">
        <f t="shared" ca="1" si="113"/>
        <v>5706</v>
      </c>
      <c r="S618" s="1090">
        <f t="shared" ca="1" si="114"/>
        <v>21</v>
      </c>
    </row>
    <row r="619" spans="1:19">
      <c r="A619" s="674" t="str">
        <f>Sheet2!E599</f>
        <v>G1-004</v>
      </c>
      <c r="B619" s="3235">
        <f>Sheet2!F599</f>
        <v>37.520000000000003</v>
      </c>
      <c r="C619" s="3236">
        <f t="shared" si="105"/>
        <v>0.99</v>
      </c>
      <c r="D619" s="676"/>
      <c r="E619" s="3236">
        <f t="shared" si="106"/>
        <v>1</v>
      </c>
      <c r="F619" s="676"/>
      <c r="G619" s="3236">
        <f t="shared" si="107"/>
        <v>1</v>
      </c>
      <c r="H619" s="676"/>
      <c r="I619" s="3236">
        <f t="shared" si="108"/>
        <v>1</v>
      </c>
      <c r="J619" s="676"/>
      <c r="K619" s="3236">
        <f t="shared" si="109"/>
        <v>1</v>
      </c>
      <c r="L619" s="676"/>
      <c r="M619" s="3236">
        <f t="shared" si="110"/>
        <v>1</v>
      </c>
      <c r="N619" s="676"/>
      <c r="O619" s="3236">
        <f t="shared" si="111"/>
        <v>1</v>
      </c>
      <c r="P619" s="676"/>
      <c r="Q619" s="3236">
        <f t="shared" si="112"/>
        <v>1</v>
      </c>
      <c r="R619" s="3237">
        <f t="shared" ca="1" si="113"/>
        <v>5706</v>
      </c>
      <c r="S619" s="1090">
        <f t="shared" ca="1" si="114"/>
        <v>21</v>
      </c>
    </row>
    <row r="620" spans="1:19">
      <c r="A620" s="674" t="str">
        <f>Sheet2!E600</f>
        <v>G1-005</v>
      </c>
      <c r="B620" s="3235">
        <f>Sheet2!F600</f>
        <v>37.520000000000003</v>
      </c>
      <c r="C620" s="3236">
        <f t="shared" si="105"/>
        <v>0.99</v>
      </c>
      <c r="D620" s="676"/>
      <c r="E620" s="3236">
        <f t="shared" si="106"/>
        <v>1</v>
      </c>
      <c r="F620" s="676"/>
      <c r="G620" s="3236">
        <f t="shared" si="107"/>
        <v>1</v>
      </c>
      <c r="H620" s="676"/>
      <c r="I620" s="3236">
        <f t="shared" si="108"/>
        <v>1</v>
      </c>
      <c r="J620" s="676"/>
      <c r="K620" s="3236">
        <f t="shared" si="109"/>
        <v>1</v>
      </c>
      <c r="L620" s="676"/>
      <c r="M620" s="3236">
        <f t="shared" si="110"/>
        <v>1</v>
      </c>
      <c r="N620" s="676"/>
      <c r="O620" s="3236">
        <f t="shared" si="111"/>
        <v>1</v>
      </c>
      <c r="P620" s="676"/>
      <c r="Q620" s="3236">
        <f t="shared" si="112"/>
        <v>1</v>
      </c>
      <c r="R620" s="3237">
        <f t="shared" ca="1" si="113"/>
        <v>5706</v>
      </c>
      <c r="S620" s="1090">
        <f t="shared" ca="1" si="114"/>
        <v>21</v>
      </c>
    </row>
    <row r="621" spans="1:19">
      <c r="A621" s="674" t="str">
        <f>Sheet2!E601</f>
        <v>G1-006</v>
      </c>
      <c r="B621" s="3235">
        <f>Sheet2!F601</f>
        <v>37.520000000000003</v>
      </c>
      <c r="C621" s="3236">
        <f t="shared" si="105"/>
        <v>0.99</v>
      </c>
      <c r="D621" s="676"/>
      <c r="E621" s="3236">
        <f t="shared" si="106"/>
        <v>1</v>
      </c>
      <c r="F621" s="676"/>
      <c r="G621" s="3236">
        <f t="shared" si="107"/>
        <v>1</v>
      </c>
      <c r="H621" s="676"/>
      <c r="I621" s="3236">
        <f t="shared" si="108"/>
        <v>1</v>
      </c>
      <c r="J621" s="676"/>
      <c r="K621" s="3236">
        <f t="shared" si="109"/>
        <v>1</v>
      </c>
      <c r="L621" s="676"/>
      <c r="M621" s="3236">
        <f t="shared" si="110"/>
        <v>1</v>
      </c>
      <c r="N621" s="676"/>
      <c r="O621" s="3236">
        <f t="shared" si="111"/>
        <v>1</v>
      </c>
      <c r="P621" s="676"/>
      <c r="Q621" s="3236">
        <f t="shared" si="112"/>
        <v>1</v>
      </c>
      <c r="R621" s="3237">
        <f t="shared" ca="1" si="113"/>
        <v>5706</v>
      </c>
      <c r="S621" s="1090">
        <f t="shared" ca="1" si="114"/>
        <v>21</v>
      </c>
    </row>
    <row r="622" spans="1:19">
      <c r="A622" s="674" t="str">
        <f>Sheet2!E602</f>
        <v>G1-007</v>
      </c>
      <c r="B622" s="3235">
        <f>Sheet2!F602</f>
        <v>37.520000000000003</v>
      </c>
      <c r="C622" s="3236">
        <f t="shared" si="105"/>
        <v>0.99</v>
      </c>
      <c r="D622" s="676"/>
      <c r="E622" s="3236">
        <f t="shared" si="106"/>
        <v>1</v>
      </c>
      <c r="F622" s="676"/>
      <c r="G622" s="3236">
        <f t="shared" si="107"/>
        <v>1</v>
      </c>
      <c r="H622" s="676"/>
      <c r="I622" s="3236">
        <f t="shared" si="108"/>
        <v>1</v>
      </c>
      <c r="J622" s="676"/>
      <c r="K622" s="3236">
        <f t="shared" si="109"/>
        <v>1</v>
      </c>
      <c r="L622" s="676"/>
      <c r="M622" s="3236">
        <f t="shared" si="110"/>
        <v>1</v>
      </c>
      <c r="N622" s="676"/>
      <c r="O622" s="3236">
        <f t="shared" si="111"/>
        <v>1</v>
      </c>
      <c r="P622" s="676"/>
      <c r="Q622" s="3236">
        <f t="shared" si="112"/>
        <v>1</v>
      </c>
      <c r="R622" s="3237">
        <f t="shared" ca="1" si="113"/>
        <v>5706</v>
      </c>
      <c r="S622" s="1090">
        <f t="shared" ca="1" si="114"/>
        <v>21</v>
      </c>
    </row>
    <row r="623" spans="1:19">
      <c r="A623" s="674" t="str">
        <f>Sheet2!E603</f>
        <v>G1-008</v>
      </c>
      <c r="B623" s="3235">
        <f>Sheet2!F603</f>
        <v>37.520000000000003</v>
      </c>
      <c r="C623" s="3236">
        <f t="shared" si="105"/>
        <v>0.99</v>
      </c>
      <c r="D623" s="676"/>
      <c r="E623" s="3236">
        <f t="shared" si="106"/>
        <v>1</v>
      </c>
      <c r="F623" s="676"/>
      <c r="G623" s="3236">
        <f t="shared" si="107"/>
        <v>1</v>
      </c>
      <c r="H623" s="676"/>
      <c r="I623" s="3236">
        <f t="shared" si="108"/>
        <v>1</v>
      </c>
      <c r="J623" s="676"/>
      <c r="K623" s="3236">
        <f t="shared" si="109"/>
        <v>1</v>
      </c>
      <c r="L623" s="676"/>
      <c r="M623" s="3236">
        <f t="shared" si="110"/>
        <v>1</v>
      </c>
      <c r="N623" s="676"/>
      <c r="O623" s="3236">
        <f t="shared" si="111"/>
        <v>1</v>
      </c>
      <c r="P623" s="676"/>
      <c r="Q623" s="3236">
        <f t="shared" si="112"/>
        <v>1</v>
      </c>
      <c r="R623" s="3237">
        <f t="shared" ca="1" si="113"/>
        <v>5706</v>
      </c>
      <c r="S623" s="1090">
        <f t="shared" ca="1" si="114"/>
        <v>21</v>
      </c>
    </row>
    <row r="624" spans="1:19">
      <c r="A624" s="674" t="str">
        <f>Sheet2!E604</f>
        <v>G1-009</v>
      </c>
      <c r="B624" s="3235">
        <f>Sheet2!F604</f>
        <v>37.520000000000003</v>
      </c>
      <c r="C624" s="3236">
        <f t="shared" si="105"/>
        <v>0.99</v>
      </c>
      <c r="D624" s="676"/>
      <c r="E624" s="3236">
        <f t="shared" si="106"/>
        <v>1</v>
      </c>
      <c r="F624" s="676"/>
      <c r="G624" s="3236">
        <f t="shared" si="107"/>
        <v>1</v>
      </c>
      <c r="H624" s="676"/>
      <c r="I624" s="3236">
        <f t="shared" si="108"/>
        <v>1</v>
      </c>
      <c r="J624" s="676"/>
      <c r="K624" s="3236">
        <f t="shared" si="109"/>
        <v>1</v>
      </c>
      <c r="L624" s="676"/>
      <c r="M624" s="3236">
        <f t="shared" si="110"/>
        <v>1</v>
      </c>
      <c r="N624" s="676"/>
      <c r="O624" s="3236">
        <f t="shared" si="111"/>
        <v>1</v>
      </c>
      <c r="P624" s="676"/>
      <c r="Q624" s="3236">
        <f t="shared" si="112"/>
        <v>1</v>
      </c>
      <c r="R624" s="3237">
        <f t="shared" ca="1" si="113"/>
        <v>5706</v>
      </c>
      <c r="S624" s="1090">
        <f t="shared" ca="1" si="114"/>
        <v>21</v>
      </c>
    </row>
    <row r="625" spans="1:19">
      <c r="A625" s="674" t="str">
        <f>Sheet2!E605</f>
        <v>G1-010</v>
      </c>
      <c r="B625" s="3235">
        <f>Sheet2!F605</f>
        <v>37.520000000000003</v>
      </c>
      <c r="C625" s="3236">
        <f t="shared" si="105"/>
        <v>0.99</v>
      </c>
      <c r="D625" s="676"/>
      <c r="E625" s="3236">
        <f t="shared" si="106"/>
        <v>1</v>
      </c>
      <c r="F625" s="676"/>
      <c r="G625" s="3236">
        <f t="shared" si="107"/>
        <v>1</v>
      </c>
      <c r="H625" s="676"/>
      <c r="I625" s="3236">
        <f t="shared" si="108"/>
        <v>1</v>
      </c>
      <c r="J625" s="676"/>
      <c r="K625" s="3236">
        <f t="shared" si="109"/>
        <v>1</v>
      </c>
      <c r="L625" s="676"/>
      <c r="M625" s="3236">
        <f t="shared" si="110"/>
        <v>1</v>
      </c>
      <c r="N625" s="676"/>
      <c r="O625" s="3236">
        <f t="shared" si="111"/>
        <v>1</v>
      </c>
      <c r="P625" s="676"/>
      <c r="Q625" s="3236">
        <f t="shared" si="112"/>
        <v>1</v>
      </c>
      <c r="R625" s="3237">
        <f t="shared" ca="1" si="113"/>
        <v>5706</v>
      </c>
      <c r="S625" s="1090">
        <f t="shared" ca="1" si="114"/>
        <v>21</v>
      </c>
    </row>
    <row r="626" spans="1:19">
      <c r="A626" s="674" t="str">
        <f>Sheet2!E606</f>
        <v>G1-011</v>
      </c>
      <c r="B626" s="3235">
        <f>Sheet2!F606</f>
        <v>37.520000000000003</v>
      </c>
      <c r="C626" s="3236">
        <f t="shared" si="105"/>
        <v>0.99</v>
      </c>
      <c r="D626" s="676"/>
      <c r="E626" s="3236">
        <f t="shared" si="106"/>
        <v>1</v>
      </c>
      <c r="F626" s="676"/>
      <c r="G626" s="3236">
        <f t="shared" si="107"/>
        <v>1</v>
      </c>
      <c r="H626" s="676"/>
      <c r="I626" s="3236">
        <f t="shared" si="108"/>
        <v>1</v>
      </c>
      <c r="J626" s="676"/>
      <c r="K626" s="3236">
        <f t="shared" si="109"/>
        <v>1</v>
      </c>
      <c r="L626" s="676"/>
      <c r="M626" s="3236">
        <f t="shared" si="110"/>
        <v>1</v>
      </c>
      <c r="N626" s="676"/>
      <c r="O626" s="3236">
        <f t="shared" si="111"/>
        <v>1</v>
      </c>
      <c r="P626" s="676"/>
      <c r="Q626" s="3236">
        <f t="shared" si="112"/>
        <v>1</v>
      </c>
      <c r="R626" s="3237">
        <f t="shared" ca="1" si="113"/>
        <v>5706</v>
      </c>
      <c r="S626" s="1090">
        <f t="shared" ca="1" si="114"/>
        <v>21</v>
      </c>
    </row>
    <row r="627" spans="1:19">
      <c r="A627" s="674" t="str">
        <f>Sheet2!E607</f>
        <v>G1-012</v>
      </c>
      <c r="B627" s="3235">
        <f>Sheet2!F607</f>
        <v>37.520000000000003</v>
      </c>
      <c r="C627" s="3236">
        <f t="shared" si="105"/>
        <v>0.99</v>
      </c>
      <c r="D627" s="676"/>
      <c r="E627" s="3236">
        <f t="shared" si="106"/>
        <v>1</v>
      </c>
      <c r="F627" s="676"/>
      <c r="G627" s="3236">
        <f t="shared" si="107"/>
        <v>1</v>
      </c>
      <c r="H627" s="676"/>
      <c r="I627" s="3236">
        <f t="shared" si="108"/>
        <v>1</v>
      </c>
      <c r="J627" s="676"/>
      <c r="K627" s="3236">
        <f t="shared" si="109"/>
        <v>1</v>
      </c>
      <c r="L627" s="676"/>
      <c r="M627" s="3236">
        <f t="shared" si="110"/>
        <v>1</v>
      </c>
      <c r="N627" s="676"/>
      <c r="O627" s="3236">
        <f t="shared" si="111"/>
        <v>1</v>
      </c>
      <c r="P627" s="676"/>
      <c r="Q627" s="3236">
        <f t="shared" si="112"/>
        <v>1</v>
      </c>
      <c r="R627" s="3237">
        <f t="shared" ca="1" si="113"/>
        <v>5706</v>
      </c>
      <c r="S627" s="1090">
        <f t="shared" ca="1" si="114"/>
        <v>21</v>
      </c>
    </row>
    <row r="628" spans="1:19">
      <c r="A628" s="674" t="str">
        <f>Sheet2!E608</f>
        <v>G1-013</v>
      </c>
      <c r="B628" s="3235">
        <f>Sheet2!F608</f>
        <v>37.520000000000003</v>
      </c>
      <c r="C628" s="3236">
        <f t="shared" si="105"/>
        <v>0.99</v>
      </c>
      <c r="D628" s="676"/>
      <c r="E628" s="3236">
        <f t="shared" si="106"/>
        <v>1</v>
      </c>
      <c r="F628" s="676"/>
      <c r="G628" s="3236">
        <f t="shared" si="107"/>
        <v>1</v>
      </c>
      <c r="H628" s="676"/>
      <c r="I628" s="3236">
        <f t="shared" si="108"/>
        <v>1</v>
      </c>
      <c r="J628" s="676"/>
      <c r="K628" s="3236">
        <f t="shared" si="109"/>
        <v>1</v>
      </c>
      <c r="L628" s="676"/>
      <c r="M628" s="3236">
        <f t="shared" si="110"/>
        <v>1</v>
      </c>
      <c r="N628" s="676"/>
      <c r="O628" s="3236">
        <f t="shared" si="111"/>
        <v>1</v>
      </c>
      <c r="P628" s="676"/>
      <c r="Q628" s="3236">
        <f t="shared" si="112"/>
        <v>1</v>
      </c>
      <c r="R628" s="3237">
        <f t="shared" ca="1" si="113"/>
        <v>5706</v>
      </c>
      <c r="S628" s="1090">
        <f t="shared" ca="1" si="114"/>
        <v>21</v>
      </c>
    </row>
    <row r="629" spans="1:19">
      <c r="A629" s="674" t="str">
        <f>Sheet2!E609</f>
        <v>G1-014</v>
      </c>
      <c r="B629" s="3235">
        <f>Sheet2!F609</f>
        <v>37.520000000000003</v>
      </c>
      <c r="C629" s="3236">
        <f t="shared" si="105"/>
        <v>0.99</v>
      </c>
      <c r="D629" s="676"/>
      <c r="E629" s="3236">
        <f t="shared" si="106"/>
        <v>1</v>
      </c>
      <c r="F629" s="676"/>
      <c r="G629" s="3236">
        <f t="shared" si="107"/>
        <v>1</v>
      </c>
      <c r="H629" s="676"/>
      <c r="I629" s="3236">
        <f t="shared" si="108"/>
        <v>1</v>
      </c>
      <c r="J629" s="676"/>
      <c r="K629" s="3236">
        <f t="shared" si="109"/>
        <v>1</v>
      </c>
      <c r="L629" s="676"/>
      <c r="M629" s="3236">
        <f t="shared" si="110"/>
        <v>1</v>
      </c>
      <c r="N629" s="676"/>
      <c r="O629" s="3236">
        <f t="shared" si="111"/>
        <v>1</v>
      </c>
      <c r="P629" s="676"/>
      <c r="Q629" s="3236">
        <f t="shared" si="112"/>
        <v>1</v>
      </c>
      <c r="R629" s="3237">
        <f t="shared" ca="1" si="113"/>
        <v>5706</v>
      </c>
      <c r="S629" s="1090">
        <f t="shared" ca="1" si="114"/>
        <v>21</v>
      </c>
    </row>
    <row r="630" spans="1:19">
      <c r="A630" s="674" t="str">
        <f>Sheet2!E610</f>
        <v>G1-017</v>
      </c>
      <c r="B630" s="3235">
        <f>Sheet2!F610</f>
        <v>37.520000000000003</v>
      </c>
      <c r="C630" s="3236">
        <f t="shared" si="105"/>
        <v>0.99</v>
      </c>
      <c r="D630" s="676"/>
      <c r="E630" s="3236">
        <f t="shared" si="106"/>
        <v>1</v>
      </c>
      <c r="F630" s="676"/>
      <c r="G630" s="3236">
        <f t="shared" si="107"/>
        <v>1</v>
      </c>
      <c r="H630" s="676"/>
      <c r="I630" s="3236">
        <f t="shared" si="108"/>
        <v>1</v>
      </c>
      <c r="J630" s="676"/>
      <c r="K630" s="3236">
        <f t="shared" si="109"/>
        <v>1</v>
      </c>
      <c r="L630" s="676"/>
      <c r="M630" s="3236">
        <f t="shared" si="110"/>
        <v>1</v>
      </c>
      <c r="N630" s="676"/>
      <c r="O630" s="3236">
        <f t="shared" si="111"/>
        <v>1</v>
      </c>
      <c r="P630" s="676"/>
      <c r="Q630" s="3236">
        <f t="shared" si="112"/>
        <v>1</v>
      </c>
      <c r="R630" s="3237">
        <f t="shared" ca="1" si="113"/>
        <v>5706</v>
      </c>
      <c r="S630" s="1090">
        <f t="shared" ca="1" si="114"/>
        <v>21</v>
      </c>
    </row>
    <row r="631" spans="1:19">
      <c r="A631" s="674" t="str">
        <f>Sheet2!E611</f>
        <v>G1-018</v>
      </c>
      <c r="B631" s="3235">
        <f>Sheet2!F611</f>
        <v>37.520000000000003</v>
      </c>
      <c r="C631" s="3236">
        <f t="shared" si="105"/>
        <v>0.99</v>
      </c>
      <c r="D631" s="676"/>
      <c r="E631" s="3236">
        <f t="shared" si="106"/>
        <v>1</v>
      </c>
      <c r="F631" s="676"/>
      <c r="G631" s="3236">
        <f t="shared" si="107"/>
        <v>1</v>
      </c>
      <c r="H631" s="676"/>
      <c r="I631" s="3236">
        <f t="shared" si="108"/>
        <v>1</v>
      </c>
      <c r="J631" s="676"/>
      <c r="K631" s="3236">
        <f t="shared" si="109"/>
        <v>1</v>
      </c>
      <c r="L631" s="676"/>
      <c r="M631" s="3236">
        <f t="shared" si="110"/>
        <v>1</v>
      </c>
      <c r="N631" s="676"/>
      <c r="O631" s="3236">
        <f t="shared" si="111"/>
        <v>1</v>
      </c>
      <c r="P631" s="676"/>
      <c r="Q631" s="3236">
        <f t="shared" si="112"/>
        <v>1</v>
      </c>
      <c r="R631" s="3237">
        <f t="shared" ca="1" si="113"/>
        <v>5706</v>
      </c>
      <c r="S631" s="1090">
        <f t="shared" ca="1" si="114"/>
        <v>21</v>
      </c>
    </row>
    <row r="632" spans="1:19">
      <c r="A632" s="674" t="str">
        <f>Sheet2!E612</f>
        <v>G1-019</v>
      </c>
      <c r="B632" s="3235">
        <f>Sheet2!F612</f>
        <v>37.520000000000003</v>
      </c>
      <c r="C632" s="3236">
        <f t="shared" si="105"/>
        <v>0.99</v>
      </c>
      <c r="D632" s="676"/>
      <c r="E632" s="3236">
        <f t="shared" si="106"/>
        <v>1</v>
      </c>
      <c r="F632" s="676"/>
      <c r="G632" s="3236">
        <f t="shared" si="107"/>
        <v>1</v>
      </c>
      <c r="H632" s="676"/>
      <c r="I632" s="3236">
        <f t="shared" si="108"/>
        <v>1</v>
      </c>
      <c r="J632" s="676"/>
      <c r="K632" s="3236">
        <f t="shared" si="109"/>
        <v>1</v>
      </c>
      <c r="L632" s="676"/>
      <c r="M632" s="3236">
        <f t="shared" si="110"/>
        <v>1</v>
      </c>
      <c r="N632" s="676"/>
      <c r="O632" s="3236">
        <f t="shared" si="111"/>
        <v>1</v>
      </c>
      <c r="P632" s="676"/>
      <c r="Q632" s="3236">
        <f t="shared" si="112"/>
        <v>1</v>
      </c>
      <c r="R632" s="3237">
        <f t="shared" ca="1" si="113"/>
        <v>5706</v>
      </c>
      <c r="S632" s="1090">
        <f t="shared" ca="1" si="114"/>
        <v>21</v>
      </c>
    </row>
    <row r="633" spans="1:19">
      <c r="A633" s="674" t="str">
        <f>Sheet2!E613</f>
        <v>G1-023</v>
      </c>
      <c r="B633" s="3235">
        <f>Sheet2!F613</f>
        <v>37.520000000000003</v>
      </c>
      <c r="C633" s="3236">
        <f t="shared" si="105"/>
        <v>0.99</v>
      </c>
      <c r="D633" s="676"/>
      <c r="E633" s="3236">
        <f t="shared" si="106"/>
        <v>1</v>
      </c>
      <c r="F633" s="676"/>
      <c r="G633" s="3236">
        <f t="shared" si="107"/>
        <v>1</v>
      </c>
      <c r="H633" s="676"/>
      <c r="I633" s="3236">
        <f t="shared" si="108"/>
        <v>1</v>
      </c>
      <c r="J633" s="676"/>
      <c r="K633" s="3236">
        <f t="shared" si="109"/>
        <v>1</v>
      </c>
      <c r="L633" s="676"/>
      <c r="M633" s="3236">
        <f t="shared" si="110"/>
        <v>1</v>
      </c>
      <c r="N633" s="676"/>
      <c r="O633" s="3236">
        <f t="shared" si="111"/>
        <v>1</v>
      </c>
      <c r="P633" s="676"/>
      <c r="Q633" s="3236">
        <f t="shared" si="112"/>
        <v>1</v>
      </c>
      <c r="R633" s="3237">
        <f t="shared" ca="1" si="113"/>
        <v>5706</v>
      </c>
      <c r="S633" s="1090">
        <f t="shared" ca="1" si="114"/>
        <v>21</v>
      </c>
    </row>
    <row r="634" spans="1:19">
      <c r="A634" s="674" t="str">
        <f>Sheet2!E614</f>
        <v>G1-024</v>
      </c>
      <c r="B634" s="3235">
        <f>Sheet2!F614</f>
        <v>37.520000000000003</v>
      </c>
      <c r="C634" s="3236">
        <f t="shared" si="105"/>
        <v>0.99</v>
      </c>
      <c r="D634" s="676"/>
      <c r="E634" s="3236">
        <f t="shared" si="106"/>
        <v>1</v>
      </c>
      <c r="F634" s="676"/>
      <c r="G634" s="3236">
        <f t="shared" si="107"/>
        <v>1</v>
      </c>
      <c r="H634" s="676"/>
      <c r="I634" s="3236">
        <f t="shared" si="108"/>
        <v>1</v>
      </c>
      <c r="J634" s="676"/>
      <c r="K634" s="3236">
        <f t="shared" si="109"/>
        <v>1</v>
      </c>
      <c r="L634" s="676"/>
      <c r="M634" s="3236">
        <f t="shared" si="110"/>
        <v>1</v>
      </c>
      <c r="N634" s="676"/>
      <c r="O634" s="3236">
        <f t="shared" si="111"/>
        <v>1</v>
      </c>
      <c r="P634" s="676"/>
      <c r="Q634" s="3236">
        <f t="shared" si="112"/>
        <v>1</v>
      </c>
      <c r="R634" s="3237">
        <f t="shared" ca="1" si="113"/>
        <v>5706</v>
      </c>
      <c r="S634" s="1090">
        <f t="shared" ca="1" si="114"/>
        <v>21</v>
      </c>
    </row>
    <row r="635" spans="1:19">
      <c r="A635" s="674" t="str">
        <f>Sheet2!E615</f>
        <v>G1-025</v>
      </c>
      <c r="B635" s="3235">
        <f>Sheet2!F615</f>
        <v>37.520000000000003</v>
      </c>
      <c r="C635" s="3236">
        <f t="shared" si="105"/>
        <v>0.99</v>
      </c>
      <c r="D635" s="676"/>
      <c r="E635" s="3236">
        <f t="shared" si="106"/>
        <v>1</v>
      </c>
      <c r="F635" s="676"/>
      <c r="G635" s="3236">
        <f t="shared" si="107"/>
        <v>1</v>
      </c>
      <c r="H635" s="676"/>
      <c r="I635" s="3236">
        <f t="shared" si="108"/>
        <v>1</v>
      </c>
      <c r="J635" s="676"/>
      <c r="K635" s="3236">
        <f t="shared" si="109"/>
        <v>1</v>
      </c>
      <c r="L635" s="676"/>
      <c r="M635" s="3236">
        <f t="shared" si="110"/>
        <v>1</v>
      </c>
      <c r="N635" s="676"/>
      <c r="O635" s="3236">
        <f t="shared" si="111"/>
        <v>1</v>
      </c>
      <c r="P635" s="676"/>
      <c r="Q635" s="3236">
        <f t="shared" si="112"/>
        <v>1</v>
      </c>
      <c r="R635" s="3237">
        <f t="shared" ca="1" si="113"/>
        <v>5706</v>
      </c>
      <c r="S635" s="1090">
        <f t="shared" ca="1" si="114"/>
        <v>21</v>
      </c>
    </row>
    <row r="636" spans="1:19">
      <c r="A636" s="674" t="str">
        <f>Sheet2!E616</f>
        <v>G1-026</v>
      </c>
      <c r="B636" s="3235">
        <f>Sheet2!F616</f>
        <v>37.520000000000003</v>
      </c>
      <c r="C636" s="3236">
        <f t="shared" si="105"/>
        <v>0.99</v>
      </c>
      <c r="D636" s="676"/>
      <c r="E636" s="3236">
        <f t="shared" si="106"/>
        <v>1</v>
      </c>
      <c r="F636" s="676"/>
      <c r="G636" s="3236">
        <f t="shared" si="107"/>
        <v>1</v>
      </c>
      <c r="H636" s="676"/>
      <c r="I636" s="3236">
        <f t="shared" si="108"/>
        <v>1</v>
      </c>
      <c r="J636" s="676"/>
      <c r="K636" s="3236">
        <f t="shared" si="109"/>
        <v>1</v>
      </c>
      <c r="L636" s="676"/>
      <c r="M636" s="3236">
        <f t="shared" si="110"/>
        <v>1</v>
      </c>
      <c r="N636" s="676"/>
      <c r="O636" s="3236">
        <f t="shared" si="111"/>
        <v>1</v>
      </c>
      <c r="P636" s="676"/>
      <c r="Q636" s="3236">
        <f t="shared" si="112"/>
        <v>1</v>
      </c>
      <c r="R636" s="3237">
        <f t="shared" ca="1" si="113"/>
        <v>5706</v>
      </c>
      <c r="S636" s="1090">
        <f t="shared" ca="1" si="114"/>
        <v>21</v>
      </c>
    </row>
    <row r="637" spans="1:19">
      <c r="A637" s="674" t="str">
        <f>Sheet2!E617</f>
        <v>G1-027</v>
      </c>
      <c r="B637" s="3235">
        <f>Sheet2!F617</f>
        <v>37.520000000000003</v>
      </c>
      <c r="C637" s="3236">
        <f t="shared" si="105"/>
        <v>0.99</v>
      </c>
      <c r="D637" s="676"/>
      <c r="E637" s="3236">
        <f t="shared" si="106"/>
        <v>1</v>
      </c>
      <c r="F637" s="676"/>
      <c r="G637" s="3236">
        <f t="shared" si="107"/>
        <v>1</v>
      </c>
      <c r="H637" s="676"/>
      <c r="I637" s="3236">
        <f t="shared" si="108"/>
        <v>1</v>
      </c>
      <c r="J637" s="676"/>
      <c r="K637" s="3236">
        <f t="shared" si="109"/>
        <v>1</v>
      </c>
      <c r="L637" s="676"/>
      <c r="M637" s="3236">
        <f t="shared" si="110"/>
        <v>1</v>
      </c>
      <c r="N637" s="676"/>
      <c r="O637" s="3236">
        <f t="shared" si="111"/>
        <v>1</v>
      </c>
      <c r="P637" s="676"/>
      <c r="Q637" s="3236">
        <f t="shared" si="112"/>
        <v>1</v>
      </c>
      <c r="R637" s="3237">
        <f t="shared" ca="1" si="113"/>
        <v>5706</v>
      </c>
      <c r="S637" s="1090">
        <f t="shared" ca="1" si="114"/>
        <v>21</v>
      </c>
    </row>
    <row r="638" spans="1:19">
      <c r="A638" s="674" t="str">
        <f>Sheet2!E618</f>
        <v>G1-028</v>
      </c>
      <c r="B638" s="3235">
        <f>Sheet2!F618</f>
        <v>37.520000000000003</v>
      </c>
      <c r="C638" s="3236">
        <f t="shared" si="105"/>
        <v>0.99</v>
      </c>
      <c r="D638" s="676"/>
      <c r="E638" s="3236">
        <f t="shared" si="106"/>
        <v>1</v>
      </c>
      <c r="F638" s="676"/>
      <c r="G638" s="3236">
        <f t="shared" si="107"/>
        <v>1</v>
      </c>
      <c r="H638" s="676"/>
      <c r="I638" s="3236">
        <f t="shared" si="108"/>
        <v>1</v>
      </c>
      <c r="J638" s="676"/>
      <c r="K638" s="3236">
        <f t="shared" si="109"/>
        <v>1</v>
      </c>
      <c r="L638" s="676"/>
      <c r="M638" s="3236">
        <f t="shared" si="110"/>
        <v>1</v>
      </c>
      <c r="N638" s="676"/>
      <c r="O638" s="3236">
        <f t="shared" si="111"/>
        <v>1</v>
      </c>
      <c r="P638" s="676"/>
      <c r="Q638" s="3236">
        <f t="shared" si="112"/>
        <v>1</v>
      </c>
      <c r="R638" s="3237">
        <f t="shared" ca="1" si="113"/>
        <v>5706</v>
      </c>
      <c r="S638" s="1090">
        <f t="shared" ca="1" si="114"/>
        <v>21</v>
      </c>
    </row>
    <row r="639" spans="1:19">
      <c r="A639" s="674" t="str">
        <f>Sheet2!E619</f>
        <v>G1-029</v>
      </c>
      <c r="B639" s="3235">
        <f>Sheet2!F619</f>
        <v>37.520000000000003</v>
      </c>
      <c r="C639" s="3236">
        <f t="shared" si="105"/>
        <v>0.99</v>
      </c>
      <c r="D639" s="676"/>
      <c r="E639" s="3236">
        <f t="shared" si="106"/>
        <v>1</v>
      </c>
      <c r="F639" s="676"/>
      <c r="G639" s="3236">
        <f t="shared" si="107"/>
        <v>1</v>
      </c>
      <c r="H639" s="676"/>
      <c r="I639" s="3236">
        <f t="shared" si="108"/>
        <v>1</v>
      </c>
      <c r="J639" s="676"/>
      <c r="K639" s="3236">
        <f t="shared" si="109"/>
        <v>1</v>
      </c>
      <c r="L639" s="676"/>
      <c r="M639" s="3236">
        <f t="shared" si="110"/>
        <v>1</v>
      </c>
      <c r="N639" s="676"/>
      <c r="O639" s="3236">
        <f t="shared" si="111"/>
        <v>1</v>
      </c>
      <c r="P639" s="676"/>
      <c r="Q639" s="3236">
        <f t="shared" si="112"/>
        <v>1</v>
      </c>
      <c r="R639" s="3237">
        <f t="shared" ca="1" si="113"/>
        <v>5706</v>
      </c>
      <c r="S639" s="1090">
        <f t="shared" ca="1" si="114"/>
        <v>21</v>
      </c>
    </row>
    <row r="640" spans="1:19">
      <c r="A640" s="674" t="str">
        <f>Sheet2!E620</f>
        <v>G1-030</v>
      </c>
      <c r="B640" s="3235">
        <f>Sheet2!F620</f>
        <v>37.520000000000003</v>
      </c>
      <c r="C640" s="3236">
        <f t="shared" si="105"/>
        <v>0.99</v>
      </c>
      <c r="D640" s="676"/>
      <c r="E640" s="3236">
        <f t="shared" si="106"/>
        <v>1</v>
      </c>
      <c r="F640" s="676"/>
      <c r="G640" s="3236">
        <f t="shared" si="107"/>
        <v>1</v>
      </c>
      <c r="H640" s="676"/>
      <c r="I640" s="3236">
        <f t="shared" si="108"/>
        <v>1</v>
      </c>
      <c r="J640" s="676"/>
      <c r="K640" s="3236">
        <f t="shared" si="109"/>
        <v>1</v>
      </c>
      <c r="L640" s="676"/>
      <c r="M640" s="3236">
        <f t="shared" si="110"/>
        <v>1</v>
      </c>
      <c r="N640" s="676"/>
      <c r="O640" s="3236">
        <f t="shared" si="111"/>
        <v>1</v>
      </c>
      <c r="P640" s="676"/>
      <c r="Q640" s="3236">
        <f t="shared" si="112"/>
        <v>1</v>
      </c>
      <c r="R640" s="3237">
        <f t="shared" ca="1" si="113"/>
        <v>5706</v>
      </c>
      <c r="S640" s="1090">
        <f t="shared" ca="1" si="114"/>
        <v>21</v>
      </c>
    </row>
    <row r="641" spans="1:19">
      <c r="A641" s="674" t="str">
        <f>Sheet2!E621</f>
        <v>G1-031</v>
      </c>
      <c r="B641" s="3235">
        <f>Sheet2!F621</f>
        <v>37.520000000000003</v>
      </c>
      <c r="C641" s="3236">
        <f t="shared" si="105"/>
        <v>0.99</v>
      </c>
      <c r="D641" s="676"/>
      <c r="E641" s="3236">
        <f t="shared" si="106"/>
        <v>1</v>
      </c>
      <c r="F641" s="676"/>
      <c r="G641" s="3236">
        <f t="shared" si="107"/>
        <v>1</v>
      </c>
      <c r="H641" s="676"/>
      <c r="I641" s="3236">
        <f t="shared" si="108"/>
        <v>1</v>
      </c>
      <c r="J641" s="676"/>
      <c r="K641" s="3236">
        <f t="shared" si="109"/>
        <v>1</v>
      </c>
      <c r="L641" s="676"/>
      <c r="M641" s="3236">
        <f t="shared" si="110"/>
        <v>1</v>
      </c>
      <c r="N641" s="676"/>
      <c r="O641" s="3236">
        <f t="shared" si="111"/>
        <v>1</v>
      </c>
      <c r="P641" s="676"/>
      <c r="Q641" s="3236">
        <f t="shared" si="112"/>
        <v>1</v>
      </c>
      <c r="R641" s="3237">
        <f t="shared" ca="1" si="113"/>
        <v>5706</v>
      </c>
      <c r="S641" s="1090">
        <f t="shared" ca="1" si="114"/>
        <v>21</v>
      </c>
    </row>
    <row r="642" spans="1:19">
      <c r="A642" s="674" t="str">
        <f>Sheet2!E622</f>
        <v>G1-032</v>
      </c>
      <c r="B642" s="3235">
        <f>Sheet2!F622</f>
        <v>37.520000000000003</v>
      </c>
      <c r="C642" s="3236">
        <f t="shared" si="105"/>
        <v>0.99</v>
      </c>
      <c r="D642" s="676"/>
      <c r="E642" s="3236">
        <f t="shared" si="106"/>
        <v>1</v>
      </c>
      <c r="F642" s="676"/>
      <c r="G642" s="3236">
        <f t="shared" si="107"/>
        <v>1</v>
      </c>
      <c r="H642" s="676"/>
      <c r="I642" s="3236">
        <f t="shared" si="108"/>
        <v>1</v>
      </c>
      <c r="J642" s="676"/>
      <c r="K642" s="3236">
        <f t="shared" si="109"/>
        <v>1</v>
      </c>
      <c r="L642" s="676"/>
      <c r="M642" s="3236">
        <f t="shared" si="110"/>
        <v>1</v>
      </c>
      <c r="N642" s="676"/>
      <c r="O642" s="3236">
        <f t="shared" si="111"/>
        <v>1</v>
      </c>
      <c r="P642" s="676"/>
      <c r="Q642" s="3236">
        <f t="shared" si="112"/>
        <v>1</v>
      </c>
      <c r="R642" s="3237">
        <f t="shared" ca="1" si="113"/>
        <v>5706</v>
      </c>
      <c r="S642" s="1090">
        <f t="shared" ca="1" si="114"/>
        <v>21</v>
      </c>
    </row>
    <row r="643" spans="1:19">
      <c r="A643" s="674" t="str">
        <f>Sheet2!E623</f>
        <v>G1-036</v>
      </c>
      <c r="B643" s="3235">
        <f>Sheet2!F623</f>
        <v>37.520000000000003</v>
      </c>
      <c r="C643" s="3236">
        <f t="shared" si="105"/>
        <v>0.99</v>
      </c>
      <c r="D643" s="676"/>
      <c r="E643" s="3236">
        <f t="shared" si="106"/>
        <v>1</v>
      </c>
      <c r="F643" s="676"/>
      <c r="G643" s="3236">
        <f t="shared" si="107"/>
        <v>1</v>
      </c>
      <c r="H643" s="676"/>
      <c r="I643" s="3236">
        <f t="shared" si="108"/>
        <v>1</v>
      </c>
      <c r="J643" s="676"/>
      <c r="K643" s="3236">
        <f t="shared" si="109"/>
        <v>1</v>
      </c>
      <c r="L643" s="676"/>
      <c r="M643" s="3236">
        <f t="shared" si="110"/>
        <v>1</v>
      </c>
      <c r="N643" s="676"/>
      <c r="O643" s="3236">
        <f t="shared" si="111"/>
        <v>1</v>
      </c>
      <c r="P643" s="676"/>
      <c r="Q643" s="3236">
        <f t="shared" si="112"/>
        <v>1</v>
      </c>
      <c r="R643" s="3237">
        <f t="shared" ca="1" si="113"/>
        <v>5706</v>
      </c>
      <c r="S643" s="1090">
        <f t="shared" ca="1" si="114"/>
        <v>21</v>
      </c>
    </row>
    <row r="644" spans="1:19">
      <c r="A644" s="674" t="str">
        <f>Sheet2!E624</f>
        <v>G1-038</v>
      </c>
      <c r="B644" s="3235">
        <f>Sheet2!F624</f>
        <v>37.520000000000003</v>
      </c>
      <c r="C644" s="3236">
        <f t="shared" si="105"/>
        <v>0.99</v>
      </c>
      <c r="D644" s="676"/>
      <c r="E644" s="3236">
        <f t="shared" si="106"/>
        <v>1</v>
      </c>
      <c r="F644" s="676"/>
      <c r="G644" s="3236">
        <f t="shared" si="107"/>
        <v>1</v>
      </c>
      <c r="H644" s="676"/>
      <c r="I644" s="3236">
        <f t="shared" si="108"/>
        <v>1</v>
      </c>
      <c r="J644" s="676"/>
      <c r="K644" s="3236">
        <f t="shared" si="109"/>
        <v>1</v>
      </c>
      <c r="L644" s="676"/>
      <c r="M644" s="3236">
        <f t="shared" si="110"/>
        <v>1</v>
      </c>
      <c r="N644" s="676"/>
      <c r="O644" s="3236">
        <f t="shared" si="111"/>
        <v>1</v>
      </c>
      <c r="P644" s="676"/>
      <c r="Q644" s="3236">
        <f t="shared" si="112"/>
        <v>1</v>
      </c>
      <c r="R644" s="3237">
        <f t="shared" ca="1" si="113"/>
        <v>5706</v>
      </c>
      <c r="S644" s="1090">
        <f t="shared" ca="1" si="114"/>
        <v>21</v>
      </c>
    </row>
    <row r="645" spans="1:19">
      <c r="A645" s="674" t="str">
        <f>Sheet2!E625</f>
        <v>G1-040</v>
      </c>
      <c r="B645" s="3235">
        <f>Sheet2!F625</f>
        <v>37.520000000000003</v>
      </c>
      <c r="C645" s="3236">
        <f t="shared" si="105"/>
        <v>0.99</v>
      </c>
      <c r="D645" s="676"/>
      <c r="E645" s="3236">
        <f t="shared" si="106"/>
        <v>1</v>
      </c>
      <c r="F645" s="676"/>
      <c r="G645" s="3236">
        <f t="shared" si="107"/>
        <v>1</v>
      </c>
      <c r="H645" s="676"/>
      <c r="I645" s="3236">
        <f t="shared" si="108"/>
        <v>1</v>
      </c>
      <c r="J645" s="676"/>
      <c r="K645" s="3236">
        <f t="shared" si="109"/>
        <v>1</v>
      </c>
      <c r="L645" s="676"/>
      <c r="M645" s="3236">
        <f t="shared" si="110"/>
        <v>1</v>
      </c>
      <c r="N645" s="676"/>
      <c r="O645" s="3236">
        <f t="shared" si="111"/>
        <v>1</v>
      </c>
      <c r="P645" s="676"/>
      <c r="Q645" s="3236">
        <f t="shared" si="112"/>
        <v>1</v>
      </c>
      <c r="R645" s="3237">
        <f t="shared" ca="1" si="113"/>
        <v>5706</v>
      </c>
      <c r="S645" s="1090">
        <f t="shared" ca="1" si="114"/>
        <v>21</v>
      </c>
    </row>
    <row r="646" spans="1:19">
      <c r="A646" s="674" t="str">
        <f>Sheet2!E626</f>
        <v>G1-041</v>
      </c>
      <c r="B646" s="3235">
        <f>Sheet2!F626</f>
        <v>37.520000000000003</v>
      </c>
      <c r="C646" s="3236">
        <f t="shared" si="105"/>
        <v>0.99</v>
      </c>
      <c r="D646" s="676"/>
      <c r="E646" s="3236">
        <f t="shared" si="106"/>
        <v>1</v>
      </c>
      <c r="F646" s="676"/>
      <c r="G646" s="3236">
        <f t="shared" si="107"/>
        <v>1</v>
      </c>
      <c r="H646" s="676"/>
      <c r="I646" s="3236">
        <f t="shared" si="108"/>
        <v>1</v>
      </c>
      <c r="J646" s="676"/>
      <c r="K646" s="3236">
        <f t="shared" si="109"/>
        <v>1</v>
      </c>
      <c r="L646" s="676"/>
      <c r="M646" s="3236">
        <f t="shared" si="110"/>
        <v>1</v>
      </c>
      <c r="N646" s="676"/>
      <c r="O646" s="3236">
        <f t="shared" si="111"/>
        <v>1</v>
      </c>
      <c r="P646" s="676"/>
      <c r="Q646" s="3236">
        <f t="shared" si="112"/>
        <v>1</v>
      </c>
      <c r="R646" s="3237">
        <f t="shared" ca="1" si="113"/>
        <v>5706</v>
      </c>
      <c r="S646" s="1090">
        <f t="shared" ca="1" si="114"/>
        <v>21</v>
      </c>
    </row>
    <row r="647" spans="1:19">
      <c r="A647" s="674" t="str">
        <f>Sheet2!E627</f>
        <v>G1-044</v>
      </c>
      <c r="B647" s="3235">
        <f>Sheet2!F627</f>
        <v>37.520000000000003</v>
      </c>
      <c r="C647" s="3236">
        <f t="shared" si="105"/>
        <v>0.99</v>
      </c>
      <c r="D647" s="676"/>
      <c r="E647" s="3236">
        <f t="shared" si="106"/>
        <v>1</v>
      </c>
      <c r="F647" s="676"/>
      <c r="G647" s="3236">
        <f t="shared" si="107"/>
        <v>1</v>
      </c>
      <c r="H647" s="676"/>
      <c r="I647" s="3236">
        <f t="shared" si="108"/>
        <v>1</v>
      </c>
      <c r="J647" s="676"/>
      <c r="K647" s="3236">
        <f t="shared" si="109"/>
        <v>1</v>
      </c>
      <c r="L647" s="676"/>
      <c r="M647" s="3236">
        <f t="shared" si="110"/>
        <v>1</v>
      </c>
      <c r="N647" s="676"/>
      <c r="O647" s="3236">
        <f t="shared" si="111"/>
        <v>1</v>
      </c>
      <c r="P647" s="676"/>
      <c r="Q647" s="3236">
        <f t="shared" si="112"/>
        <v>1</v>
      </c>
      <c r="R647" s="3237">
        <f t="shared" ca="1" si="113"/>
        <v>5706</v>
      </c>
      <c r="S647" s="1090">
        <f t="shared" ca="1" si="114"/>
        <v>21</v>
      </c>
    </row>
    <row r="648" spans="1:19">
      <c r="A648" s="674" t="str">
        <f>Sheet2!E628</f>
        <v>G1-047</v>
      </c>
      <c r="B648" s="3235">
        <f>Sheet2!F628</f>
        <v>37.520000000000003</v>
      </c>
      <c r="C648" s="3236">
        <f t="shared" si="105"/>
        <v>0.99</v>
      </c>
      <c r="D648" s="676"/>
      <c r="E648" s="3236">
        <f t="shared" si="106"/>
        <v>1</v>
      </c>
      <c r="F648" s="676"/>
      <c r="G648" s="3236">
        <f t="shared" si="107"/>
        <v>1</v>
      </c>
      <c r="H648" s="676"/>
      <c r="I648" s="3236">
        <f t="shared" si="108"/>
        <v>1</v>
      </c>
      <c r="J648" s="676"/>
      <c r="K648" s="3236">
        <f t="shared" si="109"/>
        <v>1</v>
      </c>
      <c r="L648" s="676"/>
      <c r="M648" s="3236">
        <f t="shared" si="110"/>
        <v>1</v>
      </c>
      <c r="N648" s="676"/>
      <c r="O648" s="3236">
        <f t="shared" si="111"/>
        <v>1</v>
      </c>
      <c r="P648" s="676"/>
      <c r="Q648" s="3236">
        <f t="shared" si="112"/>
        <v>1</v>
      </c>
      <c r="R648" s="3237">
        <f t="shared" ca="1" si="113"/>
        <v>5706</v>
      </c>
      <c r="S648" s="1090">
        <f t="shared" ca="1" si="114"/>
        <v>21</v>
      </c>
    </row>
    <row r="649" spans="1:19">
      <c r="A649" s="674" t="str">
        <f>Sheet2!E629</f>
        <v>G1-052</v>
      </c>
      <c r="B649" s="3235">
        <f>Sheet2!F629</f>
        <v>37.520000000000003</v>
      </c>
      <c r="C649" s="3236">
        <f t="shared" si="105"/>
        <v>0.99</v>
      </c>
      <c r="D649" s="676"/>
      <c r="E649" s="3236">
        <f t="shared" si="106"/>
        <v>1</v>
      </c>
      <c r="F649" s="676"/>
      <c r="G649" s="3236">
        <f t="shared" si="107"/>
        <v>1</v>
      </c>
      <c r="H649" s="676"/>
      <c r="I649" s="3236">
        <f t="shared" si="108"/>
        <v>1</v>
      </c>
      <c r="J649" s="676"/>
      <c r="K649" s="3236">
        <f t="shared" si="109"/>
        <v>1</v>
      </c>
      <c r="L649" s="676"/>
      <c r="M649" s="3236">
        <f t="shared" si="110"/>
        <v>1</v>
      </c>
      <c r="N649" s="676"/>
      <c r="O649" s="3236">
        <f t="shared" si="111"/>
        <v>1</v>
      </c>
      <c r="P649" s="676"/>
      <c r="Q649" s="3236">
        <f t="shared" si="112"/>
        <v>1</v>
      </c>
      <c r="R649" s="3237">
        <f t="shared" ca="1" si="113"/>
        <v>5706</v>
      </c>
      <c r="S649" s="1090">
        <f t="shared" ca="1" si="114"/>
        <v>21</v>
      </c>
    </row>
    <row r="650" spans="1:19">
      <c r="A650" s="674" t="str">
        <f>Sheet2!E630</f>
        <v>G1-053</v>
      </c>
      <c r="B650" s="3235">
        <f>Sheet2!F630</f>
        <v>37.520000000000003</v>
      </c>
      <c r="C650" s="3236">
        <f t="shared" si="105"/>
        <v>0.99</v>
      </c>
      <c r="D650" s="676"/>
      <c r="E650" s="3236">
        <f t="shared" si="106"/>
        <v>1</v>
      </c>
      <c r="F650" s="676"/>
      <c r="G650" s="3236">
        <f t="shared" si="107"/>
        <v>1</v>
      </c>
      <c r="H650" s="676"/>
      <c r="I650" s="3236">
        <f t="shared" si="108"/>
        <v>1</v>
      </c>
      <c r="J650" s="676"/>
      <c r="K650" s="3236">
        <f t="shared" si="109"/>
        <v>1</v>
      </c>
      <c r="L650" s="676"/>
      <c r="M650" s="3236">
        <f t="shared" si="110"/>
        <v>1</v>
      </c>
      <c r="N650" s="676"/>
      <c r="O650" s="3236">
        <f t="shared" si="111"/>
        <v>1</v>
      </c>
      <c r="P650" s="676"/>
      <c r="Q650" s="3236">
        <f t="shared" si="112"/>
        <v>1</v>
      </c>
      <c r="R650" s="3237">
        <f t="shared" ca="1" si="113"/>
        <v>5706</v>
      </c>
      <c r="S650" s="1090">
        <f t="shared" ca="1" si="114"/>
        <v>21</v>
      </c>
    </row>
    <row r="651" spans="1:19">
      <c r="A651" s="674" t="str">
        <f>Sheet2!E631</f>
        <v>G1-054</v>
      </c>
      <c r="B651" s="3235">
        <f>Sheet2!F631</f>
        <v>37.520000000000003</v>
      </c>
      <c r="C651" s="3236">
        <f t="shared" si="105"/>
        <v>0.99</v>
      </c>
      <c r="D651" s="676"/>
      <c r="E651" s="3236">
        <f t="shared" si="106"/>
        <v>1</v>
      </c>
      <c r="F651" s="676"/>
      <c r="G651" s="3236">
        <f t="shared" si="107"/>
        <v>1</v>
      </c>
      <c r="H651" s="676"/>
      <c r="I651" s="3236">
        <f t="shared" si="108"/>
        <v>1</v>
      </c>
      <c r="J651" s="676"/>
      <c r="K651" s="3236">
        <f t="shared" si="109"/>
        <v>1</v>
      </c>
      <c r="L651" s="676"/>
      <c r="M651" s="3236">
        <f t="shared" si="110"/>
        <v>1</v>
      </c>
      <c r="N651" s="676"/>
      <c r="O651" s="3236">
        <f t="shared" si="111"/>
        <v>1</v>
      </c>
      <c r="P651" s="676"/>
      <c r="Q651" s="3236">
        <f t="shared" si="112"/>
        <v>1</v>
      </c>
      <c r="R651" s="3237">
        <f t="shared" ca="1" si="113"/>
        <v>5706</v>
      </c>
      <c r="S651" s="1090">
        <f t="shared" ca="1" si="114"/>
        <v>21</v>
      </c>
    </row>
    <row r="652" spans="1:19">
      <c r="A652" s="674" t="str">
        <f>Sheet2!E632</f>
        <v>G1-055</v>
      </c>
      <c r="B652" s="3235">
        <f>Sheet2!F632</f>
        <v>37.520000000000003</v>
      </c>
      <c r="C652" s="3236">
        <f t="shared" si="105"/>
        <v>0.99</v>
      </c>
      <c r="D652" s="676"/>
      <c r="E652" s="3236">
        <f t="shared" si="106"/>
        <v>1</v>
      </c>
      <c r="F652" s="676"/>
      <c r="G652" s="3236">
        <f t="shared" si="107"/>
        <v>1</v>
      </c>
      <c r="H652" s="676"/>
      <c r="I652" s="3236">
        <f t="shared" si="108"/>
        <v>1</v>
      </c>
      <c r="J652" s="676"/>
      <c r="K652" s="3236">
        <f t="shared" si="109"/>
        <v>1</v>
      </c>
      <c r="L652" s="676"/>
      <c r="M652" s="3236">
        <f t="shared" si="110"/>
        <v>1</v>
      </c>
      <c r="N652" s="676"/>
      <c r="O652" s="3236">
        <f t="shared" si="111"/>
        <v>1</v>
      </c>
      <c r="P652" s="676"/>
      <c r="Q652" s="3236">
        <f t="shared" si="112"/>
        <v>1</v>
      </c>
      <c r="R652" s="3237">
        <f t="shared" ca="1" si="113"/>
        <v>5706</v>
      </c>
      <c r="S652" s="1090">
        <f t="shared" ca="1" si="114"/>
        <v>21</v>
      </c>
    </row>
    <row r="653" spans="1:19">
      <c r="A653" s="674" t="str">
        <f>Sheet2!E633</f>
        <v>G1-056</v>
      </c>
      <c r="B653" s="3235">
        <f>Sheet2!F633</f>
        <v>37.520000000000003</v>
      </c>
      <c r="C653" s="3236">
        <f t="shared" ref="C653:C716" si="115">IF(B653="",1,(LOOKUP(B653,$3:$3,$4:$4)-LOOKUP($B$24,$3:$3,$4:$4)+100)/100)</f>
        <v>0.99</v>
      </c>
      <c r="D653" s="676"/>
      <c r="E653" s="3236">
        <f t="shared" ref="E653:E716" si="116">(SUMIF($5:$5,D653,$6:$6)-SUMIF($5:$5,$D$24,$6:$6)+100)/100</f>
        <v>1</v>
      </c>
      <c r="F653" s="676"/>
      <c r="G653" s="3236">
        <f t="shared" ref="G653:G716" si="117">(SUMIF($7:$7,F653,$8:$8)-SUMIF($7:$7,$F$24,$8:$8)+100)/100</f>
        <v>1</v>
      </c>
      <c r="H653" s="676"/>
      <c r="I653" s="3236">
        <f t="shared" ref="I653:I716" si="118">(SUMIF($9:$9,H653,$10:$10)-SUMIF($9:$9,$H$24,$10:$10)+100)/100</f>
        <v>1</v>
      </c>
      <c r="J653" s="676"/>
      <c r="K653" s="3236">
        <f t="shared" ref="K653:K716" si="119">(SUMIF($11:$11,J653,$12:$12)-SUMIF($11:$11,$J$24,$12:$12)+100)/100</f>
        <v>1</v>
      </c>
      <c r="L653" s="676"/>
      <c r="M653" s="3236">
        <f t="shared" ref="M653:M716" si="120">(SUMIF($13:$13,L653,$14:$14)-SUMIF($13:$13,$L$24,$14:$14)+100)/100</f>
        <v>1</v>
      </c>
      <c r="N653" s="676"/>
      <c r="O653" s="3236">
        <f t="shared" ref="O653:O716" si="121">(SUMIF($15:$15,N653,$16:$16)-SUMIF($15:$15,$N$24,$16:$16)+100)/100</f>
        <v>1</v>
      </c>
      <c r="P653" s="676"/>
      <c r="Q653" s="3236">
        <f t="shared" ref="Q653:Q716" si="122">(SUMIF($17:$17,P653,$18:$18)-SUMIF($17:$17,$P$24,$18:$18)+100)/100</f>
        <v>1</v>
      </c>
      <c r="R653" s="3237">
        <f t="shared" ref="R653:R716" ca="1" si="123">IF(B653="",0,ROUND($R$24*C653*E653*G653*I653*K653*M653*O653*Q653,0))</f>
        <v>5706</v>
      </c>
      <c r="S653" s="1090">
        <f t="shared" ref="S653:S716" ca="1" si="124">ROUND(R653*B653/10000,0)</f>
        <v>21</v>
      </c>
    </row>
    <row r="654" spans="1:19">
      <c r="A654" s="674" t="str">
        <f>Sheet2!E634</f>
        <v>G1-057</v>
      </c>
      <c r="B654" s="3235">
        <f>Sheet2!F634</f>
        <v>37.520000000000003</v>
      </c>
      <c r="C654" s="3236">
        <f t="shared" si="115"/>
        <v>0.99</v>
      </c>
      <c r="D654" s="676"/>
      <c r="E654" s="3236">
        <f t="shared" si="116"/>
        <v>1</v>
      </c>
      <c r="F654" s="676"/>
      <c r="G654" s="3236">
        <f t="shared" si="117"/>
        <v>1</v>
      </c>
      <c r="H654" s="676"/>
      <c r="I654" s="3236">
        <f t="shared" si="118"/>
        <v>1</v>
      </c>
      <c r="J654" s="676"/>
      <c r="K654" s="3236">
        <f t="shared" si="119"/>
        <v>1</v>
      </c>
      <c r="L654" s="676"/>
      <c r="M654" s="3236">
        <f t="shared" si="120"/>
        <v>1</v>
      </c>
      <c r="N654" s="676"/>
      <c r="O654" s="3236">
        <f t="shared" si="121"/>
        <v>1</v>
      </c>
      <c r="P654" s="676"/>
      <c r="Q654" s="3236">
        <f t="shared" si="122"/>
        <v>1</v>
      </c>
      <c r="R654" s="3237">
        <f t="shared" ca="1" si="123"/>
        <v>5706</v>
      </c>
      <c r="S654" s="1090">
        <f t="shared" ca="1" si="124"/>
        <v>21</v>
      </c>
    </row>
    <row r="655" spans="1:19">
      <c r="A655" s="674" t="str">
        <f>Sheet2!E635</f>
        <v>G1-058</v>
      </c>
      <c r="B655" s="3235">
        <f>Sheet2!F635</f>
        <v>37.520000000000003</v>
      </c>
      <c r="C655" s="3236">
        <f t="shared" si="115"/>
        <v>0.99</v>
      </c>
      <c r="D655" s="676"/>
      <c r="E655" s="3236">
        <f t="shared" si="116"/>
        <v>1</v>
      </c>
      <c r="F655" s="676"/>
      <c r="G655" s="3236">
        <f t="shared" si="117"/>
        <v>1</v>
      </c>
      <c r="H655" s="676"/>
      <c r="I655" s="3236">
        <f t="shared" si="118"/>
        <v>1</v>
      </c>
      <c r="J655" s="676"/>
      <c r="K655" s="3236">
        <f t="shared" si="119"/>
        <v>1</v>
      </c>
      <c r="L655" s="676"/>
      <c r="M655" s="3236">
        <f t="shared" si="120"/>
        <v>1</v>
      </c>
      <c r="N655" s="676"/>
      <c r="O655" s="3236">
        <f t="shared" si="121"/>
        <v>1</v>
      </c>
      <c r="P655" s="676"/>
      <c r="Q655" s="3236">
        <f t="shared" si="122"/>
        <v>1</v>
      </c>
      <c r="R655" s="3237">
        <f t="shared" ca="1" si="123"/>
        <v>5706</v>
      </c>
      <c r="S655" s="1090">
        <f t="shared" ca="1" si="124"/>
        <v>21</v>
      </c>
    </row>
    <row r="656" spans="1:19">
      <c r="A656" s="674" t="str">
        <f>Sheet2!E636</f>
        <v>G1-059</v>
      </c>
      <c r="B656" s="3235">
        <f>Sheet2!F636</f>
        <v>37.520000000000003</v>
      </c>
      <c r="C656" s="3236">
        <f t="shared" si="115"/>
        <v>0.99</v>
      </c>
      <c r="D656" s="676"/>
      <c r="E656" s="3236">
        <f t="shared" si="116"/>
        <v>1</v>
      </c>
      <c r="F656" s="676"/>
      <c r="G656" s="3236">
        <f t="shared" si="117"/>
        <v>1</v>
      </c>
      <c r="H656" s="676"/>
      <c r="I656" s="3236">
        <f t="shared" si="118"/>
        <v>1</v>
      </c>
      <c r="J656" s="676"/>
      <c r="K656" s="3236">
        <f t="shared" si="119"/>
        <v>1</v>
      </c>
      <c r="L656" s="676"/>
      <c r="M656" s="3236">
        <f t="shared" si="120"/>
        <v>1</v>
      </c>
      <c r="N656" s="676"/>
      <c r="O656" s="3236">
        <f t="shared" si="121"/>
        <v>1</v>
      </c>
      <c r="P656" s="676"/>
      <c r="Q656" s="3236">
        <f t="shared" si="122"/>
        <v>1</v>
      </c>
      <c r="R656" s="3237">
        <f t="shared" ca="1" si="123"/>
        <v>5706</v>
      </c>
      <c r="S656" s="1090">
        <f t="shared" ca="1" si="124"/>
        <v>21</v>
      </c>
    </row>
    <row r="657" spans="1:19">
      <c r="A657" s="674" t="str">
        <f>Sheet2!E637</f>
        <v>G1-060</v>
      </c>
      <c r="B657" s="3235">
        <f>Sheet2!F637</f>
        <v>37.520000000000003</v>
      </c>
      <c r="C657" s="3236">
        <f t="shared" si="115"/>
        <v>0.99</v>
      </c>
      <c r="D657" s="676"/>
      <c r="E657" s="3236">
        <f t="shared" si="116"/>
        <v>1</v>
      </c>
      <c r="F657" s="676"/>
      <c r="G657" s="3236">
        <f t="shared" si="117"/>
        <v>1</v>
      </c>
      <c r="H657" s="676"/>
      <c r="I657" s="3236">
        <f t="shared" si="118"/>
        <v>1</v>
      </c>
      <c r="J657" s="676"/>
      <c r="K657" s="3236">
        <f t="shared" si="119"/>
        <v>1</v>
      </c>
      <c r="L657" s="676"/>
      <c r="M657" s="3236">
        <f t="shared" si="120"/>
        <v>1</v>
      </c>
      <c r="N657" s="676"/>
      <c r="O657" s="3236">
        <f t="shared" si="121"/>
        <v>1</v>
      </c>
      <c r="P657" s="676"/>
      <c r="Q657" s="3236">
        <f t="shared" si="122"/>
        <v>1</v>
      </c>
      <c r="R657" s="3237">
        <f t="shared" ca="1" si="123"/>
        <v>5706</v>
      </c>
      <c r="S657" s="1090">
        <f t="shared" ca="1" si="124"/>
        <v>21</v>
      </c>
    </row>
    <row r="658" spans="1:19">
      <c r="A658" s="674" t="str">
        <f>Sheet2!E638</f>
        <v>G1-061</v>
      </c>
      <c r="B658" s="3235">
        <f>Sheet2!F638</f>
        <v>37.520000000000003</v>
      </c>
      <c r="C658" s="3236">
        <f t="shared" si="115"/>
        <v>0.99</v>
      </c>
      <c r="D658" s="676"/>
      <c r="E658" s="3236">
        <f t="shared" si="116"/>
        <v>1</v>
      </c>
      <c r="F658" s="676"/>
      <c r="G658" s="3236">
        <f t="shared" si="117"/>
        <v>1</v>
      </c>
      <c r="H658" s="676"/>
      <c r="I658" s="3236">
        <f t="shared" si="118"/>
        <v>1</v>
      </c>
      <c r="J658" s="676"/>
      <c r="K658" s="3236">
        <f t="shared" si="119"/>
        <v>1</v>
      </c>
      <c r="L658" s="676"/>
      <c r="M658" s="3236">
        <f t="shared" si="120"/>
        <v>1</v>
      </c>
      <c r="N658" s="676"/>
      <c r="O658" s="3236">
        <f t="shared" si="121"/>
        <v>1</v>
      </c>
      <c r="P658" s="676"/>
      <c r="Q658" s="3236">
        <f t="shared" si="122"/>
        <v>1</v>
      </c>
      <c r="R658" s="3237">
        <f t="shared" ca="1" si="123"/>
        <v>5706</v>
      </c>
      <c r="S658" s="1090">
        <f t="shared" ca="1" si="124"/>
        <v>21</v>
      </c>
    </row>
    <row r="659" spans="1:19">
      <c r="A659" s="674" t="str">
        <f>Sheet2!E639</f>
        <v>G1-063</v>
      </c>
      <c r="B659" s="3235">
        <f>Sheet2!F639</f>
        <v>39.090000000000003</v>
      </c>
      <c r="C659" s="3236">
        <f t="shared" si="115"/>
        <v>0.99</v>
      </c>
      <c r="D659" s="676"/>
      <c r="E659" s="3236">
        <f t="shared" si="116"/>
        <v>1</v>
      </c>
      <c r="F659" s="676"/>
      <c r="G659" s="3236">
        <f t="shared" si="117"/>
        <v>1</v>
      </c>
      <c r="H659" s="676"/>
      <c r="I659" s="3236">
        <f t="shared" si="118"/>
        <v>1</v>
      </c>
      <c r="J659" s="676"/>
      <c r="K659" s="3236">
        <f t="shared" si="119"/>
        <v>1</v>
      </c>
      <c r="L659" s="676"/>
      <c r="M659" s="3236">
        <f t="shared" si="120"/>
        <v>1</v>
      </c>
      <c r="N659" s="676"/>
      <c r="O659" s="3236">
        <f t="shared" si="121"/>
        <v>1</v>
      </c>
      <c r="P659" s="676"/>
      <c r="Q659" s="3236">
        <f t="shared" si="122"/>
        <v>1</v>
      </c>
      <c r="R659" s="3237">
        <f t="shared" ca="1" si="123"/>
        <v>5706</v>
      </c>
      <c r="S659" s="1090">
        <f t="shared" ca="1" si="124"/>
        <v>22</v>
      </c>
    </row>
    <row r="660" spans="1:19">
      <c r="A660" s="674" t="str">
        <f>Sheet2!E640</f>
        <v>G1-064</v>
      </c>
      <c r="B660" s="3235">
        <f>Sheet2!F640</f>
        <v>39.090000000000003</v>
      </c>
      <c r="C660" s="3236">
        <f t="shared" si="115"/>
        <v>0.99</v>
      </c>
      <c r="D660" s="676"/>
      <c r="E660" s="3236">
        <f t="shared" si="116"/>
        <v>1</v>
      </c>
      <c r="F660" s="676"/>
      <c r="G660" s="3236">
        <f t="shared" si="117"/>
        <v>1</v>
      </c>
      <c r="H660" s="676"/>
      <c r="I660" s="3236">
        <f t="shared" si="118"/>
        <v>1</v>
      </c>
      <c r="J660" s="676"/>
      <c r="K660" s="3236">
        <f t="shared" si="119"/>
        <v>1</v>
      </c>
      <c r="L660" s="676"/>
      <c r="M660" s="3236">
        <f t="shared" si="120"/>
        <v>1</v>
      </c>
      <c r="N660" s="676"/>
      <c r="O660" s="3236">
        <f t="shared" si="121"/>
        <v>1</v>
      </c>
      <c r="P660" s="676"/>
      <c r="Q660" s="3236">
        <f t="shared" si="122"/>
        <v>1</v>
      </c>
      <c r="R660" s="3237">
        <f t="shared" ca="1" si="123"/>
        <v>5706</v>
      </c>
      <c r="S660" s="1090">
        <f t="shared" ca="1" si="124"/>
        <v>22</v>
      </c>
    </row>
    <row r="661" spans="1:19">
      <c r="A661" s="674" t="str">
        <f>Sheet2!E641</f>
        <v>G1-065</v>
      </c>
      <c r="B661" s="3235">
        <f>Sheet2!F641</f>
        <v>39.090000000000003</v>
      </c>
      <c r="C661" s="3236">
        <f t="shared" si="115"/>
        <v>0.99</v>
      </c>
      <c r="D661" s="676"/>
      <c r="E661" s="3236">
        <f t="shared" si="116"/>
        <v>1</v>
      </c>
      <c r="F661" s="676"/>
      <c r="G661" s="3236">
        <f t="shared" si="117"/>
        <v>1</v>
      </c>
      <c r="H661" s="676"/>
      <c r="I661" s="3236">
        <f t="shared" si="118"/>
        <v>1</v>
      </c>
      <c r="J661" s="676"/>
      <c r="K661" s="3236">
        <f t="shared" si="119"/>
        <v>1</v>
      </c>
      <c r="L661" s="676"/>
      <c r="M661" s="3236">
        <f t="shared" si="120"/>
        <v>1</v>
      </c>
      <c r="N661" s="676"/>
      <c r="O661" s="3236">
        <f t="shared" si="121"/>
        <v>1</v>
      </c>
      <c r="P661" s="676"/>
      <c r="Q661" s="3236">
        <f t="shared" si="122"/>
        <v>1</v>
      </c>
      <c r="R661" s="3237">
        <f t="shared" ca="1" si="123"/>
        <v>5706</v>
      </c>
      <c r="S661" s="1090">
        <f t="shared" ca="1" si="124"/>
        <v>22</v>
      </c>
    </row>
    <row r="662" spans="1:19">
      <c r="A662" s="674" t="str">
        <f>Sheet2!E642</f>
        <v>G1-067</v>
      </c>
      <c r="B662" s="3235">
        <f>Sheet2!F642</f>
        <v>37.520000000000003</v>
      </c>
      <c r="C662" s="3236">
        <f t="shared" si="115"/>
        <v>0.99</v>
      </c>
      <c r="D662" s="676"/>
      <c r="E662" s="3236">
        <f t="shared" si="116"/>
        <v>1</v>
      </c>
      <c r="F662" s="676"/>
      <c r="G662" s="3236">
        <f t="shared" si="117"/>
        <v>1</v>
      </c>
      <c r="H662" s="676"/>
      <c r="I662" s="3236">
        <f t="shared" si="118"/>
        <v>1</v>
      </c>
      <c r="J662" s="676"/>
      <c r="K662" s="3236">
        <f t="shared" si="119"/>
        <v>1</v>
      </c>
      <c r="L662" s="676"/>
      <c r="M662" s="3236">
        <f t="shared" si="120"/>
        <v>1</v>
      </c>
      <c r="N662" s="676"/>
      <c r="O662" s="3236">
        <f t="shared" si="121"/>
        <v>1</v>
      </c>
      <c r="P662" s="676"/>
      <c r="Q662" s="3236">
        <f t="shared" si="122"/>
        <v>1</v>
      </c>
      <c r="R662" s="3237">
        <f t="shared" ca="1" si="123"/>
        <v>5706</v>
      </c>
      <c r="S662" s="1090">
        <f t="shared" ca="1" si="124"/>
        <v>21</v>
      </c>
    </row>
    <row r="663" spans="1:19">
      <c r="A663" s="674" t="str">
        <f>Sheet2!E643</f>
        <v>G1-072</v>
      </c>
      <c r="B663" s="3235">
        <f>Sheet2!F643</f>
        <v>36.020000000000003</v>
      </c>
      <c r="C663" s="3236">
        <f t="shared" si="115"/>
        <v>0.99</v>
      </c>
      <c r="D663" s="676"/>
      <c r="E663" s="3236">
        <f t="shared" si="116"/>
        <v>1</v>
      </c>
      <c r="F663" s="676"/>
      <c r="G663" s="3236">
        <f t="shared" si="117"/>
        <v>1</v>
      </c>
      <c r="H663" s="676"/>
      <c r="I663" s="3236">
        <f t="shared" si="118"/>
        <v>1</v>
      </c>
      <c r="J663" s="676"/>
      <c r="K663" s="3236">
        <f t="shared" si="119"/>
        <v>1</v>
      </c>
      <c r="L663" s="676"/>
      <c r="M663" s="3236">
        <f t="shared" si="120"/>
        <v>1</v>
      </c>
      <c r="N663" s="676"/>
      <c r="O663" s="3236">
        <f t="shared" si="121"/>
        <v>1</v>
      </c>
      <c r="P663" s="676"/>
      <c r="Q663" s="3236">
        <f t="shared" si="122"/>
        <v>1</v>
      </c>
      <c r="R663" s="3237">
        <f t="shared" ca="1" si="123"/>
        <v>5706</v>
      </c>
      <c r="S663" s="1090">
        <f t="shared" ca="1" si="124"/>
        <v>21</v>
      </c>
    </row>
    <row r="664" spans="1:19">
      <c r="A664" s="674" t="str">
        <f>Sheet2!E644</f>
        <v>G1-073</v>
      </c>
      <c r="B664" s="3235">
        <f>Sheet2!F644</f>
        <v>36.020000000000003</v>
      </c>
      <c r="C664" s="3236">
        <f t="shared" si="115"/>
        <v>0.99</v>
      </c>
      <c r="D664" s="676"/>
      <c r="E664" s="3236">
        <f t="shared" si="116"/>
        <v>1</v>
      </c>
      <c r="F664" s="676"/>
      <c r="G664" s="3236">
        <f t="shared" si="117"/>
        <v>1</v>
      </c>
      <c r="H664" s="676"/>
      <c r="I664" s="3236">
        <f t="shared" si="118"/>
        <v>1</v>
      </c>
      <c r="J664" s="676"/>
      <c r="K664" s="3236">
        <f t="shared" si="119"/>
        <v>1</v>
      </c>
      <c r="L664" s="676"/>
      <c r="M664" s="3236">
        <f t="shared" si="120"/>
        <v>1</v>
      </c>
      <c r="N664" s="676"/>
      <c r="O664" s="3236">
        <f t="shared" si="121"/>
        <v>1</v>
      </c>
      <c r="P664" s="676"/>
      <c r="Q664" s="3236">
        <f t="shared" si="122"/>
        <v>1</v>
      </c>
      <c r="R664" s="3237">
        <f t="shared" ca="1" si="123"/>
        <v>5706</v>
      </c>
      <c r="S664" s="1090">
        <f t="shared" ca="1" si="124"/>
        <v>21</v>
      </c>
    </row>
    <row r="665" spans="1:19">
      <c r="A665" s="674" t="str">
        <f>Sheet2!E645</f>
        <v>G1-074</v>
      </c>
      <c r="B665" s="3235">
        <f>Sheet2!F645</f>
        <v>36.020000000000003</v>
      </c>
      <c r="C665" s="3236">
        <f t="shared" si="115"/>
        <v>0.99</v>
      </c>
      <c r="D665" s="676"/>
      <c r="E665" s="3236">
        <f t="shared" si="116"/>
        <v>1</v>
      </c>
      <c r="F665" s="676"/>
      <c r="G665" s="3236">
        <f t="shared" si="117"/>
        <v>1</v>
      </c>
      <c r="H665" s="676"/>
      <c r="I665" s="3236">
        <f t="shared" si="118"/>
        <v>1</v>
      </c>
      <c r="J665" s="676"/>
      <c r="K665" s="3236">
        <f t="shared" si="119"/>
        <v>1</v>
      </c>
      <c r="L665" s="676"/>
      <c r="M665" s="3236">
        <f t="shared" si="120"/>
        <v>1</v>
      </c>
      <c r="N665" s="676"/>
      <c r="O665" s="3236">
        <f t="shared" si="121"/>
        <v>1</v>
      </c>
      <c r="P665" s="676"/>
      <c r="Q665" s="3236">
        <f t="shared" si="122"/>
        <v>1</v>
      </c>
      <c r="R665" s="3237">
        <f t="shared" ca="1" si="123"/>
        <v>5706</v>
      </c>
      <c r="S665" s="1090">
        <f t="shared" ca="1" si="124"/>
        <v>21</v>
      </c>
    </row>
    <row r="666" spans="1:19">
      <c r="A666" s="674" t="str">
        <f>Sheet2!E646</f>
        <v>G1-075</v>
      </c>
      <c r="B666" s="3235">
        <f>Sheet2!F646</f>
        <v>36.020000000000003</v>
      </c>
      <c r="C666" s="3236">
        <f t="shared" si="115"/>
        <v>0.99</v>
      </c>
      <c r="D666" s="676"/>
      <c r="E666" s="3236">
        <f t="shared" si="116"/>
        <v>1</v>
      </c>
      <c r="F666" s="676"/>
      <c r="G666" s="3236">
        <f t="shared" si="117"/>
        <v>1</v>
      </c>
      <c r="H666" s="676"/>
      <c r="I666" s="3236">
        <f t="shared" si="118"/>
        <v>1</v>
      </c>
      <c r="J666" s="676"/>
      <c r="K666" s="3236">
        <f t="shared" si="119"/>
        <v>1</v>
      </c>
      <c r="L666" s="676"/>
      <c r="M666" s="3236">
        <f t="shared" si="120"/>
        <v>1</v>
      </c>
      <c r="N666" s="676"/>
      <c r="O666" s="3236">
        <f t="shared" si="121"/>
        <v>1</v>
      </c>
      <c r="P666" s="676"/>
      <c r="Q666" s="3236">
        <f t="shared" si="122"/>
        <v>1</v>
      </c>
      <c r="R666" s="3237">
        <f t="shared" ca="1" si="123"/>
        <v>5706</v>
      </c>
      <c r="S666" s="1090">
        <f t="shared" ca="1" si="124"/>
        <v>21</v>
      </c>
    </row>
    <row r="667" spans="1:19">
      <c r="A667" s="674" t="str">
        <f>Sheet2!E647</f>
        <v>G1-076</v>
      </c>
      <c r="B667" s="3235">
        <f>Sheet2!F647</f>
        <v>36.020000000000003</v>
      </c>
      <c r="C667" s="3236">
        <f t="shared" si="115"/>
        <v>0.99</v>
      </c>
      <c r="D667" s="676"/>
      <c r="E667" s="3236">
        <f t="shared" si="116"/>
        <v>1</v>
      </c>
      <c r="F667" s="676"/>
      <c r="G667" s="3236">
        <f t="shared" si="117"/>
        <v>1</v>
      </c>
      <c r="H667" s="676"/>
      <c r="I667" s="3236">
        <f t="shared" si="118"/>
        <v>1</v>
      </c>
      <c r="J667" s="676"/>
      <c r="K667" s="3236">
        <f t="shared" si="119"/>
        <v>1</v>
      </c>
      <c r="L667" s="676"/>
      <c r="M667" s="3236">
        <f t="shared" si="120"/>
        <v>1</v>
      </c>
      <c r="N667" s="676"/>
      <c r="O667" s="3236">
        <f t="shared" si="121"/>
        <v>1</v>
      </c>
      <c r="P667" s="676"/>
      <c r="Q667" s="3236">
        <f t="shared" si="122"/>
        <v>1</v>
      </c>
      <c r="R667" s="3237">
        <f t="shared" ca="1" si="123"/>
        <v>5706</v>
      </c>
      <c r="S667" s="1090">
        <f t="shared" ca="1" si="124"/>
        <v>21</v>
      </c>
    </row>
    <row r="668" spans="1:19">
      <c r="A668" s="674" t="str">
        <f>Sheet2!E648</f>
        <v>G1-077</v>
      </c>
      <c r="B668" s="3235">
        <f>Sheet2!F648</f>
        <v>36.020000000000003</v>
      </c>
      <c r="C668" s="3236">
        <f t="shared" si="115"/>
        <v>0.99</v>
      </c>
      <c r="D668" s="676"/>
      <c r="E668" s="3236">
        <f t="shared" si="116"/>
        <v>1</v>
      </c>
      <c r="F668" s="676"/>
      <c r="G668" s="3236">
        <f t="shared" si="117"/>
        <v>1</v>
      </c>
      <c r="H668" s="676"/>
      <c r="I668" s="3236">
        <f t="shared" si="118"/>
        <v>1</v>
      </c>
      <c r="J668" s="676"/>
      <c r="K668" s="3236">
        <f t="shared" si="119"/>
        <v>1</v>
      </c>
      <c r="L668" s="676"/>
      <c r="M668" s="3236">
        <f t="shared" si="120"/>
        <v>1</v>
      </c>
      <c r="N668" s="676"/>
      <c r="O668" s="3236">
        <f t="shared" si="121"/>
        <v>1</v>
      </c>
      <c r="P668" s="676"/>
      <c r="Q668" s="3236">
        <f t="shared" si="122"/>
        <v>1</v>
      </c>
      <c r="R668" s="3237">
        <f t="shared" ca="1" si="123"/>
        <v>5706</v>
      </c>
      <c r="S668" s="1090">
        <f t="shared" ca="1" si="124"/>
        <v>21</v>
      </c>
    </row>
    <row r="669" spans="1:19">
      <c r="A669" s="674" t="str">
        <f>Sheet2!E649</f>
        <v>G1-078</v>
      </c>
      <c r="B669" s="3235">
        <f>Sheet2!F649</f>
        <v>36.020000000000003</v>
      </c>
      <c r="C669" s="3236">
        <f t="shared" si="115"/>
        <v>0.99</v>
      </c>
      <c r="D669" s="676"/>
      <c r="E669" s="3236">
        <f t="shared" si="116"/>
        <v>1</v>
      </c>
      <c r="F669" s="676"/>
      <c r="G669" s="3236">
        <f t="shared" si="117"/>
        <v>1</v>
      </c>
      <c r="H669" s="676"/>
      <c r="I669" s="3236">
        <f t="shared" si="118"/>
        <v>1</v>
      </c>
      <c r="J669" s="676"/>
      <c r="K669" s="3236">
        <f t="shared" si="119"/>
        <v>1</v>
      </c>
      <c r="L669" s="676"/>
      <c r="M669" s="3236">
        <f t="shared" si="120"/>
        <v>1</v>
      </c>
      <c r="N669" s="676"/>
      <c r="O669" s="3236">
        <f t="shared" si="121"/>
        <v>1</v>
      </c>
      <c r="P669" s="676"/>
      <c r="Q669" s="3236">
        <f t="shared" si="122"/>
        <v>1</v>
      </c>
      <c r="R669" s="3237">
        <f t="shared" ca="1" si="123"/>
        <v>5706</v>
      </c>
      <c r="S669" s="1090">
        <f t="shared" ca="1" si="124"/>
        <v>21</v>
      </c>
    </row>
    <row r="670" spans="1:19">
      <c r="A670" s="674" t="str">
        <f>Sheet2!E650</f>
        <v>G1-079</v>
      </c>
      <c r="B670" s="3235">
        <f>Sheet2!F650</f>
        <v>36.020000000000003</v>
      </c>
      <c r="C670" s="3236">
        <f t="shared" si="115"/>
        <v>0.99</v>
      </c>
      <c r="D670" s="676"/>
      <c r="E670" s="3236">
        <f t="shared" si="116"/>
        <v>1</v>
      </c>
      <c r="F670" s="676"/>
      <c r="G670" s="3236">
        <f t="shared" si="117"/>
        <v>1</v>
      </c>
      <c r="H670" s="676"/>
      <c r="I670" s="3236">
        <f t="shared" si="118"/>
        <v>1</v>
      </c>
      <c r="J670" s="676"/>
      <c r="K670" s="3236">
        <f t="shared" si="119"/>
        <v>1</v>
      </c>
      <c r="L670" s="676"/>
      <c r="M670" s="3236">
        <f t="shared" si="120"/>
        <v>1</v>
      </c>
      <c r="N670" s="676"/>
      <c r="O670" s="3236">
        <f t="shared" si="121"/>
        <v>1</v>
      </c>
      <c r="P670" s="676"/>
      <c r="Q670" s="3236">
        <f t="shared" si="122"/>
        <v>1</v>
      </c>
      <c r="R670" s="3237">
        <f t="shared" ca="1" si="123"/>
        <v>5706</v>
      </c>
      <c r="S670" s="1090">
        <f t="shared" ca="1" si="124"/>
        <v>21</v>
      </c>
    </row>
    <row r="671" spans="1:19">
      <c r="A671" s="674" t="str">
        <f>Sheet2!E651</f>
        <v>G1-080</v>
      </c>
      <c r="B671" s="3235">
        <f>Sheet2!F651</f>
        <v>36.020000000000003</v>
      </c>
      <c r="C671" s="3236">
        <f t="shared" si="115"/>
        <v>0.99</v>
      </c>
      <c r="D671" s="676"/>
      <c r="E671" s="3236">
        <f t="shared" si="116"/>
        <v>1</v>
      </c>
      <c r="F671" s="676"/>
      <c r="G671" s="3236">
        <f t="shared" si="117"/>
        <v>1</v>
      </c>
      <c r="H671" s="676"/>
      <c r="I671" s="3236">
        <f t="shared" si="118"/>
        <v>1</v>
      </c>
      <c r="J671" s="676"/>
      <c r="K671" s="3236">
        <f t="shared" si="119"/>
        <v>1</v>
      </c>
      <c r="L671" s="676"/>
      <c r="M671" s="3236">
        <f t="shared" si="120"/>
        <v>1</v>
      </c>
      <c r="N671" s="676"/>
      <c r="O671" s="3236">
        <f t="shared" si="121"/>
        <v>1</v>
      </c>
      <c r="P671" s="676"/>
      <c r="Q671" s="3236">
        <f t="shared" si="122"/>
        <v>1</v>
      </c>
      <c r="R671" s="3237">
        <f t="shared" ca="1" si="123"/>
        <v>5706</v>
      </c>
      <c r="S671" s="1090">
        <f t="shared" ca="1" si="124"/>
        <v>21</v>
      </c>
    </row>
    <row r="672" spans="1:19">
      <c r="A672" s="674" t="str">
        <f>Sheet2!E652</f>
        <v>G1-081</v>
      </c>
      <c r="B672" s="3235">
        <f>Sheet2!F652</f>
        <v>36.020000000000003</v>
      </c>
      <c r="C672" s="3236">
        <f t="shared" si="115"/>
        <v>0.99</v>
      </c>
      <c r="D672" s="676"/>
      <c r="E672" s="3236">
        <f t="shared" si="116"/>
        <v>1</v>
      </c>
      <c r="F672" s="676"/>
      <c r="G672" s="3236">
        <f t="shared" si="117"/>
        <v>1</v>
      </c>
      <c r="H672" s="676"/>
      <c r="I672" s="3236">
        <f t="shared" si="118"/>
        <v>1</v>
      </c>
      <c r="J672" s="676"/>
      <c r="K672" s="3236">
        <f t="shared" si="119"/>
        <v>1</v>
      </c>
      <c r="L672" s="676"/>
      <c r="M672" s="3236">
        <f t="shared" si="120"/>
        <v>1</v>
      </c>
      <c r="N672" s="676"/>
      <c r="O672" s="3236">
        <f t="shared" si="121"/>
        <v>1</v>
      </c>
      <c r="P672" s="676"/>
      <c r="Q672" s="3236">
        <f t="shared" si="122"/>
        <v>1</v>
      </c>
      <c r="R672" s="3237">
        <f t="shared" ca="1" si="123"/>
        <v>5706</v>
      </c>
      <c r="S672" s="1090">
        <f t="shared" ca="1" si="124"/>
        <v>21</v>
      </c>
    </row>
    <row r="673" spans="1:19">
      <c r="A673" s="674" t="str">
        <f>Sheet2!E653</f>
        <v>G1-082</v>
      </c>
      <c r="B673" s="3235">
        <f>Sheet2!F653</f>
        <v>36.020000000000003</v>
      </c>
      <c r="C673" s="3236">
        <f t="shared" si="115"/>
        <v>0.99</v>
      </c>
      <c r="D673" s="676"/>
      <c r="E673" s="3236">
        <f t="shared" si="116"/>
        <v>1</v>
      </c>
      <c r="F673" s="676"/>
      <c r="G673" s="3236">
        <f t="shared" si="117"/>
        <v>1</v>
      </c>
      <c r="H673" s="676"/>
      <c r="I673" s="3236">
        <f t="shared" si="118"/>
        <v>1</v>
      </c>
      <c r="J673" s="676"/>
      <c r="K673" s="3236">
        <f t="shared" si="119"/>
        <v>1</v>
      </c>
      <c r="L673" s="676"/>
      <c r="M673" s="3236">
        <f t="shared" si="120"/>
        <v>1</v>
      </c>
      <c r="N673" s="676"/>
      <c r="O673" s="3236">
        <f t="shared" si="121"/>
        <v>1</v>
      </c>
      <c r="P673" s="676"/>
      <c r="Q673" s="3236">
        <f t="shared" si="122"/>
        <v>1</v>
      </c>
      <c r="R673" s="3237">
        <f t="shared" ca="1" si="123"/>
        <v>5706</v>
      </c>
      <c r="S673" s="1090">
        <f t="shared" ca="1" si="124"/>
        <v>21</v>
      </c>
    </row>
    <row r="674" spans="1:19">
      <c r="A674" s="674" t="str">
        <f>Sheet2!E654</f>
        <v>G1-083</v>
      </c>
      <c r="B674" s="3235">
        <f>Sheet2!F654</f>
        <v>36.020000000000003</v>
      </c>
      <c r="C674" s="3236">
        <f t="shared" si="115"/>
        <v>0.99</v>
      </c>
      <c r="D674" s="676"/>
      <c r="E674" s="3236">
        <f t="shared" si="116"/>
        <v>1</v>
      </c>
      <c r="F674" s="676"/>
      <c r="G674" s="3236">
        <f t="shared" si="117"/>
        <v>1</v>
      </c>
      <c r="H674" s="676"/>
      <c r="I674" s="3236">
        <f t="shared" si="118"/>
        <v>1</v>
      </c>
      <c r="J674" s="676"/>
      <c r="K674" s="3236">
        <f t="shared" si="119"/>
        <v>1</v>
      </c>
      <c r="L674" s="676"/>
      <c r="M674" s="3236">
        <f t="shared" si="120"/>
        <v>1</v>
      </c>
      <c r="N674" s="676"/>
      <c r="O674" s="3236">
        <f t="shared" si="121"/>
        <v>1</v>
      </c>
      <c r="P674" s="676"/>
      <c r="Q674" s="3236">
        <f t="shared" si="122"/>
        <v>1</v>
      </c>
      <c r="R674" s="3237">
        <f t="shared" ca="1" si="123"/>
        <v>5706</v>
      </c>
      <c r="S674" s="1090">
        <f t="shared" ca="1" si="124"/>
        <v>21</v>
      </c>
    </row>
    <row r="675" spans="1:19">
      <c r="A675" s="674" t="str">
        <f>Sheet2!E655</f>
        <v>G1-084</v>
      </c>
      <c r="B675" s="3235">
        <f>Sheet2!F655</f>
        <v>37.520000000000003</v>
      </c>
      <c r="C675" s="3236">
        <f t="shared" si="115"/>
        <v>0.99</v>
      </c>
      <c r="D675" s="676"/>
      <c r="E675" s="3236">
        <f t="shared" si="116"/>
        <v>1</v>
      </c>
      <c r="F675" s="676"/>
      <c r="G675" s="3236">
        <f t="shared" si="117"/>
        <v>1</v>
      </c>
      <c r="H675" s="676"/>
      <c r="I675" s="3236">
        <f t="shared" si="118"/>
        <v>1</v>
      </c>
      <c r="J675" s="676"/>
      <c r="K675" s="3236">
        <f t="shared" si="119"/>
        <v>1</v>
      </c>
      <c r="L675" s="676"/>
      <c r="M675" s="3236">
        <f t="shared" si="120"/>
        <v>1</v>
      </c>
      <c r="N675" s="676"/>
      <c r="O675" s="3236">
        <f t="shared" si="121"/>
        <v>1</v>
      </c>
      <c r="P675" s="676"/>
      <c r="Q675" s="3236">
        <f t="shared" si="122"/>
        <v>1</v>
      </c>
      <c r="R675" s="3237">
        <f t="shared" ca="1" si="123"/>
        <v>5706</v>
      </c>
      <c r="S675" s="1090">
        <f t="shared" ca="1" si="124"/>
        <v>21</v>
      </c>
    </row>
    <row r="676" spans="1:19">
      <c r="A676" s="674" t="str">
        <f>Sheet2!E656</f>
        <v>G1-089</v>
      </c>
      <c r="B676" s="3235">
        <f>Sheet2!F656</f>
        <v>37.520000000000003</v>
      </c>
      <c r="C676" s="3236">
        <f t="shared" si="115"/>
        <v>0.99</v>
      </c>
      <c r="D676" s="676"/>
      <c r="E676" s="3236">
        <f t="shared" si="116"/>
        <v>1</v>
      </c>
      <c r="F676" s="676"/>
      <c r="G676" s="3236">
        <f t="shared" si="117"/>
        <v>1</v>
      </c>
      <c r="H676" s="676"/>
      <c r="I676" s="3236">
        <f t="shared" si="118"/>
        <v>1</v>
      </c>
      <c r="J676" s="676"/>
      <c r="K676" s="3236">
        <f t="shared" si="119"/>
        <v>1</v>
      </c>
      <c r="L676" s="676"/>
      <c r="M676" s="3236">
        <f t="shared" si="120"/>
        <v>1</v>
      </c>
      <c r="N676" s="676"/>
      <c r="O676" s="3236">
        <f t="shared" si="121"/>
        <v>1</v>
      </c>
      <c r="P676" s="676"/>
      <c r="Q676" s="3236">
        <f t="shared" si="122"/>
        <v>1</v>
      </c>
      <c r="R676" s="3237">
        <f t="shared" ca="1" si="123"/>
        <v>5706</v>
      </c>
      <c r="S676" s="1090">
        <f t="shared" ca="1" si="124"/>
        <v>21</v>
      </c>
    </row>
    <row r="677" spans="1:19">
      <c r="A677" s="674" t="str">
        <f>Sheet2!E657</f>
        <v>G1-090</v>
      </c>
      <c r="B677" s="3235">
        <f>Sheet2!F657</f>
        <v>37.520000000000003</v>
      </c>
      <c r="C677" s="3236">
        <f t="shared" si="115"/>
        <v>0.99</v>
      </c>
      <c r="D677" s="676"/>
      <c r="E677" s="3236">
        <f t="shared" si="116"/>
        <v>1</v>
      </c>
      <c r="F677" s="676"/>
      <c r="G677" s="3236">
        <f t="shared" si="117"/>
        <v>1</v>
      </c>
      <c r="H677" s="676"/>
      <c r="I677" s="3236">
        <f t="shared" si="118"/>
        <v>1</v>
      </c>
      <c r="J677" s="676"/>
      <c r="K677" s="3236">
        <f t="shared" si="119"/>
        <v>1</v>
      </c>
      <c r="L677" s="676"/>
      <c r="M677" s="3236">
        <f t="shared" si="120"/>
        <v>1</v>
      </c>
      <c r="N677" s="676"/>
      <c r="O677" s="3236">
        <f t="shared" si="121"/>
        <v>1</v>
      </c>
      <c r="P677" s="676"/>
      <c r="Q677" s="3236">
        <f t="shared" si="122"/>
        <v>1</v>
      </c>
      <c r="R677" s="3237">
        <f t="shared" ca="1" si="123"/>
        <v>5706</v>
      </c>
      <c r="S677" s="1090">
        <f t="shared" ca="1" si="124"/>
        <v>21</v>
      </c>
    </row>
    <row r="678" spans="1:19">
      <c r="A678" s="674" t="str">
        <f>Sheet2!E658</f>
        <v>G1-091</v>
      </c>
      <c r="B678" s="3235">
        <f>Sheet2!F658</f>
        <v>42.21</v>
      </c>
      <c r="C678" s="3236">
        <f t="shared" si="115"/>
        <v>0.99</v>
      </c>
      <c r="D678" s="676"/>
      <c r="E678" s="3236">
        <f t="shared" si="116"/>
        <v>1</v>
      </c>
      <c r="F678" s="676"/>
      <c r="G678" s="3236">
        <f t="shared" si="117"/>
        <v>1</v>
      </c>
      <c r="H678" s="676"/>
      <c r="I678" s="3236">
        <f t="shared" si="118"/>
        <v>1</v>
      </c>
      <c r="J678" s="676"/>
      <c r="K678" s="3236">
        <f t="shared" si="119"/>
        <v>1</v>
      </c>
      <c r="L678" s="676"/>
      <c r="M678" s="3236">
        <f t="shared" si="120"/>
        <v>1</v>
      </c>
      <c r="N678" s="676"/>
      <c r="O678" s="3236">
        <f t="shared" si="121"/>
        <v>1</v>
      </c>
      <c r="P678" s="676"/>
      <c r="Q678" s="3236">
        <f t="shared" si="122"/>
        <v>1</v>
      </c>
      <c r="R678" s="3237">
        <f t="shared" ca="1" si="123"/>
        <v>5706</v>
      </c>
      <c r="S678" s="1090">
        <f t="shared" ca="1" si="124"/>
        <v>24</v>
      </c>
    </row>
    <row r="679" spans="1:19">
      <c r="A679" s="674" t="str">
        <f>Sheet2!E659</f>
        <v>G1-092</v>
      </c>
      <c r="B679" s="3235">
        <f>Sheet2!F659</f>
        <v>39.090000000000003</v>
      </c>
      <c r="C679" s="3236">
        <f t="shared" si="115"/>
        <v>0.99</v>
      </c>
      <c r="D679" s="676"/>
      <c r="E679" s="3236">
        <f t="shared" si="116"/>
        <v>1</v>
      </c>
      <c r="F679" s="676"/>
      <c r="G679" s="3236">
        <f t="shared" si="117"/>
        <v>1</v>
      </c>
      <c r="H679" s="676"/>
      <c r="I679" s="3236">
        <f t="shared" si="118"/>
        <v>1</v>
      </c>
      <c r="J679" s="676"/>
      <c r="K679" s="3236">
        <f t="shared" si="119"/>
        <v>1</v>
      </c>
      <c r="L679" s="676"/>
      <c r="M679" s="3236">
        <f t="shared" si="120"/>
        <v>1</v>
      </c>
      <c r="N679" s="676"/>
      <c r="O679" s="3236">
        <f t="shared" si="121"/>
        <v>1</v>
      </c>
      <c r="P679" s="676"/>
      <c r="Q679" s="3236">
        <f t="shared" si="122"/>
        <v>1</v>
      </c>
      <c r="R679" s="3237">
        <f t="shared" ca="1" si="123"/>
        <v>5706</v>
      </c>
      <c r="S679" s="1090">
        <f t="shared" ca="1" si="124"/>
        <v>22</v>
      </c>
    </row>
    <row r="680" spans="1:19">
      <c r="A680" s="674" t="str">
        <f>Sheet2!E660</f>
        <v>G1-093</v>
      </c>
      <c r="B680" s="3235">
        <f>Sheet2!F660</f>
        <v>39.090000000000003</v>
      </c>
      <c r="C680" s="3236">
        <f t="shared" si="115"/>
        <v>0.99</v>
      </c>
      <c r="D680" s="676"/>
      <c r="E680" s="3236">
        <f t="shared" si="116"/>
        <v>1</v>
      </c>
      <c r="F680" s="676"/>
      <c r="G680" s="3236">
        <f t="shared" si="117"/>
        <v>1</v>
      </c>
      <c r="H680" s="676"/>
      <c r="I680" s="3236">
        <f t="shared" si="118"/>
        <v>1</v>
      </c>
      <c r="J680" s="676"/>
      <c r="K680" s="3236">
        <f t="shared" si="119"/>
        <v>1</v>
      </c>
      <c r="L680" s="676"/>
      <c r="M680" s="3236">
        <f t="shared" si="120"/>
        <v>1</v>
      </c>
      <c r="N680" s="676"/>
      <c r="O680" s="3236">
        <f t="shared" si="121"/>
        <v>1</v>
      </c>
      <c r="P680" s="676"/>
      <c r="Q680" s="3236">
        <f t="shared" si="122"/>
        <v>1</v>
      </c>
      <c r="R680" s="3237">
        <f t="shared" ca="1" si="123"/>
        <v>5706</v>
      </c>
      <c r="S680" s="1090">
        <f t="shared" ca="1" si="124"/>
        <v>22</v>
      </c>
    </row>
    <row r="681" spans="1:19">
      <c r="A681" s="674" t="str">
        <f>Sheet2!E661</f>
        <v>G1-094</v>
      </c>
      <c r="B681" s="3235">
        <f>Sheet2!F661</f>
        <v>39.090000000000003</v>
      </c>
      <c r="C681" s="3236">
        <f t="shared" si="115"/>
        <v>0.99</v>
      </c>
      <c r="D681" s="676"/>
      <c r="E681" s="3236">
        <f t="shared" si="116"/>
        <v>1</v>
      </c>
      <c r="F681" s="676"/>
      <c r="G681" s="3236">
        <f t="shared" si="117"/>
        <v>1</v>
      </c>
      <c r="H681" s="676"/>
      <c r="I681" s="3236">
        <f t="shared" si="118"/>
        <v>1</v>
      </c>
      <c r="J681" s="676"/>
      <c r="K681" s="3236">
        <f t="shared" si="119"/>
        <v>1</v>
      </c>
      <c r="L681" s="676"/>
      <c r="M681" s="3236">
        <f t="shared" si="120"/>
        <v>1</v>
      </c>
      <c r="N681" s="676"/>
      <c r="O681" s="3236">
        <f t="shared" si="121"/>
        <v>1</v>
      </c>
      <c r="P681" s="676"/>
      <c r="Q681" s="3236">
        <f t="shared" si="122"/>
        <v>1</v>
      </c>
      <c r="R681" s="3237">
        <f t="shared" ca="1" si="123"/>
        <v>5706</v>
      </c>
      <c r="S681" s="1090">
        <f t="shared" ca="1" si="124"/>
        <v>22</v>
      </c>
    </row>
    <row r="682" spans="1:19">
      <c r="A682" s="674" t="str">
        <f>Sheet2!E662</f>
        <v>G1-095</v>
      </c>
      <c r="B682" s="3235">
        <f>Sheet2!F662</f>
        <v>37.520000000000003</v>
      </c>
      <c r="C682" s="3236">
        <f t="shared" si="115"/>
        <v>0.99</v>
      </c>
      <c r="D682" s="676"/>
      <c r="E682" s="3236">
        <f t="shared" si="116"/>
        <v>1</v>
      </c>
      <c r="F682" s="676"/>
      <c r="G682" s="3236">
        <f t="shared" si="117"/>
        <v>1</v>
      </c>
      <c r="H682" s="676"/>
      <c r="I682" s="3236">
        <f t="shared" si="118"/>
        <v>1</v>
      </c>
      <c r="J682" s="676"/>
      <c r="K682" s="3236">
        <f t="shared" si="119"/>
        <v>1</v>
      </c>
      <c r="L682" s="676"/>
      <c r="M682" s="3236">
        <f t="shared" si="120"/>
        <v>1</v>
      </c>
      <c r="N682" s="676"/>
      <c r="O682" s="3236">
        <f t="shared" si="121"/>
        <v>1</v>
      </c>
      <c r="P682" s="676"/>
      <c r="Q682" s="3236">
        <f t="shared" si="122"/>
        <v>1</v>
      </c>
      <c r="R682" s="3237">
        <f t="shared" ca="1" si="123"/>
        <v>5706</v>
      </c>
      <c r="S682" s="1090">
        <f t="shared" ca="1" si="124"/>
        <v>21</v>
      </c>
    </row>
    <row r="683" spans="1:19">
      <c r="A683" s="674" t="str">
        <f>Sheet2!E663</f>
        <v>G1-096</v>
      </c>
      <c r="B683" s="3235">
        <f>Sheet2!F663</f>
        <v>37.520000000000003</v>
      </c>
      <c r="C683" s="3236">
        <f t="shared" si="115"/>
        <v>0.99</v>
      </c>
      <c r="D683" s="676"/>
      <c r="E683" s="3236">
        <f t="shared" si="116"/>
        <v>1</v>
      </c>
      <c r="F683" s="676"/>
      <c r="G683" s="3236">
        <f t="shared" si="117"/>
        <v>1</v>
      </c>
      <c r="H683" s="676"/>
      <c r="I683" s="3236">
        <f t="shared" si="118"/>
        <v>1</v>
      </c>
      <c r="J683" s="676"/>
      <c r="K683" s="3236">
        <f t="shared" si="119"/>
        <v>1</v>
      </c>
      <c r="L683" s="676"/>
      <c r="M683" s="3236">
        <f t="shared" si="120"/>
        <v>1</v>
      </c>
      <c r="N683" s="676"/>
      <c r="O683" s="3236">
        <f t="shared" si="121"/>
        <v>1</v>
      </c>
      <c r="P683" s="676"/>
      <c r="Q683" s="3236">
        <f t="shared" si="122"/>
        <v>1</v>
      </c>
      <c r="R683" s="3237">
        <f t="shared" ca="1" si="123"/>
        <v>5706</v>
      </c>
      <c r="S683" s="1090">
        <f t="shared" ca="1" si="124"/>
        <v>21</v>
      </c>
    </row>
    <row r="684" spans="1:19">
      <c r="A684" s="674" t="str">
        <f>Sheet2!E664</f>
        <v>G1-097</v>
      </c>
      <c r="B684" s="3235">
        <f>Sheet2!F664</f>
        <v>37.520000000000003</v>
      </c>
      <c r="C684" s="3236">
        <f t="shared" si="115"/>
        <v>0.99</v>
      </c>
      <c r="D684" s="676"/>
      <c r="E684" s="3236">
        <f t="shared" si="116"/>
        <v>1</v>
      </c>
      <c r="F684" s="676"/>
      <c r="G684" s="3236">
        <f t="shared" si="117"/>
        <v>1</v>
      </c>
      <c r="H684" s="676"/>
      <c r="I684" s="3236">
        <f t="shared" si="118"/>
        <v>1</v>
      </c>
      <c r="J684" s="676"/>
      <c r="K684" s="3236">
        <f t="shared" si="119"/>
        <v>1</v>
      </c>
      <c r="L684" s="676"/>
      <c r="M684" s="3236">
        <f t="shared" si="120"/>
        <v>1</v>
      </c>
      <c r="N684" s="676"/>
      <c r="O684" s="3236">
        <f t="shared" si="121"/>
        <v>1</v>
      </c>
      <c r="P684" s="676"/>
      <c r="Q684" s="3236">
        <f t="shared" si="122"/>
        <v>1</v>
      </c>
      <c r="R684" s="3237">
        <f t="shared" ca="1" si="123"/>
        <v>5706</v>
      </c>
      <c r="S684" s="1090">
        <f t="shared" ca="1" si="124"/>
        <v>21</v>
      </c>
    </row>
    <row r="685" spans="1:19">
      <c r="A685" s="674" t="str">
        <f>Sheet2!E665</f>
        <v>H1-022</v>
      </c>
      <c r="B685" s="3235">
        <f>Sheet2!F665</f>
        <v>39.090000000000003</v>
      </c>
      <c r="C685" s="3236">
        <f t="shared" si="115"/>
        <v>0.99</v>
      </c>
      <c r="D685" s="676"/>
      <c r="E685" s="3236">
        <f t="shared" si="116"/>
        <v>1</v>
      </c>
      <c r="F685" s="676"/>
      <c r="G685" s="3236">
        <f t="shared" si="117"/>
        <v>1</v>
      </c>
      <c r="H685" s="676"/>
      <c r="I685" s="3236">
        <f t="shared" si="118"/>
        <v>1</v>
      </c>
      <c r="J685" s="676"/>
      <c r="K685" s="3236">
        <f t="shared" si="119"/>
        <v>1</v>
      </c>
      <c r="L685" s="676"/>
      <c r="M685" s="3236">
        <f t="shared" si="120"/>
        <v>1</v>
      </c>
      <c r="N685" s="676"/>
      <c r="O685" s="3236">
        <f t="shared" si="121"/>
        <v>1</v>
      </c>
      <c r="P685" s="676"/>
      <c r="Q685" s="3236">
        <f t="shared" si="122"/>
        <v>1</v>
      </c>
      <c r="R685" s="3237">
        <f t="shared" ca="1" si="123"/>
        <v>5706</v>
      </c>
      <c r="S685" s="1090">
        <f t="shared" ca="1" si="124"/>
        <v>22</v>
      </c>
    </row>
    <row r="686" spans="1:19">
      <c r="A686" s="674" t="str">
        <f>Sheet2!E666</f>
        <v>H1-023</v>
      </c>
      <c r="B686" s="3235">
        <f>Sheet2!F666</f>
        <v>39.090000000000003</v>
      </c>
      <c r="C686" s="3236">
        <f t="shared" si="115"/>
        <v>0.99</v>
      </c>
      <c r="D686" s="676"/>
      <c r="E686" s="3236">
        <f t="shared" si="116"/>
        <v>1</v>
      </c>
      <c r="F686" s="676"/>
      <c r="G686" s="3236">
        <f t="shared" si="117"/>
        <v>1</v>
      </c>
      <c r="H686" s="676"/>
      <c r="I686" s="3236">
        <f t="shared" si="118"/>
        <v>1</v>
      </c>
      <c r="J686" s="676"/>
      <c r="K686" s="3236">
        <f t="shared" si="119"/>
        <v>1</v>
      </c>
      <c r="L686" s="676"/>
      <c r="M686" s="3236">
        <f t="shared" si="120"/>
        <v>1</v>
      </c>
      <c r="N686" s="676"/>
      <c r="O686" s="3236">
        <f t="shared" si="121"/>
        <v>1</v>
      </c>
      <c r="P686" s="676"/>
      <c r="Q686" s="3236">
        <f t="shared" si="122"/>
        <v>1</v>
      </c>
      <c r="R686" s="3237">
        <f t="shared" ca="1" si="123"/>
        <v>5706</v>
      </c>
      <c r="S686" s="1090">
        <f t="shared" ca="1" si="124"/>
        <v>22</v>
      </c>
    </row>
    <row r="687" spans="1:19">
      <c r="A687" s="674" t="str">
        <f>Sheet2!E667</f>
        <v>H1-024</v>
      </c>
      <c r="B687" s="3235">
        <f>Sheet2!F667</f>
        <v>39.090000000000003</v>
      </c>
      <c r="C687" s="3236">
        <f t="shared" si="115"/>
        <v>0.99</v>
      </c>
      <c r="D687" s="676"/>
      <c r="E687" s="3236">
        <f t="shared" si="116"/>
        <v>1</v>
      </c>
      <c r="F687" s="676"/>
      <c r="G687" s="3236">
        <f t="shared" si="117"/>
        <v>1</v>
      </c>
      <c r="H687" s="676"/>
      <c r="I687" s="3236">
        <f t="shared" si="118"/>
        <v>1</v>
      </c>
      <c r="J687" s="676"/>
      <c r="K687" s="3236">
        <f t="shared" si="119"/>
        <v>1</v>
      </c>
      <c r="L687" s="676"/>
      <c r="M687" s="3236">
        <f t="shared" si="120"/>
        <v>1</v>
      </c>
      <c r="N687" s="676"/>
      <c r="O687" s="3236">
        <f t="shared" si="121"/>
        <v>1</v>
      </c>
      <c r="P687" s="676"/>
      <c r="Q687" s="3236">
        <f t="shared" si="122"/>
        <v>1</v>
      </c>
      <c r="R687" s="3237">
        <f t="shared" ca="1" si="123"/>
        <v>5706</v>
      </c>
      <c r="S687" s="1090">
        <f t="shared" ca="1" si="124"/>
        <v>22</v>
      </c>
    </row>
    <row r="688" spans="1:19">
      <c r="A688" s="674" t="str">
        <f>Sheet2!E668</f>
        <v>H1-025</v>
      </c>
      <c r="B688" s="3235">
        <f>Sheet2!F668</f>
        <v>39.090000000000003</v>
      </c>
      <c r="C688" s="3236">
        <f t="shared" si="115"/>
        <v>0.99</v>
      </c>
      <c r="D688" s="676"/>
      <c r="E688" s="3236">
        <f t="shared" si="116"/>
        <v>1</v>
      </c>
      <c r="F688" s="676"/>
      <c r="G688" s="3236">
        <f t="shared" si="117"/>
        <v>1</v>
      </c>
      <c r="H688" s="676"/>
      <c r="I688" s="3236">
        <f t="shared" si="118"/>
        <v>1</v>
      </c>
      <c r="J688" s="676"/>
      <c r="K688" s="3236">
        <f t="shared" si="119"/>
        <v>1</v>
      </c>
      <c r="L688" s="676"/>
      <c r="M688" s="3236">
        <f t="shared" si="120"/>
        <v>1</v>
      </c>
      <c r="N688" s="676"/>
      <c r="O688" s="3236">
        <f t="shared" si="121"/>
        <v>1</v>
      </c>
      <c r="P688" s="676"/>
      <c r="Q688" s="3236">
        <f t="shared" si="122"/>
        <v>1</v>
      </c>
      <c r="R688" s="3237">
        <f t="shared" ca="1" si="123"/>
        <v>5706</v>
      </c>
      <c r="S688" s="1090">
        <f t="shared" ca="1" si="124"/>
        <v>22</v>
      </c>
    </row>
    <row r="689" spans="1:19">
      <c r="A689" s="674" t="str">
        <f>Sheet2!E669</f>
        <v>H1-026</v>
      </c>
      <c r="B689" s="3235">
        <f>Sheet2!F669</f>
        <v>39.090000000000003</v>
      </c>
      <c r="C689" s="3236">
        <f t="shared" si="115"/>
        <v>0.99</v>
      </c>
      <c r="D689" s="676"/>
      <c r="E689" s="3236">
        <f t="shared" si="116"/>
        <v>1</v>
      </c>
      <c r="F689" s="676"/>
      <c r="G689" s="3236">
        <f t="shared" si="117"/>
        <v>1</v>
      </c>
      <c r="H689" s="676"/>
      <c r="I689" s="3236">
        <f t="shared" si="118"/>
        <v>1</v>
      </c>
      <c r="J689" s="676"/>
      <c r="K689" s="3236">
        <f t="shared" si="119"/>
        <v>1</v>
      </c>
      <c r="L689" s="676"/>
      <c r="M689" s="3236">
        <f t="shared" si="120"/>
        <v>1</v>
      </c>
      <c r="N689" s="676"/>
      <c r="O689" s="3236">
        <f t="shared" si="121"/>
        <v>1</v>
      </c>
      <c r="P689" s="676"/>
      <c r="Q689" s="3236">
        <f t="shared" si="122"/>
        <v>1</v>
      </c>
      <c r="R689" s="3237">
        <f t="shared" ca="1" si="123"/>
        <v>5706</v>
      </c>
      <c r="S689" s="1090">
        <f t="shared" ca="1" si="124"/>
        <v>22</v>
      </c>
    </row>
    <row r="690" spans="1:19">
      <c r="A690" s="674" t="str">
        <f>Sheet2!E670</f>
        <v>H1-029</v>
      </c>
      <c r="B690" s="3235">
        <f>Sheet2!F670</f>
        <v>37.520000000000003</v>
      </c>
      <c r="C690" s="3236">
        <f t="shared" si="115"/>
        <v>0.99</v>
      </c>
      <c r="D690" s="676"/>
      <c r="E690" s="3236">
        <f t="shared" si="116"/>
        <v>1</v>
      </c>
      <c r="F690" s="676"/>
      <c r="G690" s="3236">
        <f t="shared" si="117"/>
        <v>1</v>
      </c>
      <c r="H690" s="676"/>
      <c r="I690" s="3236">
        <f t="shared" si="118"/>
        <v>1</v>
      </c>
      <c r="J690" s="676"/>
      <c r="K690" s="3236">
        <f t="shared" si="119"/>
        <v>1</v>
      </c>
      <c r="L690" s="676"/>
      <c r="M690" s="3236">
        <f t="shared" si="120"/>
        <v>1</v>
      </c>
      <c r="N690" s="676"/>
      <c r="O690" s="3236">
        <f t="shared" si="121"/>
        <v>1</v>
      </c>
      <c r="P690" s="676"/>
      <c r="Q690" s="3236">
        <f t="shared" si="122"/>
        <v>1</v>
      </c>
      <c r="R690" s="3237">
        <f t="shared" ca="1" si="123"/>
        <v>5706</v>
      </c>
      <c r="S690" s="1090">
        <f t="shared" ca="1" si="124"/>
        <v>21</v>
      </c>
    </row>
    <row r="691" spans="1:19">
      <c r="A691" s="674" t="str">
        <f>Sheet2!E671</f>
        <v>H1-031</v>
      </c>
      <c r="B691" s="3235">
        <f>Sheet2!F671</f>
        <v>37.520000000000003</v>
      </c>
      <c r="C691" s="3236">
        <f t="shared" si="115"/>
        <v>0.99</v>
      </c>
      <c r="D691" s="676"/>
      <c r="E691" s="3236">
        <f t="shared" si="116"/>
        <v>1</v>
      </c>
      <c r="F691" s="676"/>
      <c r="G691" s="3236">
        <f t="shared" si="117"/>
        <v>1</v>
      </c>
      <c r="H691" s="676"/>
      <c r="I691" s="3236">
        <f t="shared" si="118"/>
        <v>1</v>
      </c>
      <c r="J691" s="676"/>
      <c r="K691" s="3236">
        <f t="shared" si="119"/>
        <v>1</v>
      </c>
      <c r="L691" s="676"/>
      <c r="M691" s="3236">
        <f t="shared" si="120"/>
        <v>1</v>
      </c>
      <c r="N691" s="676"/>
      <c r="O691" s="3236">
        <f t="shared" si="121"/>
        <v>1</v>
      </c>
      <c r="P691" s="676"/>
      <c r="Q691" s="3236">
        <f t="shared" si="122"/>
        <v>1</v>
      </c>
      <c r="R691" s="3237">
        <f t="shared" ca="1" si="123"/>
        <v>5706</v>
      </c>
      <c r="S691" s="1090">
        <f t="shared" ca="1" si="124"/>
        <v>21</v>
      </c>
    </row>
    <row r="692" spans="1:19">
      <c r="A692" s="674" t="str">
        <f>Sheet2!E672</f>
        <v>H1-032</v>
      </c>
      <c r="B692" s="3235">
        <f>Sheet2!F672</f>
        <v>39.090000000000003</v>
      </c>
      <c r="C692" s="3236">
        <f t="shared" si="115"/>
        <v>0.99</v>
      </c>
      <c r="D692" s="676"/>
      <c r="E692" s="3236">
        <f t="shared" si="116"/>
        <v>1</v>
      </c>
      <c r="F692" s="676"/>
      <c r="G692" s="3236">
        <f t="shared" si="117"/>
        <v>1</v>
      </c>
      <c r="H692" s="676"/>
      <c r="I692" s="3236">
        <f t="shared" si="118"/>
        <v>1</v>
      </c>
      <c r="J692" s="676"/>
      <c r="K692" s="3236">
        <f t="shared" si="119"/>
        <v>1</v>
      </c>
      <c r="L692" s="676"/>
      <c r="M692" s="3236">
        <f t="shared" si="120"/>
        <v>1</v>
      </c>
      <c r="N692" s="676"/>
      <c r="O692" s="3236">
        <f t="shared" si="121"/>
        <v>1</v>
      </c>
      <c r="P692" s="676"/>
      <c r="Q692" s="3236">
        <f t="shared" si="122"/>
        <v>1</v>
      </c>
      <c r="R692" s="3237">
        <f t="shared" ca="1" si="123"/>
        <v>5706</v>
      </c>
      <c r="S692" s="1090">
        <f t="shared" ca="1" si="124"/>
        <v>22</v>
      </c>
    </row>
    <row r="693" spans="1:19">
      <c r="A693" s="674" t="str">
        <f>Sheet2!E673</f>
        <v>H1-034</v>
      </c>
      <c r="B693" s="3235">
        <f>Sheet2!F673</f>
        <v>37.520000000000003</v>
      </c>
      <c r="C693" s="3236">
        <f t="shared" si="115"/>
        <v>0.99</v>
      </c>
      <c r="D693" s="676"/>
      <c r="E693" s="3236">
        <f t="shared" si="116"/>
        <v>1</v>
      </c>
      <c r="F693" s="676"/>
      <c r="G693" s="3236">
        <f t="shared" si="117"/>
        <v>1</v>
      </c>
      <c r="H693" s="676"/>
      <c r="I693" s="3236">
        <f t="shared" si="118"/>
        <v>1</v>
      </c>
      <c r="J693" s="676"/>
      <c r="K693" s="3236">
        <f t="shared" si="119"/>
        <v>1</v>
      </c>
      <c r="L693" s="676"/>
      <c r="M693" s="3236">
        <f t="shared" si="120"/>
        <v>1</v>
      </c>
      <c r="N693" s="676"/>
      <c r="O693" s="3236">
        <f t="shared" si="121"/>
        <v>1</v>
      </c>
      <c r="P693" s="676"/>
      <c r="Q693" s="3236">
        <f t="shared" si="122"/>
        <v>1</v>
      </c>
      <c r="R693" s="3237">
        <f t="shared" ca="1" si="123"/>
        <v>5706</v>
      </c>
      <c r="S693" s="1090">
        <f t="shared" ca="1" si="124"/>
        <v>21</v>
      </c>
    </row>
    <row r="694" spans="1:19">
      <c r="A694" s="674" t="str">
        <f>Sheet2!E674</f>
        <v>H1-035</v>
      </c>
      <c r="B694" s="3235">
        <f>Sheet2!F674</f>
        <v>37.520000000000003</v>
      </c>
      <c r="C694" s="3236">
        <f t="shared" si="115"/>
        <v>0.99</v>
      </c>
      <c r="D694" s="676"/>
      <c r="E694" s="3236">
        <f t="shared" si="116"/>
        <v>1</v>
      </c>
      <c r="F694" s="676"/>
      <c r="G694" s="3236">
        <f t="shared" si="117"/>
        <v>1</v>
      </c>
      <c r="H694" s="676"/>
      <c r="I694" s="3236">
        <f t="shared" si="118"/>
        <v>1</v>
      </c>
      <c r="J694" s="676"/>
      <c r="K694" s="3236">
        <f t="shared" si="119"/>
        <v>1</v>
      </c>
      <c r="L694" s="676"/>
      <c r="M694" s="3236">
        <f t="shared" si="120"/>
        <v>1</v>
      </c>
      <c r="N694" s="676"/>
      <c r="O694" s="3236">
        <f t="shared" si="121"/>
        <v>1</v>
      </c>
      <c r="P694" s="676"/>
      <c r="Q694" s="3236">
        <f t="shared" si="122"/>
        <v>1</v>
      </c>
      <c r="R694" s="3237">
        <f t="shared" ca="1" si="123"/>
        <v>5706</v>
      </c>
      <c r="S694" s="1090">
        <f t="shared" ca="1" si="124"/>
        <v>21</v>
      </c>
    </row>
    <row r="695" spans="1:19">
      <c r="A695" s="674" t="str">
        <f>Sheet2!E675</f>
        <v>H1-037</v>
      </c>
      <c r="B695" s="3235">
        <f>Sheet2!F675</f>
        <v>37.520000000000003</v>
      </c>
      <c r="C695" s="3236">
        <f t="shared" si="115"/>
        <v>0.99</v>
      </c>
      <c r="D695" s="676"/>
      <c r="E695" s="3236">
        <f t="shared" si="116"/>
        <v>1</v>
      </c>
      <c r="F695" s="676"/>
      <c r="G695" s="3236">
        <f t="shared" si="117"/>
        <v>1</v>
      </c>
      <c r="H695" s="676"/>
      <c r="I695" s="3236">
        <f t="shared" si="118"/>
        <v>1</v>
      </c>
      <c r="J695" s="676"/>
      <c r="K695" s="3236">
        <f t="shared" si="119"/>
        <v>1</v>
      </c>
      <c r="L695" s="676"/>
      <c r="M695" s="3236">
        <f t="shared" si="120"/>
        <v>1</v>
      </c>
      <c r="N695" s="676"/>
      <c r="O695" s="3236">
        <f t="shared" si="121"/>
        <v>1</v>
      </c>
      <c r="P695" s="676"/>
      <c r="Q695" s="3236">
        <f t="shared" si="122"/>
        <v>1</v>
      </c>
      <c r="R695" s="3237">
        <f t="shared" ca="1" si="123"/>
        <v>5706</v>
      </c>
      <c r="S695" s="1090">
        <f t="shared" ca="1" si="124"/>
        <v>21</v>
      </c>
    </row>
    <row r="696" spans="1:19">
      <c r="A696" s="674" t="str">
        <f>Sheet2!E676</f>
        <v>H1-038</v>
      </c>
      <c r="B696" s="3235">
        <f>Sheet2!F676</f>
        <v>37.520000000000003</v>
      </c>
      <c r="C696" s="3236">
        <f t="shared" si="115"/>
        <v>0.99</v>
      </c>
      <c r="D696" s="676"/>
      <c r="E696" s="3236">
        <f t="shared" si="116"/>
        <v>1</v>
      </c>
      <c r="F696" s="676"/>
      <c r="G696" s="3236">
        <f t="shared" si="117"/>
        <v>1</v>
      </c>
      <c r="H696" s="676"/>
      <c r="I696" s="3236">
        <f t="shared" si="118"/>
        <v>1</v>
      </c>
      <c r="J696" s="676"/>
      <c r="K696" s="3236">
        <f t="shared" si="119"/>
        <v>1</v>
      </c>
      <c r="L696" s="676"/>
      <c r="M696" s="3236">
        <f t="shared" si="120"/>
        <v>1</v>
      </c>
      <c r="N696" s="676"/>
      <c r="O696" s="3236">
        <f t="shared" si="121"/>
        <v>1</v>
      </c>
      <c r="P696" s="676"/>
      <c r="Q696" s="3236">
        <f t="shared" si="122"/>
        <v>1</v>
      </c>
      <c r="R696" s="3237">
        <f t="shared" ca="1" si="123"/>
        <v>5706</v>
      </c>
      <c r="S696" s="1090">
        <f t="shared" ca="1" si="124"/>
        <v>21</v>
      </c>
    </row>
    <row r="697" spans="1:19">
      <c r="A697" s="674" t="str">
        <f>Sheet2!E677</f>
        <v>H1-039</v>
      </c>
      <c r="B697" s="3235">
        <f>Sheet2!F677</f>
        <v>37.520000000000003</v>
      </c>
      <c r="C697" s="3236">
        <f t="shared" si="115"/>
        <v>0.99</v>
      </c>
      <c r="D697" s="676"/>
      <c r="E697" s="3236">
        <f t="shared" si="116"/>
        <v>1</v>
      </c>
      <c r="F697" s="676"/>
      <c r="G697" s="3236">
        <f t="shared" si="117"/>
        <v>1</v>
      </c>
      <c r="H697" s="676"/>
      <c r="I697" s="3236">
        <f t="shared" si="118"/>
        <v>1</v>
      </c>
      <c r="J697" s="676"/>
      <c r="K697" s="3236">
        <f t="shared" si="119"/>
        <v>1</v>
      </c>
      <c r="L697" s="676"/>
      <c r="M697" s="3236">
        <f t="shared" si="120"/>
        <v>1</v>
      </c>
      <c r="N697" s="676"/>
      <c r="O697" s="3236">
        <f t="shared" si="121"/>
        <v>1</v>
      </c>
      <c r="P697" s="676"/>
      <c r="Q697" s="3236">
        <f t="shared" si="122"/>
        <v>1</v>
      </c>
      <c r="R697" s="3237">
        <f t="shared" ca="1" si="123"/>
        <v>5706</v>
      </c>
      <c r="S697" s="1090">
        <f t="shared" ca="1" si="124"/>
        <v>21</v>
      </c>
    </row>
    <row r="698" spans="1:19">
      <c r="A698" s="674" t="str">
        <f>Sheet2!E678</f>
        <v>H1-040</v>
      </c>
      <c r="B698" s="3235">
        <f>Sheet2!F678</f>
        <v>37.520000000000003</v>
      </c>
      <c r="C698" s="3236">
        <f t="shared" si="115"/>
        <v>0.99</v>
      </c>
      <c r="D698" s="676"/>
      <c r="E698" s="3236">
        <f t="shared" si="116"/>
        <v>1</v>
      </c>
      <c r="F698" s="676"/>
      <c r="G698" s="3236">
        <f t="shared" si="117"/>
        <v>1</v>
      </c>
      <c r="H698" s="676"/>
      <c r="I698" s="3236">
        <f t="shared" si="118"/>
        <v>1</v>
      </c>
      <c r="J698" s="676"/>
      <c r="K698" s="3236">
        <f t="shared" si="119"/>
        <v>1</v>
      </c>
      <c r="L698" s="676"/>
      <c r="M698" s="3236">
        <f t="shared" si="120"/>
        <v>1</v>
      </c>
      <c r="N698" s="676"/>
      <c r="O698" s="3236">
        <f t="shared" si="121"/>
        <v>1</v>
      </c>
      <c r="P698" s="676"/>
      <c r="Q698" s="3236">
        <f t="shared" si="122"/>
        <v>1</v>
      </c>
      <c r="R698" s="3237">
        <f t="shared" ca="1" si="123"/>
        <v>5706</v>
      </c>
      <c r="S698" s="1090">
        <f t="shared" ca="1" si="124"/>
        <v>21</v>
      </c>
    </row>
    <row r="699" spans="1:19">
      <c r="A699" s="674" t="str">
        <f>Sheet2!E679</f>
        <v>H1-043</v>
      </c>
      <c r="B699" s="3235">
        <f>Sheet2!F679</f>
        <v>39.090000000000003</v>
      </c>
      <c r="C699" s="3236">
        <f t="shared" si="115"/>
        <v>0.99</v>
      </c>
      <c r="D699" s="676"/>
      <c r="E699" s="3236">
        <f t="shared" si="116"/>
        <v>1</v>
      </c>
      <c r="F699" s="676"/>
      <c r="G699" s="3236">
        <f t="shared" si="117"/>
        <v>1</v>
      </c>
      <c r="H699" s="676"/>
      <c r="I699" s="3236">
        <f t="shared" si="118"/>
        <v>1</v>
      </c>
      <c r="J699" s="676"/>
      <c r="K699" s="3236">
        <f t="shared" si="119"/>
        <v>1</v>
      </c>
      <c r="L699" s="676"/>
      <c r="M699" s="3236">
        <f t="shared" si="120"/>
        <v>1</v>
      </c>
      <c r="N699" s="676"/>
      <c r="O699" s="3236">
        <f t="shared" si="121"/>
        <v>1</v>
      </c>
      <c r="P699" s="676"/>
      <c r="Q699" s="3236">
        <f t="shared" si="122"/>
        <v>1</v>
      </c>
      <c r="R699" s="3237">
        <f t="shared" ca="1" si="123"/>
        <v>5706</v>
      </c>
      <c r="S699" s="1090">
        <f t="shared" ca="1" si="124"/>
        <v>22</v>
      </c>
    </row>
    <row r="700" spans="1:19">
      <c r="A700" s="674" t="str">
        <f>Sheet2!E680</f>
        <v>H1-044</v>
      </c>
      <c r="B700" s="3235">
        <f>Sheet2!F680</f>
        <v>39.090000000000003</v>
      </c>
      <c r="C700" s="3236">
        <f t="shared" si="115"/>
        <v>0.99</v>
      </c>
      <c r="D700" s="676"/>
      <c r="E700" s="3236">
        <f t="shared" si="116"/>
        <v>1</v>
      </c>
      <c r="F700" s="676"/>
      <c r="G700" s="3236">
        <f t="shared" si="117"/>
        <v>1</v>
      </c>
      <c r="H700" s="676"/>
      <c r="I700" s="3236">
        <f t="shared" si="118"/>
        <v>1</v>
      </c>
      <c r="J700" s="676"/>
      <c r="K700" s="3236">
        <f t="shared" si="119"/>
        <v>1</v>
      </c>
      <c r="L700" s="676"/>
      <c r="M700" s="3236">
        <f t="shared" si="120"/>
        <v>1</v>
      </c>
      <c r="N700" s="676"/>
      <c r="O700" s="3236">
        <f t="shared" si="121"/>
        <v>1</v>
      </c>
      <c r="P700" s="676"/>
      <c r="Q700" s="3236">
        <f t="shared" si="122"/>
        <v>1</v>
      </c>
      <c r="R700" s="3237">
        <f t="shared" ca="1" si="123"/>
        <v>5706</v>
      </c>
      <c r="S700" s="1090">
        <f t="shared" ca="1" si="124"/>
        <v>22</v>
      </c>
    </row>
    <row r="701" spans="1:19">
      <c r="A701" s="674" t="str">
        <f>Sheet2!E681</f>
        <v>H1-045</v>
      </c>
      <c r="B701" s="3235">
        <f>Sheet2!F681</f>
        <v>37.520000000000003</v>
      </c>
      <c r="C701" s="3236">
        <f t="shared" si="115"/>
        <v>0.99</v>
      </c>
      <c r="D701" s="676"/>
      <c r="E701" s="3236">
        <f t="shared" si="116"/>
        <v>1</v>
      </c>
      <c r="F701" s="676"/>
      <c r="G701" s="3236">
        <f t="shared" si="117"/>
        <v>1</v>
      </c>
      <c r="H701" s="676"/>
      <c r="I701" s="3236">
        <f t="shared" si="118"/>
        <v>1</v>
      </c>
      <c r="J701" s="676"/>
      <c r="K701" s="3236">
        <f t="shared" si="119"/>
        <v>1</v>
      </c>
      <c r="L701" s="676"/>
      <c r="M701" s="3236">
        <f t="shared" si="120"/>
        <v>1</v>
      </c>
      <c r="N701" s="676"/>
      <c r="O701" s="3236">
        <f t="shared" si="121"/>
        <v>1</v>
      </c>
      <c r="P701" s="676"/>
      <c r="Q701" s="3236">
        <f t="shared" si="122"/>
        <v>1</v>
      </c>
      <c r="R701" s="3237">
        <f t="shared" ca="1" si="123"/>
        <v>5706</v>
      </c>
      <c r="S701" s="1090">
        <f t="shared" ca="1" si="124"/>
        <v>21</v>
      </c>
    </row>
    <row r="702" spans="1:19">
      <c r="A702" s="674" t="str">
        <f>Sheet2!E682</f>
        <v>H1-046</v>
      </c>
      <c r="B702" s="3235">
        <f>Sheet2!F682</f>
        <v>37.520000000000003</v>
      </c>
      <c r="C702" s="3236">
        <f t="shared" si="115"/>
        <v>0.99</v>
      </c>
      <c r="D702" s="676"/>
      <c r="E702" s="3236">
        <f t="shared" si="116"/>
        <v>1</v>
      </c>
      <c r="F702" s="676"/>
      <c r="G702" s="3236">
        <f t="shared" si="117"/>
        <v>1</v>
      </c>
      <c r="H702" s="676"/>
      <c r="I702" s="3236">
        <f t="shared" si="118"/>
        <v>1</v>
      </c>
      <c r="J702" s="676"/>
      <c r="K702" s="3236">
        <f t="shared" si="119"/>
        <v>1</v>
      </c>
      <c r="L702" s="676"/>
      <c r="M702" s="3236">
        <f t="shared" si="120"/>
        <v>1</v>
      </c>
      <c r="N702" s="676"/>
      <c r="O702" s="3236">
        <f t="shared" si="121"/>
        <v>1</v>
      </c>
      <c r="P702" s="676"/>
      <c r="Q702" s="3236">
        <f t="shared" si="122"/>
        <v>1</v>
      </c>
      <c r="R702" s="3237">
        <f t="shared" ca="1" si="123"/>
        <v>5706</v>
      </c>
      <c r="S702" s="1090">
        <f t="shared" ca="1" si="124"/>
        <v>21</v>
      </c>
    </row>
    <row r="703" spans="1:19">
      <c r="A703" s="674" t="str">
        <f>Sheet2!E683</f>
        <v>H1-047</v>
      </c>
      <c r="B703" s="3235">
        <f>Sheet2!F683</f>
        <v>48.78</v>
      </c>
      <c r="C703" s="3236">
        <f t="shared" si="115"/>
        <v>0.98</v>
      </c>
      <c r="D703" s="676"/>
      <c r="E703" s="3236">
        <f t="shared" si="116"/>
        <v>1</v>
      </c>
      <c r="F703" s="676"/>
      <c r="G703" s="3236">
        <f t="shared" si="117"/>
        <v>1</v>
      </c>
      <c r="H703" s="676"/>
      <c r="I703" s="3236">
        <f t="shared" si="118"/>
        <v>1</v>
      </c>
      <c r="J703" s="676"/>
      <c r="K703" s="3236">
        <f t="shared" si="119"/>
        <v>1</v>
      </c>
      <c r="L703" s="676"/>
      <c r="M703" s="3236">
        <f t="shared" si="120"/>
        <v>1</v>
      </c>
      <c r="N703" s="676"/>
      <c r="O703" s="3236">
        <f t="shared" si="121"/>
        <v>1</v>
      </c>
      <c r="P703" s="676"/>
      <c r="Q703" s="3236">
        <f t="shared" si="122"/>
        <v>1</v>
      </c>
      <c r="R703" s="3237">
        <f t="shared" ca="1" si="123"/>
        <v>5649</v>
      </c>
      <c r="S703" s="1090">
        <f t="shared" ca="1" si="124"/>
        <v>28</v>
      </c>
    </row>
    <row r="704" spans="1:19">
      <c r="A704" s="674" t="str">
        <f>Sheet2!E684</f>
        <v>J1-007</v>
      </c>
      <c r="B704" s="3235">
        <f>Sheet2!F684</f>
        <v>36.020000000000003</v>
      </c>
      <c r="C704" s="3236">
        <f t="shared" si="115"/>
        <v>0.99</v>
      </c>
      <c r="D704" s="676"/>
      <c r="E704" s="3236">
        <f t="shared" si="116"/>
        <v>1</v>
      </c>
      <c r="F704" s="676"/>
      <c r="G704" s="3236">
        <f t="shared" si="117"/>
        <v>1</v>
      </c>
      <c r="H704" s="676"/>
      <c r="I704" s="3236">
        <f t="shared" si="118"/>
        <v>1</v>
      </c>
      <c r="J704" s="676"/>
      <c r="K704" s="3236">
        <f t="shared" si="119"/>
        <v>1</v>
      </c>
      <c r="L704" s="676"/>
      <c r="M704" s="3236">
        <f t="shared" si="120"/>
        <v>1</v>
      </c>
      <c r="N704" s="676"/>
      <c r="O704" s="3236">
        <f t="shared" si="121"/>
        <v>1</v>
      </c>
      <c r="P704" s="676"/>
      <c r="Q704" s="3236">
        <f t="shared" si="122"/>
        <v>1</v>
      </c>
      <c r="R704" s="3237">
        <f t="shared" ca="1" si="123"/>
        <v>5706</v>
      </c>
      <c r="S704" s="1090">
        <f t="shared" ca="1" si="124"/>
        <v>21</v>
      </c>
    </row>
    <row r="705" spans="1:19">
      <c r="A705" s="674" t="str">
        <f>Sheet2!E685</f>
        <v>J1-008</v>
      </c>
      <c r="B705" s="3235">
        <f>Sheet2!F685</f>
        <v>36.020000000000003</v>
      </c>
      <c r="C705" s="3236">
        <f t="shared" si="115"/>
        <v>0.99</v>
      </c>
      <c r="D705" s="676"/>
      <c r="E705" s="3236">
        <f t="shared" si="116"/>
        <v>1</v>
      </c>
      <c r="F705" s="676"/>
      <c r="G705" s="3236">
        <f t="shared" si="117"/>
        <v>1</v>
      </c>
      <c r="H705" s="676"/>
      <c r="I705" s="3236">
        <f t="shared" si="118"/>
        <v>1</v>
      </c>
      <c r="J705" s="676"/>
      <c r="K705" s="3236">
        <f t="shared" si="119"/>
        <v>1</v>
      </c>
      <c r="L705" s="676"/>
      <c r="M705" s="3236">
        <f t="shared" si="120"/>
        <v>1</v>
      </c>
      <c r="N705" s="676"/>
      <c r="O705" s="3236">
        <f t="shared" si="121"/>
        <v>1</v>
      </c>
      <c r="P705" s="676"/>
      <c r="Q705" s="3236">
        <f t="shared" si="122"/>
        <v>1</v>
      </c>
      <c r="R705" s="3237">
        <f t="shared" ca="1" si="123"/>
        <v>5706</v>
      </c>
      <c r="S705" s="1090">
        <f t="shared" ca="1" si="124"/>
        <v>21</v>
      </c>
    </row>
    <row r="706" spans="1:19">
      <c r="A706" s="674" t="str">
        <f>Sheet2!E686</f>
        <v>J1-009</v>
      </c>
      <c r="B706" s="3235">
        <f>Sheet2!F686</f>
        <v>36.020000000000003</v>
      </c>
      <c r="C706" s="3236">
        <f t="shared" si="115"/>
        <v>0.99</v>
      </c>
      <c r="D706" s="676"/>
      <c r="E706" s="3236">
        <f t="shared" si="116"/>
        <v>1</v>
      </c>
      <c r="F706" s="676"/>
      <c r="G706" s="3236">
        <f t="shared" si="117"/>
        <v>1</v>
      </c>
      <c r="H706" s="676"/>
      <c r="I706" s="3236">
        <f t="shared" si="118"/>
        <v>1</v>
      </c>
      <c r="J706" s="676"/>
      <c r="K706" s="3236">
        <f t="shared" si="119"/>
        <v>1</v>
      </c>
      <c r="L706" s="676"/>
      <c r="M706" s="3236">
        <f t="shared" si="120"/>
        <v>1</v>
      </c>
      <c r="N706" s="676"/>
      <c r="O706" s="3236">
        <f t="shared" si="121"/>
        <v>1</v>
      </c>
      <c r="P706" s="676"/>
      <c r="Q706" s="3236">
        <f t="shared" si="122"/>
        <v>1</v>
      </c>
      <c r="R706" s="3237">
        <f t="shared" ca="1" si="123"/>
        <v>5706</v>
      </c>
      <c r="S706" s="1090">
        <f t="shared" ca="1" si="124"/>
        <v>21</v>
      </c>
    </row>
    <row r="707" spans="1:19">
      <c r="A707" s="674" t="str">
        <f>Sheet2!E687</f>
        <v>J1-010</v>
      </c>
      <c r="B707" s="3235">
        <f>Sheet2!F687</f>
        <v>36.020000000000003</v>
      </c>
      <c r="C707" s="3236">
        <f t="shared" si="115"/>
        <v>0.99</v>
      </c>
      <c r="D707" s="676"/>
      <c r="E707" s="3236">
        <f t="shared" si="116"/>
        <v>1</v>
      </c>
      <c r="F707" s="676"/>
      <c r="G707" s="3236">
        <f t="shared" si="117"/>
        <v>1</v>
      </c>
      <c r="H707" s="676"/>
      <c r="I707" s="3236">
        <f t="shared" si="118"/>
        <v>1</v>
      </c>
      <c r="J707" s="676"/>
      <c r="K707" s="3236">
        <f t="shared" si="119"/>
        <v>1</v>
      </c>
      <c r="L707" s="676"/>
      <c r="M707" s="3236">
        <f t="shared" si="120"/>
        <v>1</v>
      </c>
      <c r="N707" s="676"/>
      <c r="O707" s="3236">
        <f t="shared" si="121"/>
        <v>1</v>
      </c>
      <c r="P707" s="676"/>
      <c r="Q707" s="3236">
        <f t="shared" si="122"/>
        <v>1</v>
      </c>
      <c r="R707" s="3237">
        <f t="shared" ca="1" si="123"/>
        <v>5706</v>
      </c>
      <c r="S707" s="1090">
        <f t="shared" ca="1" si="124"/>
        <v>21</v>
      </c>
    </row>
    <row r="708" spans="1:19">
      <c r="A708" s="674" t="str">
        <f>Sheet2!E688</f>
        <v>J1-011</v>
      </c>
      <c r="B708" s="3235">
        <f>Sheet2!F688</f>
        <v>36.020000000000003</v>
      </c>
      <c r="C708" s="3236">
        <f t="shared" si="115"/>
        <v>0.99</v>
      </c>
      <c r="D708" s="676"/>
      <c r="E708" s="3236">
        <f t="shared" si="116"/>
        <v>1</v>
      </c>
      <c r="F708" s="676"/>
      <c r="G708" s="3236">
        <f t="shared" si="117"/>
        <v>1</v>
      </c>
      <c r="H708" s="676"/>
      <c r="I708" s="3236">
        <f t="shared" si="118"/>
        <v>1</v>
      </c>
      <c r="J708" s="676"/>
      <c r="K708" s="3236">
        <f t="shared" si="119"/>
        <v>1</v>
      </c>
      <c r="L708" s="676"/>
      <c r="M708" s="3236">
        <f t="shared" si="120"/>
        <v>1</v>
      </c>
      <c r="N708" s="676"/>
      <c r="O708" s="3236">
        <f t="shared" si="121"/>
        <v>1</v>
      </c>
      <c r="P708" s="676"/>
      <c r="Q708" s="3236">
        <f t="shared" si="122"/>
        <v>1</v>
      </c>
      <c r="R708" s="3237">
        <f t="shared" ca="1" si="123"/>
        <v>5706</v>
      </c>
      <c r="S708" s="1090">
        <f t="shared" ca="1" si="124"/>
        <v>21</v>
      </c>
    </row>
    <row r="709" spans="1:19">
      <c r="A709" s="674" t="str">
        <f>Sheet2!E689</f>
        <v>J1-012</v>
      </c>
      <c r="B709" s="3235">
        <f>Sheet2!F689</f>
        <v>36.020000000000003</v>
      </c>
      <c r="C709" s="3236">
        <f t="shared" si="115"/>
        <v>0.99</v>
      </c>
      <c r="D709" s="676"/>
      <c r="E709" s="3236">
        <f t="shared" si="116"/>
        <v>1</v>
      </c>
      <c r="F709" s="676"/>
      <c r="G709" s="3236">
        <f t="shared" si="117"/>
        <v>1</v>
      </c>
      <c r="H709" s="676"/>
      <c r="I709" s="3236">
        <f t="shared" si="118"/>
        <v>1</v>
      </c>
      <c r="J709" s="676"/>
      <c r="K709" s="3236">
        <f t="shared" si="119"/>
        <v>1</v>
      </c>
      <c r="L709" s="676"/>
      <c r="M709" s="3236">
        <f t="shared" si="120"/>
        <v>1</v>
      </c>
      <c r="N709" s="676"/>
      <c r="O709" s="3236">
        <f t="shared" si="121"/>
        <v>1</v>
      </c>
      <c r="P709" s="676"/>
      <c r="Q709" s="3236">
        <f t="shared" si="122"/>
        <v>1</v>
      </c>
      <c r="R709" s="3237">
        <f t="shared" ca="1" si="123"/>
        <v>5706</v>
      </c>
      <c r="S709" s="1090">
        <f t="shared" ca="1" si="124"/>
        <v>21</v>
      </c>
    </row>
    <row r="710" spans="1:19">
      <c r="A710" s="674" t="str">
        <f>Sheet2!E690</f>
        <v>J1-013</v>
      </c>
      <c r="B710" s="3235">
        <f>Sheet2!F690</f>
        <v>37.520000000000003</v>
      </c>
      <c r="C710" s="3236">
        <f t="shared" si="115"/>
        <v>0.99</v>
      </c>
      <c r="D710" s="676"/>
      <c r="E710" s="3236">
        <f t="shared" si="116"/>
        <v>1</v>
      </c>
      <c r="F710" s="676"/>
      <c r="G710" s="3236">
        <f t="shared" si="117"/>
        <v>1</v>
      </c>
      <c r="H710" s="676"/>
      <c r="I710" s="3236">
        <f t="shared" si="118"/>
        <v>1</v>
      </c>
      <c r="J710" s="676"/>
      <c r="K710" s="3236">
        <f t="shared" si="119"/>
        <v>1</v>
      </c>
      <c r="L710" s="676"/>
      <c r="M710" s="3236">
        <f t="shared" si="120"/>
        <v>1</v>
      </c>
      <c r="N710" s="676"/>
      <c r="O710" s="3236">
        <f t="shared" si="121"/>
        <v>1</v>
      </c>
      <c r="P710" s="676"/>
      <c r="Q710" s="3236">
        <f t="shared" si="122"/>
        <v>1</v>
      </c>
      <c r="R710" s="3237">
        <f t="shared" ca="1" si="123"/>
        <v>5706</v>
      </c>
      <c r="S710" s="1090">
        <f t="shared" ca="1" si="124"/>
        <v>21</v>
      </c>
    </row>
    <row r="711" spans="1:19">
      <c r="A711" s="674" t="str">
        <f>Sheet2!E691</f>
        <v>J1-014</v>
      </c>
      <c r="B711" s="3235">
        <f>Sheet2!F691</f>
        <v>37.520000000000003</v>
      </c>
      <c r="C711" s="3236">
        <f t="shared" si="115"/>
        <v>0.99</v>
      </c>
      <c r="D711" s="676"/>
      <c r="E711" s="3236">
        <f t="shared" si="116"/>
        <v>1</v>
      </c>
      <c r="F711" s="676"/>
      <c r="G711" s="3236">
        <f t="shared" si="117"/>
        <v>1</v>
      </c>
      <c r="H711" s="676"/>
      <c r="I711" s="3236">
        <f t="shared" si="118"/>
        <v>1</v>
      </c>
      <c r="J711" s="676"/>
      <c r="K711" s="3236">
        <f t="shared" si="119"/>
        <v>1</v>
      </c>
      <c r="L711" s="676"/>
      <c r="M711" s="3236">
        <f t="shared" si="120"/>
        <v>1</v>
      </c>
      <c r="N711" s="676"/>
      <c r="O711" s="3236">
        <f t="shared" si="121"/>
        <v>1</v>
      </c>
      <c r="P711" s="676"/>
      <c r="Q711" s="3236">
        <f t="shared" si="122"/>
        <v>1</v>
      </c>
      <c r="R711" s="3237">
        <f t="shared" ca="1" si="123"/>
        <v>5706</v>
      </c>
      <c r="S711" s="1090">
        <f t="shared" ca="1" si="124"/>
        <v>21</v>
      </c>
    </row>
    <row r="712" spans="1:19">
      <c r="A712" s="674" t="str">
        <f>Sheet2!E692</f>
        <v>J1-015</v>
      </c>
      <c r="B712" s="3235">
        <f>Sheet2!F692</f>
        <v>37.520000000000003</v>
      </c>
      <c r="C712" s="3236">
        <f t="shared" si="115"/>
        <v>0.99</v>
      </c>
      <c r="D712" s="676"/>
      <c r="E712" s="3236">
        <f t="shared" si="116"/>
        <v>1</v>
      </c>
      <c r="F712" s="676"/>
      <c r="G712" s="3236">
        <f t="shared" si="117"/>
        <v>1</v>
      </c>
      <c r="H712" s="676"/>
      <c r="I712" s="3236">
        <f t="shared" si="118"/>
        <v>1</v>
      </c>
      <c r="J712" s="676"/>
      <c r="K712" s="3236">
        <f t="shared" si="119"/>
        <v>1</v>
      </c>
      <c r="L712" s="676"/>
      <c r="M712" s="3236">
        <f t="shared" si="120"/>
        <v>1</v>
      </c>
      <c r="N712" s="676"/>
      <c r="O712" s="3236">
        <f t="shared" si="121"/>
        <v>1</v>
      </c>
      <c r="P712" s="676"/>
      <c r="Q712" s="3236">
        <f t="shared" si="122"/>
        <v>1</v>
      </c>
      <c r="R712" s="3237">
        <f t="shared" ca="1" si="123"/>
        <v>5706</v>
      </c>
      <c r="S712" s="1090">
        <f t="shared" ca="1" si="124"/>
        <v>21</v>
      </c>
    </row>
    <row r="713" spans="1:19">
      <c r="A713" s="674" t="str">
        <f>Sheet2!E693</f>
        <v>J1-016</v>
      </c>
      <c r="B713" s="3235">
        <f>Sheet2!F693</f>
        <v>39.090000000000003</v>
      </c>
      <c r="C713" s="3236">
        <f t="shared" si="115"/>
        <v>0.99</v>
      </c>
      <c r="D713" s="676"/>
      <c r="E713" s="3236">
        <f t="shared" si="116"/>
        <v>1</v>
      </c>
      <c r="F713" s="676"/>
      <c r="G713" s="3236">
        <f t="shared" si="117"/>
        <v>1</v>
      </c>
      <c r="H713" s="676"/>
      <c r="I713" s="3236">
        <f t="shared" si="118"/>
        <v>1</v>
      </c>
      <c r="J713" s="676"/>
      <c r="K713" s="3236">
        <f t="shared" si="119"/>
        <v>1</v>
      </c>
      <c r="L713" s="676"/>
      <c r="M713" s="3236">
        <f t="shared" si="120"/>
        <v>1</v>
      </c>
      <c r="N713" s="676"/>
      <c r="O713" s="3236">
        <f t="shared" si="121"/>
        <v>1</v>
      </c>
      <c r="P713" s="676"/>
      <c r="Q713" s="3236">
        <f t="shared" si="122"/>
        <v>1</v>
      </c>
      <c r="R713" s="3237">
        <f t="shared" ca="1" si="123"/>
        <v>5706</v>
      </c>
      <c r="S713" s="1090">
        <f t="shared" ca="1" si="124"/>
        <v>22</v>
      </c>
    </row>
    <row r="714" spans="1:19">
      <c r="A714" s="674" t="str">
        <f>Sheet2!E694</f>
        <v>J1-017</v>
      </c>
      <c r="B714" s="3235">
        <f>Sheet2!F694</f>
        <v>39.090000000000003</v>
      </c>
      <c r="C714" s="3236">
        <f t="shared" si="115"/>
        <v>0.99</v>
      </c>
      <c r="D714" s="676"/>
      <c r="E714" s="3236">
        <f t="shared" si="116"/>
        <v>1</v>
      </c>
      <c r="F714" s="676"/>
      <c r="G714" s="3236">
        <f t="shared" si="117"/>
        <v>1</v>
      </c>
      <c r="H714" s="676"/>
      <c r="I714" s="3236">
        <f t="shared" si="118"/>
        <v>1</v>
      </c>
      <c r="J714" s="676"/>
      <c r="K714" s="3236">
        <f t="shared" si="119"/>
        <v>1</v>
      </c>
      <c r="L714" s="676"/>
      <c r="M714" s="3236">
        <f t="shared" si="120"/>
        <v>1</v>
      </c>
      <c r="N714" s="676"/>
      <c r="O714" s="3236">
        <f t="shared" si="121"/>
        <v>1</v>
      </c>
      <c r="P714" s="676"/>
      <c r="Q714" s="3236">
        <f t="shared" si="122"/>
        <v>1</v>
      </c>
      <c r="R714" s="3237">
        <f t="shared" ca="1" si="123"/>
        <v>5706</v>
      </c>
      <c r="S714" s="1090">
        <f t="shared" ca="1" si="124"/>
        <v>22</v>
      </c>
    </row>
    <row r="715" spans="1:19">
      <c r="A715" s="674" t="str">
        <f>Sheet2!E695</f>
        <v>J1-018</v>
      </c>
      <c r="B715" s="3235">
        <f>Sheet2!F695</f>
        <v>39.090000000000003</v>
      </c>
      <c r="C715" s="3236">
        <f t="shared" si="115"/>
        <v>0.99</v>
      </c>
      <c r="D715" s="676"/>
      <c r="E715" s="3236">
        <f t="shared" si="116"/>
        <v>1</v>
      </c>
      <c r="F715" s="676"/>
      <c r="G715" s="3236">
        <f t="shared" si="117"/>
        <v>1</v>
      </c>
      <c r="H715" s="676"/>
      <c r="I715" s="3236">
        <f t="shared" si="118"/>
        <v>1</v>
      </c>
      <c r="J715" s="676"/>
      <c r="K715" s="3236">
        <f t="shared" si="119"/>
        <v>1</v>
      </c>
      <c r="L715" s="676"/>
      <c r="M715" s="3236">
        <f t="shared" si="120"/>
        <v>1</v>
      </c>
      <c r="N715" s="676"/>
      <c r="O715" s="3236">
        <f t="shared" si="121"/>
        <v>1</v>
      </c>
      <c r="P715" s="676"/>
      <c r="Q715" s="3236">
        <f t="shared" si="122"/>
        <v>1</v>
      </c>
      <c r="R715" s="3237">
        <f t="shared" ca="1" si="123"/>
        <v>5706</v>
      </c>
      <c r="S715" s="1090">
        <f t="shared" ca="1" si="124"/>
        <v>22</v>
      </c>
    </row>
    <row r="716" spans="1:19">
      <c r="A716" s="674" t="str">
        <f>Sheet2!E696</f>
        <v>J1-019</v>
      </c>
      <c r="B716" s="3235">
        <f>Sheet2!F696</f>
        <v>37.4</v>
      </c>
      <c r="C716" s="3236">
        <f t="shared" si="115"/>
        <v>0.99</v>
      </c>
      <c r="D716" s="676"/>
      <c r="E716" s="3236">
        <f t="shared" si="116"/>
        <v>1</v>
      </c>
      <c r="F716" s="676"/>
      <c r="G716" s="3236">
        <f t="shared" si="117"/>
        <v>1</v>
      </c>
      <c r="H716" s="676"/>
      <c r="I716" s="3236">
        <f t="shared" si="118"/>
        <v>1</v>
      </c>
      <c r="J716" s="676"/>
      <c r="K716" s="3236">
        <f t="shared" si="119"/>
        <v>1</v>
      </c>
      <c r="L716" s="676"/>
      <c r="M716" s="3236">
        <f t="shared" si="120"/>
        <v>1</v>
      </c>
      <c r="N716" s="676"/>
      <c r="O716" s="3236">
        <f t="shared" si="121"/>
        <v>1</v>
      </c>
      <c r="P716" s="676"/>
      <c r="Q716" s="3236">
        <f t="shared" si="122"/>
        <v>1</v>
      </c>
      <c r="R716" s="3237">
        <f t="shared" ca="1" si="123"/>
        <v>5706</v>
      </c>
      <c r="S716" s="1090">
        <f t="shared" ca="1" si="124"/>
        <v>21</v>
      </c>
    </row>
    <row r="717" spans="1:19">
      <c r="A717" s="674" t="str">
        <f>Sheet2!E697</f>
        <v>J1-020</v>
      </c>
      <c r="B717" s="3235">
        <f>Sheet2!F697</f>
        <v>39.840000000000003</v>
      </c>
      <c r="C717" s="3236">
        <f t="shared" ref="C717:C780" si="125">IF(B717="",1,(LOOKUP(B717,$3:$3,$4:$4)-LOOKUP($B$24,$3:$3,$4:$4)+100)/100)</f>
        <v>0.99</v>
      </c>
      <c r="D717" s="676"/>
      <c r="E717" s="3236">
        <f t="shared" ref="E717:E780" si="126">(SUMIF($5:$5,D717,$6:$6)-SUMIF($5:$5,$D$24,$6:$6)+100)/100</f>
        <v>1</v>
      </c>
      <c r="F717" s="676"/>
      <c r="G717" s="3236">
        <f t="shared" ref="G717:G780" si="127">(SUMIF($7:$7,F717,$8:$8)-SUMIF($7:$7,$F$24,$8:$8)+100)/100</f>
        <v>1</v>
      </c>
      <c r="H717" s="676"/>
      <c r="I717" s="3236">
        <f t="shared" ref="I717:I780" si="128">(SUMIF($9:$9,H717,$10:$10)-SUMIF($9:$9,$H$24,$10:$10)+100)/100</f>
        <v>1</v>
      </c>
      <c r="J717" s="676"/>
      <c r="K717" s="3236">
        <f t="shared" ref="K717:K780" si="129">(SUMIF($11:$11,J717,$12:$12)-SUMIF($11:$11,$J$24,$12:$12)+100)/100</f>
        <v>1</v>
      </c>
      <c r="L717" s="676"/>
      <c r="M717" s="3236">
        <f t="shared" ref="M717:M780" si="130">(SUMIF($13:$13,L717,$14:$14)-SUMIF($13:$13,$L$24,$14:$14)+100)/100</f>
        <v>1</v>
      </c>
      <c r="N717" s="676"/>
      <c r="O717" s="3236">
        <f t="shared" ref="O717:O780" si="131">(SUMIF($15:$15,N717,$16:$16)-SUMIF($15:$15,$N$24,$16:$16)+100)/100</f>
        <v>1</v>
      </c>
      <c r="P717" s="676"/>
      <c r="Q717" s="3236">
        <f t="shared" ref="Q717:Q780" si="132">(SUMIF($17:$17,P717,$18:$18)-SUMIF($17:$17,$P$24,$18:$18)+100)/100</f>
        <v>1</v>
      </c>
      <c r="R717" s="3237">
        <f t="shared" ref="R717:R780" ca="1" si="133">IF(B717="",0,ROUND($R$24*C717*E717*G717*I717*K717*M717*O717*Q717,0))</f>
        <v>5706</v>
      </c>
      <c r="S717" s="1090">
        <f t="shared" ref="S717:S780" ca="1" si="134">ROUND(R717*B717/10000,0)</f>
        <v>23</v>
      </c>
    </row>
    <row r="718" spans="1:19">
      <c r="A718" s="674" t="str">
        <f>Sheet2!E698</f>
        <v>J1-021</v>
      </c>
      <c r="B718" s="3235">
        <f>Sheet2!F698</f>
        <v>45.34</v>
      </c>
      <c r="C718" s="3236">
        <f t="shared" si="125"/>
        <v>0.98</v>
      </c>
      <c r="D718" s="676"/>
      <c r="E718" s="3236">
        <f t="shared" si="126"/>
        <v>1</v>
      </c>
      <c r="F718" s="676"/>
      <c r="G718" s="3236">
        <f t="shared" si="127"/>
        <v>1</v>
      </c>
      <c r="H718" s="676"/>
      <c r="I718" s="3236">
        <f t="shared" si="128"/>
        <v>1</v>
      </c>
      <c r="J718" s="676"/>
      <c r="K718" s="3236">
        <f t="shared" si="129"/>
        <v>1</v>
      </c>
      <c r="L718" s="676"/>
      <c r="M718" s="3236">
        <f t="shared" si="130"/>
        <v>1</v>
      </c>
      <c r="N718" s="676"/>
      <c r="O718" s="3236">
        <f t="shared" si="131"/>
        <v>1</v>
      </c>
      <c r="P718" s="676"/>
      <c r="Q718" s="3236">
        <f t="shared" si="132"/>
        <v>1</v>
      </c>
      <c r="R718" s="3237">
        <f t="shared" ca="1" si="133"/>
        <v>5649</v>
      </c>
      <c r="S718" s="1090">
        <f t="shared" ca="1" si="134"/>
        <v>26</v>
      </c>
    </row>
    <row r="719" spans="1:19">
      <c r="A719" s="674" t="str">
        <f>Sheet2!E699</f>
        <v>J1-022</v>
      </c>
      <c r="B719" s="3235">
        <f>Sheet2!F699</f>
        <v>45.34</v>
      </c>
      <c r="C719" s="3236">
        <f t="shared" si="125"/>
        <v>0.98</v>
      </c>
      <c r="D719" s="676"/>
      <c r="E719" s="3236">
        <f t="shared" si="126"/>
        <v>1</v>
      </c>
      <c r="F719" s="676"/>
      <c r="G719" s="3236">
        <f t="shared" si="127"/>
        <v>1</v>
      </c>
      <c r="H719" s="676"/>
      <c r="I719" s="3236">
        <f t="shared" si="128"/>
        <v>1</v>
      </c>
      <c r="J719" s="676"/>
      <c r="K719" s="3236">
        <f t="shared" si="129"/>
        <v>1</v>
      </c>
      <c r="L719" s="676"/>
      <c r="M719" s="3236">
        <f t="shared" si="130"/>
        <v>1</v>
      </c>
      <c r="N719" s="676"/>
      <c r="O719" s="3236">
        <f t="shared" si="131"/>
        <v>1</v>
      </c>
      <c r="P719" s="676"/>
      <c r="Q719" s="3236">
        <f t="shared" si="132"/>
        <v>1</v>
      </c>
      <c r="R719" s="3237">
        <f t="shared" ca="1" si="133"/>
        <v>5649</v>
      </c>
      <c r="S719" s="1090">
        <f t="shared" ca="1" si="134"/>
        <v>26</v>
      </c>
    </row>
    <row r="720" spans="1:19">
      <c r="A720" s="674" t="str">
        <f>Sheet2!E700</f>
        <v>J1-023</v>
      </c>
      <c r="B720" s="3235">
        <f>Sheet2!F700</f>
        <v>45.34</v>
      </c>
      <c r="C720" s="3236">
        <f t="shared" si="125"/>
        <v>0.98</v>
      </c>
      <c r="D720" s="676"/>
      <c r="E720" s="3236">
        <f t="shared" si="126"/>
        <v>1</v>
      </c>
      <c r="F720" s="676"/>
      <c r="G720" s="3236">
        <f t="shared" si="127"/>
        <v>1</v>
      </c>
      <c r="H720" s="676"/>
      <c r="I720" s="3236">
        <f t="shared" si="128"/>
        <v>1</v>
      </c>
      <c r="J720" s="676"/>
      <c r="K720" s="3236">
        <f t="shared" si="129"/>
        <v>1</v>
      </c>
      <c r="L720" s="676"/>
      <c r="M720" s="3236">
        <f t="shared" si="130"/>
        <v>1</v>
      </c>
      <c r="N720" s="676"/>
      <c r="O720" s="3236">
        <f t="shared" si="131"/>
        <v>1</v>
      </c>
      <c r="P720" s="676"/>
      <c r="Q720" s="3236">
        <f t="shared" si="132"/>
        <v>1</v>
      </c>
      <c r="R720" s="3237">
        <f t="shared" ca="1" si="133"/>
        <v>5649</v>
      </c>
      <c r="S720" s="1090">
        <f t="shared" ca="1" si="134"/>
        <v>26</v>
      </c>
    </row>
    <row r="721" spans="1:19">
      <c r="A721" s="674" t="str">
        <f>Sheet2!E701</f>
        <v>J1-025</v>
      </c>
      <c r="B721" s="3235">
        <f>Sheet2!F701</f>
        <v>36.020000000000003</v>
      </c>
      <c r="C721" s="3236">
        <f t="shared" si="125"/>
        <v>0.99</v>
      </c>
      <c r="D721" s="676"/>
      <c r="E721" s="3236">
        <f t="shared" si="126"/>
        <v>1</v>
      </c>
      <c r="F721" s="676"/>
      <c r="G721" s="3236">
        <f t="shared" si="127"/>
        <v>1</v>
      </c>
      <c r="H721" s="676"/>
      <c r="I721" s="3236">
        <f t="shared" si="128"/>
        <v>1</v>
      </c>
      <c r="J721" s="676"/>
      <c r="K721" s="3236">
        <f t="shared" si="129"/>
        <v>1</v>
      </c>
      <c r="L721" s="676"/>
      <c r="M721" s="3236">
        <f t="shared" si="130"/>
        <v>1</v>
      </c>
      <c r="N721" s="676"/>
      <c r="O721" s="3236">
        <f t="shared" si="131"/>
        <v>1</v>
      </c>
      <c r="P721" s="676"/>
      <c r="Q721" s="3236">
        <f t="shared" si="132"/>
        <v>1</v>
      </c>
      <c r="R721" s="3237">
        <f t="shared" ca="1" si="133"/>
        <v>5706</v>
      </c>
      <c r="S721" s="1090">
        <f t="shared" ca="1" si="134"/>
        <v>21</v>
      </c>
    </row>
    <row r="722" spans="1:19">
      <c r="A722" s="674" t="str">
        <f>Sheet2!E702</f>
        <v>J1-026</v>
      </c>
      <c r="B722" s="3235">
        <f>Sheet2!F702</f>
        <v>36.020000000000003</v>
      </c>
      <c r="C722" s="3236">
        <f t="shared" si="125"/>
        <v>0.99</v>
      </c>
      <c r="D722" s="676"/>
      <c r="E722" s="3236">
        <f t="shared" si="126"/>
        <v>1</v>
      </c>
      <c r="F722" s="676"/>
      <c r="G722" s="3236">
        <f t="shared" si="127"/>
        <v>1</v>
      </c>
      <c r="H722" s="676"/>
      <c r="I722" s="3236">
        <f t="shared" si="128"/>
        <v>1</v>
      </c>
      <c r="J722" s="676"/>
      <c r="K722" s="3236">
        <f t="shared" si="129"/>
        <v>1</v>
      </c>
      <c r="L722" s="676"/>
      <c r="M722" s="3236">
        <f t="shared" si="130"/>
        <v>1</v>
      </c>
      <c r="N722" s="676"/>
      <c r="O722" s="3236">
        <f t="shared" si="131"/>
        <v>1</v>
      </c>
      <c r="P722" s="676"/>
      <c r="Q722" s="3236">
        <f t="shared" si="132"/>
        <v>1</v>
      </c>
      <c r="R722" s="3237">
        <f t="shared" ca="1" si="133"/>
        <v>5706</v>
      </c>
      <c r="S722" s="1090">
        <f t="shared" ca="1" si="134"/>
        <v>21</v>
      </c>
    </row>
    <row r="723" spans="1:19">
      <c r="A723" s="674" t="str">
        <f>Sheet2!E703</f>
        <v>J1-027</v>
      </c>
      <c r="B723" s="3235">
        <f>Sheet2!F703</f>
        <v>36.020000000000003</v>
      </c>
      <c r="C723" s="3236">
        <f t="shared" si="125"/>
        <v>0.99</v>
      </c>
      <c r="D723" s="676"/>
      <c r="E723" s="3236">
        <f t="shared" si="126"/>
        <v>1</v>
      </c>
      <c r="F723" s="676"/>
      <c r="G723" s="3236">
        <f t="shared" si="127"/>
        <v>1</v>
      </c>
      <c r="H723" s="676"/>
      <c r="I723" s="3236">
        <f t="shared" si="128"/>
        <v>1</v>
      </c>
      <c r="J723" s="676"/>
      <c r="K723" s="3236">
        <f t="shared" si="129"/>
        <v>1</v>
      </c>
      <c r="L723" s="676"/>
      <c r="M723" s="3236">
        <f t="shared" si="130"/>
        <v>1</v>
      </c>
      <c r="N723" s="676"/>
      <c r="O723" s="3236">
        <f t="shared" si="131"/>
        <v>1</v>
      </c>
      <c r="P723" s="676"/>
      <c r="Q723" s="3236">
        <f t="shared" si="132"/>
        <v>1</v>
      </c>
      <c r="R723" s="3237">
        <f t="shared" ca="1" si="133"/>
        <v>5706</v>
      </c>
      <c r="S723" s="1090">
        <f t="shared" ca="1" si="134"/>
        <v>21</v>
      </c>
    </row>
    <row r="724" spans="1:19">
      <c r="A724" s="674" t="str">
        <f>Sheet2!E704</f>
        <v>J1-028</v>
      </c>
      <c r="B724" s="3235">
        <f>Sheet2!F704</f>
        <v>36.020000000000003</v>
      </c>
      <c r="C724" s="3236">
        <f t="shared" si="125"/>
        <v>0.99</v>
      </c>
      <c r="D724" s="676"/>
      <c r="E724" s="3236">
        <f t="shared" si="126"/>
        <v>1</v>
      </c>
      <c r="F724" s="676"/>
      <c r="G724" s="3236">
        <f t="shared" si="127"/>
        <v>1</v>
      </c>
      <c r="H724" s="676"/>
      <c r="I724" s="3236">
        <f t="shared" si="128"/>
        <v>1</v>
      </c>
      <c r="J724" s="676"/>
      <c r="K724" s="3236">
        <f t="shared" si="129"/>
        <v>1</v>
      </c>
      <c r="L724" s="676"/>
      <c r="M724" s="3236">
        <f t="shared" si="130"/>
        <v>1</v>
      </c>
      <c r="N724" s="676"/>
      <c r="O724" s="3236">
        <f t="shared" si="131"/>
        <v>1</v>
      </c>
      <c r="P724" s="676"/>
      <c r="Q724" s="3236">
        <f t="shared" si="132"/>
        <v>1</v>
      </c>
      <c r="R724" s="3237">
        <f t="shared" ca="1" si="133"/>
        <v>5706</v>
      </c>
      <c r="S724" s="1090">
        <f t="shared" ca="1" si="134"/>
        <v>21</v>
      </c>
    </row>
    <row r="725" spans="1:19">
      <c r="A725" s="674" t="str">
        <f>Sheet2!E705</f>
        <v>J1-029</v>
      </c>
      <c r="B725" s="3235">
        <f>Sheet2!F705</f>
        <v>36.020000000000003</v>
      </c>
      <c r="C725" s="3236">
        <f t="shared" si="125"/>
        <v>0.99</v>
      </c>
      <c r="D725" s="676"/>
      <c r="E725" s="3236">
        <f t="shared" si="126"/>
        <v>1</v>
      </c>
      <c r="F725" s="676"/>
      <c r="G725" s="3236">
        <f t="shared" si="127"/>
        <v>1</v>
      </c>
      <c r="H725" s="676"/>
      <c r="I725" s="3236">
        <f t="shared" si="128"/>
        <v>1</v>
      </c>
      <c r="J725" s="676"/>
      <c r="K725" s="3236">
        <f t="shared" si="129"/>
        <v>1</v>
      </c>
      <c r="L725" s="676"/>
      <c r="M725" s="3236">
        <f t="shared" si="130"/>
        <v>1</v>
      </c>
      <c r="N725" s="676"/>
      <c r="O725" s="3236">
        <f t="shared" si="131"/>
        <v>1</v>
      </c>
      <c r="P725" s="676"/>
      <c r="Q725" s="3236">
        <f t="shared" si="132"/>
        <v>1</v>
      </c>
      <c r="R725" s="3237">
        <f t="shared" ca="1" si="133"/>
        <v>5706</v>
      </c>
      <c r="S725" s="1090">
        <f t="shared" ca="1" si="134"/>
        <v>21</v>
      </c>
    </row>
    <row r="726" spans="1:19">
      <c r="A726" s="674" t="str">
        <f>Sheet2!E706</f>
        <v>J1-030</v>
      </c>
      <c r="B726" s="3235">
        <f>Sheet2!F706</f>
        <v>36.020000000000003</v>
      </c>
      <c r="C726" s="3236">
        <f t="shared" si="125"/>
        <v>0.99</v>
      </c>
      <c r="D726" s="676"/>
      <c r="E726" s="3236">
        <f t="shared" si="126"/>
        <v>1</v>
      </c>
      <c r="F726" s="676"/>
      <c r="G726" s="3236">
        <f t="shared" si="127"/>
        <v>1</v>
      </c>
      <c r="H726" s="676"/>
      <c r="I726" s="3236">
        <f t="shared" si="128"/>
        <v>1</v>
      </c>
      <c r="J726" s="676"/>
      <c r="K726" s="3236">
        <f t="shared" si="129"/>
        <v>1</v>
      </c>
      <c r="L726" s="676"/>
      <c r="M726" s="3236">
        <f t="shared" si="130"/>
        <v>1</v>
      </c>
      <c r="N726" s="676"/>
      <c r="O726" s="3236">
        <f t="shared" si="131"/>
        <v>1</v>
      </c>
      <c r="P726" s="676"/>
      <c r="Q726" s="3236">
        <f t="shared" si="132"/>
        <v>1</v>
      </c>
      <c r="R726" s="3237">
        <f t="shared" ca="1" si="133"/>
        <v>5706</v>
      </c>
      <c r="S726" s="1090">
        <f t="shared" ca="1" si="134"/>
        <v>21</v>
      </c>
    </row>
    <row r="727" spans="1:19">
      <c r="A727" s="674" t="str">
        <f>Sheet2!E707</f>
        <v>J1-031</v>
      </c>
      <c r="B727" s="3235">
        <f>Sheet2!F707</f>
        <v>36.020000000000003</v>
      </c>
      <c r="C727" s="3236">
        <f t="shared" si="125"/>
        <v>0.99</v>
      </c>
      <c r="D727" s="676"/>
      <c r="E727" s="3236">
        <f t="shared" si="126"/>
        <v>1</v>
      </c>
      <c r="F727" s="676"/>
      <c r="G727" s="3236">
        <f t="shared" si="127"/>
        <v>1</v>
      </c>
      <c r="H727" s="676"/>
      <c r="I727" s="3236">
        <f t="shared" si="128"/>
        <v>1</v>
      </c>
      <c r="J727" s="676"/>
      <c r="K727" s="3236">
        <f t="shared" si="129"/>
        <v>1</v>
      </c>
      <c r="L727" s="676"/>
      <c r="M727" s="3236">
        <f t="shared" si="130"/>
        <v>1</v>
      </c>
      <c r="N727" s="676"/>
      <c r="O727" s="3236">
        <f t="shared" si="131"/>
        <v>1</v>
      </c>
      <c r="P727" s="676"/>
      <c r="Q727" s="3236">
        <f t="shared" si="132"/>
        <v>1</v>
      </c>
      <c r="R727" s="3237">
        <f t="shared" ca="1" si="133"/>
        <v>5706</v>
      </c>
      <c r="S727" s="1090">
        <f t="shared" ca="1" si="134"/>
        <v>21</v>
      </c>
    </row>
    <row r="728" spans="1:19">
      <c r="A728" s="674" t="str">
        <f>Sheet2!E708</f>
        <v>J1-032</v>
      </c>
      <c r="B728" s="3235">
        <f>Sheet2!F708</f>
        <v>36.020000000000003</v>
      </c>
      <c r="C728" s="3236">
        <f t="shared" si="125"/>
        <v>0.99</v>
      </c>
      <c r="D728" s="676"/>
      <c r="E728" s="3236">
        <f t="shared" si="126"/>
        <v>1</v>
      </c>
      <c r="F728" s="676"/>
      <c r="G728" s="3236">
        <f t="shared" si="127"/>
        <v>1</v>
      </c>
      <c r="H728" s="676"/>
      <c r="I728" s="3236">
        <f t="shared" si="128"/>
        <v>1</v>
      </c>
      <c r="J728" s="676"/>
      <c r="K728" s="3236">
        <f t="shared" si="129"/>
        <v>1</v>
      </c>
      <c r="L728" s="676"/>
      <c r="M728" s="3236">
        <f t="shared" si="130"/>
        <v>1</v>
      </c>
      <c r="N728" s="676"/>
      <c r="O728" s="3236">
        <f t="shared" si="131"/>
        <v>1</v>
      </c>
      <c r="P728" s="676"/>
      <c r="Q728" s="3236">
        <f t="shared" si="132"/>
        <v>1</v>
      </c>
      <c r="R728" s="3237">
        <f t="shared" ca="1" si="133"/>
        <v>5706</v>
      </c>
      <c r="S728" s="1090">
        <f t="shared" ca="1" si="134"/>
        <v>21</v>
      </c>
    </row>
    <row r="729" spans="1:19">
      <c r="A729" s="674" t="str">
        <f>Sheet2!E709</f>
        <v>J1-033</v>
      </c>
      <c r="B729" s="3235">
        <f>Sheet2!F709</f>
        <v>36.020000000000003</v>
      </c>
      <c r="C729" s="3236">
        <f t="shared" si="125"/>
        <v>0.99</v>
      </c>
      <c r="D729" s="676"/>
      <c r="E729" s="3236">
        <f t="shared" si="126"/>
        <v>1</v>
      </c>
      <c r="F729" s="676"/>
      <c r="G729" s="3236">
        <f t="shared" si="127"/>
        <v>1</v>
      </c>
      <c r="H729" s="676"/>
      <c r="I729" s="3236">
        <f t="shared" si="128"/>
        <v>1</v>
      </c>
      <c r="J729" s="676"/>
      <c r="K729" s="3236">
        <f t="shared" si="129"/>
        <v>1</v>
      </c>
      <c r="L729" s="676"/>
      <c r="M729" s="3236">
        <f t="shared" si="130"/>
        <v>1</v>
      </c>
      <c r="N729" s="676"/>
      <c r="O729" s="3236">
        <f t="shared" si="131"/>
        <v>1</v>
      </c>
      <c r="P729" s="676"/>
      <c r="Q729" s="3236">
        <f t="shared" si="132"/>
        <v>1</v>
      </c>
      <c r="R729" s="3237">
        <f t="shared" ca="1" si="133"/>
        <v>5706</v>
      </c>
      <c r="S729" s="1090">
        <f t="shared" ca="1" si="134"/>
        <v>21</v>
      </c>
    </row>
    <row r="730" spans="1:19">
      <c r="A730" s="674" t="str">
        <f>Sheet2!E710</f>
        <v>J1-034</v>
      </c>
      <c r="B730" s="3235">
        <f>Sheet2!F710</f>
        <v>36.020000000000003</v>
      </c>
      <c r="C730" s="3236">
        <f t="shared" si="125"/>
        <v>0.99</v>
      </c>
      <c r="D730" s="676"/>
      <c r="E730" s="3236">
        <f t="shared" si="126"/>
        <v>1</v>
      </c>
      <c r="F730" s="676"/>
      <c r="G730" s="3236">
        <f t="shared" si="127"/>
        <v>1</v>
      </c>
      <c r="H730" s="676"/>
      <c r="I730" s="3236">
        <f t="shared" si="128"/>
        <v>1</v>
      </c>
      <c r="J730" s="676"/>
      <c r="K730" s="3236">
        <f t="shared" si="129"/>
        <v>1</v>
      </c>
      <c r="L730" s="676"/>
      <c r="M730" s="3236">
        <f t="shared" si="130"/>
        <v>1</v>
      </c>
      <c r="N730" s="676"/>
      <c r="O730" s="3236">
        <f t="shared" si="131"/>
        <v>1</v>
      </c>
      <c r="P730" s="676"/>
      <c r="Q730" s="3236">
        <f t="shared" si="132"/>
        <v>1</v>
      </c>
      <c r="R730" s="3237">
        <f t="shared" ca="1" si="133"/>
        <v>5706</v>
      </c>
      <c r="S730" s="1090">
        <f t="shared" ca="1" si="134"/>
        <v>21</v>
      </c>
    </row>
    <row r="731" spans="1:19">
      <c r="A731" s="674" t="str">
        <f>Sheet2!E711</f>
        <v>J1-035</v>
      </c>
      <c r="B731" s="3235">
        <f>Sheet2!F711</f>
        <v>36.020000000000003</v>
      </c>
      <c r="C731" s="3236">
        <f t="shared" si="125"/>
        <v>0.99</v>
      </c>
      <c r="D731" s="676"/>
      <c r="E731" s="3236">
        <f t="shared" si="126"/>
        <v>1</v>
      </c>
      <c r="F731" s="676"/>
      <c r="G731" s="3236">
        <f t="shared" si="127"/>
        <v>1</v>
      </c>
      <c r="H731" s="676"/>
      <c r="I731" s="3236">
        <f t="shared" si="128"/>
        <v>1</v>
      </c>
      <c r="J731" s="676"/>
      <c r="K731" s="3236">
        <f t="shared" si="129"/>
        <v>1</v>
      </c>
      <c r="L731" s="676"/>
      <c r="M731" s="3236">
        <f t="shared" si="130"/>
        <v>1</v>
      </c>
      <c r="N731" s="676"/>
      <c r="O731" s="3236">
        <f t="shared" si="131"/>
        <v>1</v>
      </c>
      <c r="P731" s="676"/>
      <c r="Q731" s="3236">
        <f t="shared" si="132"/>
        <v>1</v>
      </c>
      <c r="R731" s="3237">
        <f t="shared" ca="1" si="133"/>
        <v>5706</v>
      </c>
      <c r="S731" s="1090">
        <f t="shared" ca="1" si="134"/>
        <v>21</v>
      </c>
    </row>
    <row r="732" spans="1:19">
      <c r="A732" s="674" t="str">
        <f>Sheet2!E712</f>
        <v>J1-036</v>
      </c>
      <c r="B732" s="3235">
        <f>Sheet2!F712</f>
        <v>36.020000000000003</v>
      </c>
      <c r="C732" s="3236">
        <f t="shared" si="125"/>
        <v>0.99</v>
      </c>
      <c r="D732" s="676"/>
      <c r="E732" s="3236">
        <f t="shared" si="126"/>
        <v>1</v>
      </c>
      <c r="F732" s="676"/>
      <c r="G732" s="3236">
        <f t="shared" si="127"/>
        <v>1</v>
      </c>
      <c r="H732" s="676"/>
      <c r="I732" s="3236">
        <f t="shared" si="128"/>
        <v>1</v>
      </c>
      <c r="J732" s="676"/>
      <c r="K732" s="3236">
        <f t="shared" si="129"/>
        <v>1</v>
      </c>
      <c r="L732" s="676"/>
      <c r="M732" s="3236">
        <f t="shared" si="130"/>
        <v>1</v>
      </c>
      <c r="N732" s="676"/>
      <c r="O732" s="3236">
        <f t="shared" si="131"/>
        <v>1</v>
      </c>
      <c r="P732" s="676"/>
      <c r="Q732" s="3236">
        <f t="shared" si="132"/>
        <v>1</v>
      </c>
      <c r="R732" s="3237">
        <f t="shared" ca="1" si="133"/>
        <v>5706</v>
      </c>
      <c r="S732" s="1090">
        <f t="shared" ca="1" si="134"/>
        <v>21</v>
      </c>
    </row>
    <row r="733" spans="1:19">
      <c r="A733" s="674" t="str">
        <f>Sheet2!E713</f>
        <v>J1-037</v>
      </c>
      <c r="B733" s="3235">
        <f>Sheet2!F713</f>
        <v>39.090000000000003</v>
      </c>
      <c r="C733" s="3236">
        <f t="shared" si="125"/>
        <v>0.99</v>
      </c>
      <c r="D733" s="676"/>
      <c r="E733" s="3236">
        <f t="shared" si="126"/>
        <v>1</v>
      </c>
      <c r="F733" s="676"/>
      <c r="G733" s="3236">
        <f t="shared" si="127"/>
        <v>1</v>
      </c>
      <c r="H733" s="676"/>
      <c r="I733" s="3236">
        <f t="shared" si="128"/>
        <v>1</v>
      </c>
      <c r="J733" s="676"/>
      <c r="K733" s="3236">
        <f t="shared" si="129"/>
        <v>1</v>
      </c>
      <c r="L733" s="676"/>
      <c r="M733" s="3236">
        <f t="shared" si="130"/>
        <v>1</v>
      </c>
      <c r="N733" s="676"/>
      <c r="O733" s="3236">
        <f t="shared" si="131"/>
        <v>1</v>
      </c>
      <c r="P733" s="676"/>
      <c r="Q733" s="3236">
        <f t="shared" si="132"/>
        <v>1</v>
      </c>
      <c r="R733" s="3237">
        <f t="shared" ca="1" si="133"/>
        <v>5706</v>
      </c>
      <c r="S733" s="1090">
        <f t="shared" ca="1" si="134"/>
        <v>22</v>
      </c>
    </row>
    <row r="734" spans="1:19">
      <c r="A734" s="674" t="str">
        <f>Sheet2!E714</f>
        <v>J1-038</v>
      </c>
      <c r="B734" s="3235">
        <f>Sheet2!F714</f>
        <v>39.090000000000003</v>
      </c>
      <c r="C734" s="3236">
        <f t="shared" si="125"/>
        <v>0.99</v>
      </c>
      <c r="D734" s="676"/>
      <c r="E734" s="3236">
        <f t="shared" si="126"/>
        <v>1</v>
      </c>
      <c r="F734" s="676"/>
      <c r="G734" s="3236">
        <f t="shared" si="127"/>
        <v>1</v>
      </c>
      <c r="H734" s="676"/>
      <c r="I734" s="3236">
        <f t="shared" si="128"/>
        <v>1</v>
      </c>
      <c r="J734" s="676"/>
      <c r="K734" s="3236">
        <f t="shared" si="129"/>
        <v>1</v>
      </c>
      <c r="L734" s="676"/>
      <c r="M734" s="3236">
        <f t="shared" si="130"/>
        <v>1</v>
      </c>
      <c r="N734" s="676"/>
      <c r="O734" s="3236">
        <f t="shared" si="131"/>
        <v>1</v>
      </c>
      <c r="P734" s="676"/>
      <c r="Q734" s="3236">
        <f t="shared" si="132"/>
        <v>1</v>
      </c>
      <c r="R734" s="3237">
        <f t="shared" ca="1" si="133"/>
        <v>5706</v>
      </c>
      <c r="S734" s="1090">
        <f t="shared" ca="1" si="134"/>
        <v>22</v>
      </c>
    </row>
    <row r="735" spans="1:19">
      <c r="A735" s="674" t="str">
        <f>Sheet2!E715</f>
        <v>J1-039</v>
      </c>
      <c r="B735" s="3235">
        <f>Sheet2!F715</f>
        <v>39.090000000000003</v>
      </c>
      <c r="C735" s="3236">
        <f t="shared" si="125"/>
        <v>0.99</v>
      </c>
      <c r="D735" s="676"/>
      <c r="E735" s="3236">
        <f t="shared" si="126"/>
        <v>1</v>
      </c>
      <c r="F735" s="676"/>
      <c r="G735" s="3236">
        <f t="shared" si="127"/>
        <v>1</v>
      </c>
      <c r="H735" s="676"/>
      <c r="I735" s="3236">
        <f t="shared" si="128"/>
        <v>1</v>
      </c>
      <c r="J735" s="676"/>
      <c r="K735" s="3236">
        <f t="shared" si="129"/>
        <v>1</v>
      </c>
      <c r="L735" s="676"/>
      <c r="M735" s="3236">
        <f t="shared" si="130"/>
        <v>1</v>
      </c>
      <c r="N735" s="676"/>
      <c r="O735" s="3236">
        <f t="shared" si="131"/>
        <v>1</v>
      </c>
      <c r="P735" s="676"/>
      <c r="Q735" s="3236">
        <f t="shared" si="132"/>
        <v>1</v>
      </c>
      <c r="R735" s="3237">
        <f t="shared" ca="1" si="133"/>
        <v>5706</v>
      </c>
      <c r="S735" s="1090">
        <f t="shared" ca="1" si="134"/>
        <v>22</v>
      </c>
    </row>
    <row r="736" spans="1:19">
      <c r="A736" s="674" t="str">
        <f>Sheet2!E716</f>
        <v>J1-041</v>
      </c>
      <c r="B736" s="3235">
        <f>Sheet2!F716</f>
        <v>36.020000000000003</v>
      </c>
      <c r="C736" s="3236">
        <f t="shared" si="125"/>
        <v>0.99</v>
      </c>
      <c r="D736" s="676"/>
      <c r="E736" s="3236">
        <f t="shared" si="126"/>
        <v>1</v>
      </c>
      <c r="F736" s="676"/>
      <c r="G736" s="3236">
        <f t="shared" si="127"/>
        <v>1</v>
      </c>
      <c r="H736" s="676"/>
      <c r="I736" s="3236">
        <f t="shared" si="128"/>
        <v>1</v>
      </c>
      <c r="J736" s="676"/>
      <c r="K736" s="3236">
        <f t="shared" si="129"/>
        <v>1</v>
      </c>
      <c r="L736" s="676"/>
      <c r="M736" s="3236">
        <f t="shared" si="130"/>
        <v>1</v>
      </c>
      <c r="N736" s="676"/>
      <c r="O736" s="3236">
        <f t="shared" si="131"/>
        <v>1</v>
      </c>
      <c r="P736" s="676"/>
      <c r="Q736" s="3236">
        <f t="shared" si="132"/>
        <v>1</v>
      </c>
      <c r="R736" s="3237">
        <f t="shared" ca="1" si="133"/>
        <v>5706</v>
      </c>
      <c r="S736" s="1090">
        <f t="shared" ca="1" si="134"/>
        <v>21</v>
      </c>
    </row>
    <row r="737" spans="1:19">
      <c r="A737" s="674" t="str">
        <f>Sheet2!E717</f>
        <v>J1-042</v>
      </c>
      <c r="B737" s="3235">
        <f>Sheet2!F717</f>
        <v>36.020000000000003</v>
      </c>
      <c r="C737" s="3236">
        <f t="shared" si="125"/>
        <v>0.99</v>
      </c>
      <c r="D737" s="676"/>
      <c r="E737" s="3236">
        <f t="shared" si="126"/>
        <v>1</v>
      </c>
      <c r="F737" s="676"/>
      <c r="G737" s="3236">
        <f t="shared" si="127"/>
        <v>1</v>
      </c>
      <c r="H737" s="676"/>
      <c r="I737" s="3236">
        <f t="shared" si="128"/>
        <v>1</v>
      </c>
      <c r="J737" s="676"/>
      <c r="K737" s="3236">
        <f t="shared" si="129"/>
        <v>1</v>
      </c>
      <c r="L737" s="676"/>
      <c r="M737" s="3236">
        <f t="shared" si="130"/>
        <v>1</v>
      </c>
      <c r="N737" s="676"/>
      <c r="O737" s="3236">
        <f t="shared" si="131"/>
        <v>1</v>
      </c>
      <c r="P737" s="676"/>
      <c r="Q737" s="3236">
        <f t="shared" si="132"/>
        <v>1</v>
      </c>
      <c r="R737" s="3237">
        <f t="shared" ca="1" si="133"/>
        <v>5706</v>
      </c>
      <c r="S737" s="1090">
        <f t="shared" ca="1" si="134"/>
        <v>21</v>
      </c>
    </row>
    <row r="738" spans="1:19">
      <c r="A738" s="674" t="str">
        <f>Sheet2!E718</f>
        <v>J1-043</v>
      </c>
      <c r="B738" s="3235">
        <f>Sheet2!F718</f>
        <v>36.020000000000003</v>
      </c>
      <c r="C738" s="3236">
        <f t="shared" si="125"/>
        <v>0.99</v>
      </c>
      <c r="D738" s="676"/>
      <c r="E738" s="3236">
        <f t="shared" si="126"/>
        <v>1</v>
      </c>
      <c r="F738" s="676"/>
      <c r="G738" s="3236">
        <f t="shared" si="127"/>
        <v>1</v>
      </c>
      <c r="H738" s="676"/>
      <c r="I738" s="3236">
        <f t="shared" si="128"/>
        <v>1</v>
      </c>
      <c r="J738" s="676"/>
      <c r="K738" s="3236">
        <f t="shared" si="129"/>
        <v>1</v>
      </c>
      <c r="L738" s="676"/>
      <c r="M738" s="3236">
        <f t="shared" si="130"/>
        <v>1</v>
      </c>
      <c r="N738" s="676"/>
      <c r="O738" s="3236">
        <f t="shared" si="131"/>
        <v>1</v>
      </c>
      <c r="P738" s="676"/>
      <c r="Q738" s="3236">
        <f t="shared" si="132"/>
        <v>1</v>
      </c>
      <c r="R738" s="3237">
        <f t="shared" ca="1" si="133"/>
        <v>5706</v>
      </c>
      <c r="S738" s="1090">
        <f t="shared" ca="1" si="134"/>
        <v>21</v>
      </c>
    </row>
    <row r="739" spans="1:19">
      <c r="A739" s="674" t="str">
        <f>Sheet2!E719</f>
        <v>J1-046</v>
      </c>
      <c r="B739" s="3235">
        <f>Sheet2!F719</f>
        <v>39.090000000000003</v>
      </c>
      <c r="C739" s="3236">
        <f t="shared" si="125"/>
        <v>0.99</v>
      </c>
      <c r="D739" s="676"/>
      <c r="E739" s="3236">
        <f t="shared" si="126"/>
        <v>1</v>
      </c>
      <c r="F739" s="676"/>
      <c r="G739" s="3236">
        <f t="shared" si="127"/>
        <v>1</v>
      </c>
      <c r="H739" s="676"/>
      <c r="I739" s="3236">
        <f t="shared" si="128"/>
        <v>1</v>
      </c>
      <c r="J739" s="676"/>
      <c r="K739" s="3236">
        <f t="shared" si="129"/>
        <v>1</v>
      </c>
      <c r="L739" s="676"/>
      <c r="M739" s="3236">
        <f t="shared" si="130"/>
        <v>1</v>
      </c>
      <c r="N739" s="676"/>
      <c r="O739" s="3236">
        <f t="shared" si="131"/>
        <v>1</v>
      </c>
      <c r="P739" s="676"/>
      <c r="Q739" s="3236">
        <f t="shared" si="132"/>
        <v>1</v>
      </c>
      <c r="R739" s="3237">
        <f t="shared" ca="1" si="133"/>
        <v>5706</v>
      </c>
      <c r="S739" s="1090">
        <f t="shared" ca="1" si="134"/>
        <v>22</v>
      </c>
    </row>
    <row r="740" spans="1:19">
      <c r="A740" s="674" t="str">
        <f>Sheet2!E720</f>
        <v>J1-047</v>
      </c>
      <c r="B740" s="3235">
        <f>Sheet2!F720</f>
        <v>39.090000000000003</v>
      </c>
      <c r="C740" s="3236">
        <f t="shared" si="125"/>
        <v>0.99</v>
      </c>
      <c r="D740" s="676"/>
      <c r="E740" s="3236">
        <f t="shared" si="126"/>
        <v>1</v>
      </c>
      <c r="F740" s="676"/>
      <c r="G740" s="3236">
        <f t="shared" si="127"/>
        <v>1</v>
      </c>
      <c r="H740" s="676"/>
      <c r="I740" s="3236">
        <f t="shared" si="128"/>
        <v>1</v>
      </c>
      <c r="J740" s="676"/>
      <c r="K740" s="3236">
        <f t="shared" si="129"/>
        <v>1</v>
      </c>
      <c r="L740" s="676"/>
      <c r="M740" s="3236">
        <f t="shared" si="130"/>
        <v>1</v>
      </c>
      <c r="N740" s="676"/>
      <c r="O740" s="3236">
        <f t="shared" si="131"/>
        <v>1</v>
      </c>
      <c r="P740" s="676"/>
      <c r="Q740" s="3236">
        <f t="shared" si="132"/>
        <v>1</v>
      </c>
      <c r="R740" s="3237">
        <f t="shared" ca="1" si="133"/>
        <v>5706</v>
      </c>
      <c r="S740" s="1090">
        <f t="shared" ca="1" si="134"/>
        <v>22</v>
      </c>
    </row>
    <row r="741" spans="1:19">
      <c r="A741" s="674" t="str">
        <f>Sheet2!E721</f>
        <v>J1-048</v>
      </c>
      <c r="B741" s="3235">
        <f>Sheet2!F721</f>
        <v>39.090000000000003</v>
      </c>
      <c r="C741" s="3236">
        <f t="shared" si="125"/>
        <v>0.99</v>
      </c>
      <c r="D741" s="676"/>
      <c r="E741" s="3236">
        <f t="shared" si="126"/>
        <v>1</v>
      </c>
      <c r="F741" s="676"/>
      <c r="G741" s="3236">
        <f t="shared" si="127"/>
        <v>1</v>
      </c>
      <c r="H741" s="676"/>
      <c r="I741" s="3236">
        <f t="shared" si="128"/>
        <v>1</v>
      </c>
      <c r="J741" s="676"/>
      <c r="K741" s="3236">
        <f t="shared" si="129"/>
        <v>1</v>
      </c>
      <c r="L741" s="676"/>
      <c r="M741" s="3236">
        <f t="shared" si="130"/>
        <v>1</v>
      </c>
      <c r="N741" s="676"/>
      <c r="O741" s="3236">
        <f t="shared" si="131"/>
        <v>1</v>
      </c>
      <c r="P741" s="676"/>
      <c r="Q741" s="3236">
        <f t="shared" si="132"/>
        <v>1</v>
      </c>
      <c r="R741" s="3237">
        <f t="shared" ca="1" si="133"/>
        <v>5706</v>
      </c>
      <c r="S741" s="1090">
        <f t="shared" ca="1" si="134"/>
        <v>22</v>
      </c>
    </row>
    <row r="742" spans="1:19">
      <c r="A742" s="674" t="str">
        <f>Sheet2!E722</f>
        <v>J1-059</v>
      </c>
      <c r="B742" s="3235">
        <f>Sheet2!F722</f>
        <v>39.090000000000003</v>
      </c>
      <c r="C742" s="3236">
        <f t="shared" si="125"/>
        <v>0.99</v>
      </c>
      <c r="D742" s="676"/>
      <c r="E742" s="3236">
        <f t="shared" si="126"/>
        <v>1</v>
      </c>
      <c r="F742" s="676"/>
      <c r="G742" s="3236">
        <f t="shared" si="127"/>
        <v>1</v>
      </c>
      <c r="H742" s="676"/>
      <c r="I742" s="3236">
        <f t="shared" si="128"/>
        <v>1</v>
      </c>
      <c r="J742" s="676"/>
      <c r="K742" s="3236">
        <f t="shared" si="129"/>
        <v>1</v>
      </c>
      <c r="L742" s="676"/>
      <c r="M742" s="3236">
        <f t="shared" si="130"/>
        <v>1</v>
      </c>
      <c r="N742" s="676"/>
      <c r="O742" s="3236">
        <f t="shared" si="131"/>
        <v>1</v>
      </c>
      <c r="P742" s="676"/>
      <c r="Q742" s="3236">
        <f t="shared" si="132"/>
        <v>1</v>
      </c>
      <c r="R742" s="3237">
        <f t="shared" ca="1" si="133"/>
        <v>5706</v>
      </c>
      <c r="S742" s="1090">
        <f t="shared" ca="1" si="134"/>
        <v>22</v>
      </c>
    </row>
    <row r="743" spans="1:19">
      <c r="A743" s="674" t="str">
        <f>Sheet2!E723</f>
        <v>J1-060</v>
      </c>
      <c r="B743" s="3235">
        <f>Sheet2!F723</f>
        <v>39.090000000000003</v>
      </c>
      <c r="C743" s="3236">
        <f t="shared" si="125"/>
        <v>0.99</v>
      </c>
      <c r="D743" s="676"/>
      <c r="E743" s="3236">
        <f t="shared" si="126"/>
        <v>1</v>
      </c>
      <c r="F743" s="676"/>
      <c r="G743" s="3236">
        <f t="shared" si="127"/>
        <v>1</v>
      </c>
      <c r="H743" s="676"/>
      <c r="I743" s="3236">
        <f t="shared" si="128"/>
        <v>1</v>
      </c>
      <c r="J743" s="676"/>
      <c r="K743" s="3236">
        <f t="shared" si="129"/>
        <v>1</v>
      </c>
      <c r="L743" s="676"/>
      <c r="M743" s="3236">
        <f t="shared" si="130"/>
        <v>1</v>
      </c>
      <c r="N743" s="676"/>
      <c r="O743" s="3236">
        <f t="shared" si="131"/>
        <v>1</v>
      </c>
      <c r="P743" s="676"/>
      <c r="Q743" s="3236">
        <f t="shared" si="132"/>
        <v>1</v>
      </c>
      <c r="R743" s="3237">
        <f t="shared" ca="1" si="133"/>
        <v>5706</v>
      </c>
      <c r="S743" s="1090">
        <f t="shared" ca="1" si="134"/>
        <v>22</v>
      </c>
    </row>
    <row r="744" spans="1:19">
      <c r="A744" s="674" t="str">
        <f>Sheet2!E724</f>
        <v>J1-061</v>
      </c>
      <c r="B744" s="3235">
        <f>Sheet2!F724</f>
        <v>36.74</v>
      </c>
      <c r="C744" s="3236">
        <f t="shared" si="125"/>
        <v>0.99</v>
      </c>
      <c r="D744" s="676"/>
      <c r="E744" s="3236">
        <f t="shared" si="126"/>
        <v>1</v>
      </c>
      <c r="F744" s="676"/>
      <c r="G744" s="3236">
        <f t="shared" si="127"/>
        <v>1</v>
      </c>
      <c r="H744" s="676"/>
      <c r="I744" s="3236">
        <f t="shared" si="128"/>
        <v>1</v>
      </c>
      <c r="J744" s="676"/>
      <c r="K744" s="3236">
        <f t="shared" si="129"/>
        <v>1</v>
      </c>
      <c r="L744" s="676"/>
      <c r="M744" s="3236">
        <f t="shared" si="130"/>
        <v>1</v>
      </c>
      <c r="N744" s="676"/>
      <c r="O744" s="3236">
        <f t="shared" si="131"/>
        <v>1</v>
      </c>
      <c r="P744" s="676"/>
      <c r="Q744" s="3236">
        <f t="shared" si="132"/>
        <v>1</v>
      </c>
      <c r="R744" s="3237">
        <f t="shared" ca="1" si="133"/>
        <v>5706</v>
      </c>
      <c r="S744" s="1090">
        <f t="shared" ca="1" si="134"/>
        <v>21</v>
      </c>
    </row>
    <row r="745" spans="1:19">
      <c r="A745" s="674" t="str">
        <f>Sheet2!E725</f>
        <v>J1-063</v>
      </c>
      <c r="B745" s="3235">
        <f>Sheet2!F725</f>
        <v>36.74</v>
      </c>
      <c r="C745" s="3236">
        <f t="shared" si="125"/>
        <v>0.99</v>
      </c>
      <c r="D745" s="676"/>
      <c r="E745" s="3236">
        <f t="shared" si="126"/>
        <v>1</v>
      </c>
      <c r="F745" s="676"/>
      <c r="G745" s="3236">
        <f t="shared" si="127"/>
        <v>1</v>
      </c>
      <c r="H745" s="676"/>
      <c r="I745" s="3236">
        <f t="shared" si="128"/>
        <v>1</v>
      </c>
      <c r="J745" s="676"/>
      <c r="K745" s="3236">
        <f t="shared" si="129"/>
        <v>1</v>
      </c>
      <c r="L745" s="676"/>
      <c r="M745" s="3236">
        <f t="shared" si="130"/>
        <v>1</v>
      </c>
      <c r="N745" s="676"/>
      <c r="O745" s="3236">
        <f t="shared" si="131"/>
        <v>1</v>
      </c>
      <c r="P745" s="676"/>
      <c r="Q745" s="3236">
        <f t="shared" si="132"/>
        <v>1</v>
      </c>
      <c r="R745" s="3237">
        <f t="shared" ca="1" si="133"/>
        <v>5706</v>
      </c>
      <c r="S745" s="1090">
        <f t="shared" ca="1" si="134"/>
        <v>21</v>
      </c>
    </row>
    <row r="746" spans="1:19">
      <c r="A746" s="674" t="str">
        <f>Sheet2!E726</f>
        <v>J1-064</v>
      </c>
      <c r="B746" s="3235">
        <f>Sheet2!F726</f>
        <v>36.74</v>
      </c>
      <c r="C746" s="3236">
        <f t="shared" si="125"/>
        <v>0.99</v>
      </c>
      <c r="D746" s="676"/>
      <c r="E746" s="3236">
        <f t="shared" si="126"/>
        <v>1</v>
      </c>
      <c r="F746" s="676"/>
      <c r="G746" s="3236">
        <f t="shared" si="127"/>
        <v>1</v>
      </c>
      <c r="H746" s="676"/>
      <c r="I746" s="3236">
        <f t="shared" si="128"/>
        <v>1</v>
      </c>
      <c r="J746" s="676"/>
      <c r="K746" s="3236">
        <f t="shared" si="129"/>
        <v>1</v>
      </c>
      <c r="L746" s="676"/>
      <c r="M746" s="3236">
        <f t="shared" si="130"/>
        <v>1</v>
      </c>
      <c r="N746" s="676"/>
      <c r="O746" s="3236">
        <f t="shared" si="131"/>
        <v>1</v>
      </c>
      <c r="P746" s="676"/>
      <c r="Q746" s="3236">
        <f t="shared" si="132"/>
        <v>1</v>
      </c>
      <c r="R746" s="3237">
        <f t="shared" ca="1" si="133"/>
        <v>5706</v>
      </c>
      <c r="S746" s="1090">
        <f t="shared" ca="1" si="134"/>
        <v>21</v>
      </c>
    </row>
    <row r="747" spans="1:19">
      <c r="A747" s="674" t="str">
        <f>Sheet2!E727</f>
        <v>J1-065</v>
      </c>
      <c r="B747" s="3235">
        <f>Sheet2!F727</f>
        <v>36.74</v>
      </c>
      <c r="C747" s="3236">
        <f t="shared" si="125"/>
        <v>0.99</v>
      </c>
      <c r="D747" s="676"/>
      <c r="E747" s="3236">
        <f t="shared" si="126"/>
        <v>1</v>
      </c>
      <c r="F747" s="676"/>
      <c r="G747" s="3236">
        <f t="shared" si="127"/>
        <v>1</v>
      </c>
      <c r="H747" s="676"/>
      <c r="I747" s="3236">
        <f t="shared" si="128"/>
        <v>1</v>
      </c>
      <c r="J747" s="676"/>
      <c r="K747" s="3236">
        <f t="shared" si="129"/>
        <v>1</v>
      </c>
      <c r="L747" s="676"/>
      <c r="M747" s="3236">
        <f t="shared" si="130"/>
        <v>1</v>
      </c>
      <c r="N747" s="676"/>
      <c r="O747" s="3236">
        <f t="shared" si="131"/>
        <v>1</v>
      </c>
      <c r="P747" s="676"/>
      <c r="Q747" s="3236">
        <f t="shared" si="132"/>
        <v>1</v>
      </c>
      <c r="R747" s="3237">
        <f t="shared" ca="1" si="133"/>
        <v>5706</v>
      </c>
      <c r="S747" s="1090">
        <f t="shared" ca="1" si="134"/>
        <v>21</v>
      </c>
    </row>
    <row r="748" spans="1:19">
      <c r="A748" s="674" t="str">
        <f>Sheet2!E728</f>
        <v>J1-067</v>
      </c>
      <c r="B748" s="3235">
        <f>Sheet2!F728</f>
        <v>36.74</v>
      </c>
      <c r="C748" s="3236">
        <f t="shared" si="125"/>
        <v>0.99</v>
      </c>
      <c r="D748" s="676"/>
      <c r="E748" s="3236">
        <f t="shared" si="126"/>
        <v>1</v>
      </c>
      <c r="F748" s="676"/>
      <c r="G748" s="3236">
        <f t="shared" si="127"/>
        <v>1</v>
      </c>
      <c r="H748" s="676"/>
      <c r="I748" s="3236">
        <f t="shared" si="128"/>
        <v>1</v>
      </c>
      <c r="J748" s="676"/>
      <c r="K748" s="3236">
        <f t="shared" si="129"/>
        <v>1</v>
      </c>
      <c r="L748" s="676"/>
      <c r="M748" s="3236">
        <f t="shared" si="130"/>
        <v>1</v>
      </c>
      <c r="N748" s="676"/>
      <c r="O748" s="3236">
        <f t="shared" si="131"/>
        <v>1</v>
      </c>
      <c r="P748" s="676"/>
      <c r="Q748" s="3236">
        <f t="shared" si="132"/>
        <v>1</v>
      </c>
      <c r="R748" s="3237">
        <f t="shared" ca="1" si="133"/>
        <v>5706</v>
      </c>
      <c r="S748" s="1090">
        <f t="shared" ca="1" si="134"/>
        <v>21</v>
      </c>
    </row>
    <row r="749" spans="1:19">
      <c r="A749" s="674" t="str">
        <f>Sheet2!E729</f>
        <v>J1-073</v>
      </c>
      <c r="B749" s="3235">
        <f>Sheet2!F729</f>
        <v>37.520000000000003</v>
      </c>
      <c r="C749" s="3236">
        <f t="shared" si="125"/>
        <v>0.99</v>
      </c>
      <c r="D749" s="676"/>
      <c r="E749" s="3236">
        <f t="shared" si="126"/>
        <v>1</v>
      </c>
      <c r="F749" s="676"/>
      <c r="G749" s="3236">
        <f t="shared" si="127"/>
        <v>1</v>
      </c>
      <c r="H749" s="676"/>
      <c r="I749" s="3236">
        <f t="shared" si="128"/>
        <v>1</v>
      </c>
      <c r="J749" s="676"/>
      <c r="K749" s="3236">
        <f t="shared" si="129"/>
        <v>1</v>
      </c>
      <c r="L749" s="676"/>
      <c r="M749" s="3236">
        <f t="shared" si="130"/>
        <v>1</v>
      </c>
      <c r="N749" s="676"/>
      <c r="O749" s="3236">
        <f t="shared" si="131"/>
        <v>1</v>
      </c>
      <c r="P749" s="676"/>
      <c r="Q749" s="3236">
        <f t="shared" si="132"/>
        <v>1</v>
      </c>
      <c r="R749" s="3237">
        <f t="shared" ca="1" si="133"/>
        <v>5706</v>
      </c>
      <c r="S749" s="1090">
        <f t="shared" ca="1" si="134"/>
        <v>21</v>
      </c>
    </row>
    <row r="750" spans="1:19">
      <c r="A750" s="674" t="str">
        <f>Sheet2!E730</f>
        <v>J1-074</v>
      </c>
      <c r="B750" s="3235">
        <f>Sheet2!F730</f>
        <v>37.520000000000003</v>
      </c>
      <c r="C750" s="3236">
        <f t="shared" si="125"/>
        <v>0.99</v>
      </c>
      <c r="D750" s="676"/>
      <c r="E750" s="3236">
        <f t="shared" si="126"/>
        <v>1</v>
      </c>
      <c r="F750" s="676"/>
      <c r="G750" s="3236">
        <f t="shared" si="127"/>
        <v>1</v>
      </c>
      <c r="H750" s="676"/>
      <c r="I750" s="3236">
        <f t="shared" si="128"/>
        <v>1</v>
      </c>
      <c r="J750" s="676"/>
      <c r="K750" s="3236">
        <f t="shared" si="129"/>
        <v>1</v>
      </c>
      <c r="L750" s="676"/>
      <c r="M750" s="3236">
        <f t="shared" si="130"/>
        <v>1</v>
      </c>
      <c r="N750" s="676"/>
      <c r="O750" s="3236">
        <f t="shared" si="131"/>
        <v>1</v>
      </c>
      <c r="P750" s="676"/>
      <c r="Q750" s="3236">
        <f t="shared" si="132"/>
        <v>1</v>
      </c>
      <c r="R750" s="3237">
        <f t="shared" ca="1" si="133"/>
        <v>5706</v>
      </c>
      <c r="S750" s="1090">
        <f t="shared" ca="1" si="134"/>
        <v>21</v>
      </c>
    </row>
    <row r="751" spans="1:19">
      <c r="A751" s="674" t="str">
        <f>Sheet2!E731</f>
        <v>J1-077</v>
      </c>
      <c r="B751" s="3235">
        <f>Sheet2!F731</f>
        <v>37.520000000000003</v>
      </c>
      <c r="C751" s="3236">
        <f t="shared" si="125"/>
        <v>0.99</v>
      </c>
      <c r="D751" s="676"/>
      <c r="E751" s="3236">
        <f t="shared" si="126"/>
        <v>1</v>
      </c>
      <c r="F751" s="676"/>
      <c r="G751" s="3236">
        <f t="shared" si="127"/>
        <v>1</v>
      </c>
      <c r="H751" s="676"/>
      <c r="I751" s="3236">
        <f t="shared" si="128"/>
        <v>1</v>
      </c>
      <c r="J751" s="676"/>
      <c r="K751" s="3236">
        <f t="shared" si="129"/>
        <v>1</v>
      </c>
      <c r="L751" s="676"/>
      <c r="M751" s="3236">
        <f t="shared" si="130"/>
        <v>1</v>
      </c>
      <c r="N751" s="676"/>
      <c r="O751" s="3236">
        <f t="shared" si="131"/>
        <v>1</v>
      </c>
      <c r="P751" s="676"/>
      <c r="Q751" s="3236">
        <f t="shared" si="132"/>
        <v>1</v>
      </c>
      <c r="R751" s="3237">
        <f t="shared" ca="1" si="133"/>
        <v>5706</v>
      </c>
      <c r="S751" s="1090">
        <f t="shared" ca="1" si="134"/>
        <v>21</v>
      </c>
    </row>
    <row r="752" spans="1:19">
      <c r="A752" s="674" t="str">
        <f>Sheet2!E732</f>
        <v>J1-079</v>
      </c>
      <c r="B752" s="3235">
        <f>Sheet2!F732</f>
        <v>37.520000000000003</v>
      </c>
      <c r="C752" s="3236">
        <f t="shared" si="125"/>
        <v>0.99</v>
      </c>
      <c r="D752" s="676"/>
      <c r="E752" s="3236">
        <f t="shared" si="126"/>
        <v>1</v>
      </c>
      <c r="F752" s="676"/>
      <c r="G752" s="3236">
        <f t="shared" si="127"/>
        <v>1</v>
      </c>
      <c r="H752" s="676"/>
      <c r="I752" s="3236">
        <f t="shared" si="128"/>
        <v>1</v>
      </c>
      <c r="J752" s="676"/>
      <c r="K752" s="3236">
        <f t="shared" si="129"/>
        <v>1</v>
      </c>
      <c r="L752" s="676"/>
      <c r="M752" s="3236">
        <f t="shared" si="130"/>
        <v>1</v>
      </c>
      <c r="N752" s="676"/>
      <c r="O752" s="3236">
        <f t="shared" si="131"/>
        <v>1</v>
      </c>
      <c r="P752" s="676"/>
      <c r="Q752" s="3236">
        <f t="shared" si="132"/>
        <v>1</v>
      </c>
      <c r="R752" s="3237">
        <f t="shared" ca="1" si="133"/>
        <v>5706</v>
      </c>
      <c r="S752" s="1090">
        <f t="shared" ca="1" si="134"/>
        <v>21</v>
      </c>
    </row>
    <row r="753" spans="1:19">
      <c r="A753" s="674" t="str">
        <f>Sheet2!E733</f>
        <v>J1-080</v>
      </c>
      <c r="B753" s="3235">
        <f>Sheet2!F733</f>
        <v>37.520000000000003</v>
      </c>
      <c r="C753" s="3236">
        <f t="shared" si="125"/>
        <v>0.99</v>
      </c>
      <c r="D753" s="676"/>
      <c r="E753" s="3236">
        <f t="shared" si="126"/>
        <v>1</v>
      </c>
      <c r="F753" s="676"/>
      <c r="G753" s="3236">
        <f t="shared" si="127"/>
        <v>1</v>
      </c>
      <c r="H753" s="676"/>
      <c r="I753" s="3236">
        <f t="shared" si="128"/>
        <v>1</v>
      </c>
      <c r="J753" s="676"/>
      <c r="K753" s="3236">
        <f t="shared" si="129"/>
        <v>1</v>
      </c>
      <c r="L753" s="676"/>
      <c r="M753" s="3236">
        <f t="shared" si="130"/>
        <v>1</v>
      </c>
      <c r="N753" s="676"/>
      <c r="O753" s="3236">
        <f t="shared" si="131"/>
        <v>1</v>
      </c>
      <c r="P753" s="676"/>
      <c r="Q753" s="3236">
        <f t="shared" si="132"/>
        <v>1</v>
      </c>
      <c r="R753" s="3237">
        <f t="shared" ca="1" si="133"/>
        <v>5706</v>
      </c>
      <c r="S753" s="1090">
        <f t="shared" ca="1" si="134"/>
        <v>21</v>
      </c>
    </row>
    <row r="754" spans="1:19">
      <c r="A754" s="674" t="str">
        <f>Sheet2!E734</f>
        <v>J1-082</v>
      </c>
      <c r="B754" s="3235">
        <f>Sheet2!F734</f>
        <v>37.520000000000003</v>
      </c>
      <c r="C754" s="3236">
        <f t="shared" si="125"/>
        <v>0.99</v>
      </c>
      <c r="D754" s="676"/>
      <c r="E754" s="3236">
        <f t="shared" si="126"/>
        <v>1</v>
      </c>
      <c r="F754" s="676"/>
      <c r="G754" s="3236">
        <f t="shared" si="127"/>
        <v>1</v>
      </c>
      <c r="H754" s="676"/>
      <c r="I754" s="3236">
        <f t="shared" si="128"/>
        <v>1</v>
      </c>
      <c r="J754" s="676"/>
      <c r="K754" s="3236">
        <f t="shared" si="129"/>
        <v>1</v>
      </c>
      <c r="L754" s="676"/>
      <c r="M754" s="3236">
        <f t="shared" si="130"/>
        <v>1</v>
      </c>
      <c r="N754" s="676"/>
      <c r="O754" s="3236">
        <f t="shared" si="131"/>
        <v>1</v>
      </c>
      <c r="P754" s="676"/>
      <c r="Q754" s="3236">
        <f t="shared" si="132"/>
        <v>1</v>
      </c>
      <c r="R754" s="3237">
        <f t="shared" ca="1" si="133"/>
        <v>5706</v>
      </c>
      <c r="S754" s="1090">
        <f t="shared" ca="1" si="134"/>
        <v>21</v>
      </c>
    </row>
    <row r="755" spans="1:19">
      <c r="A755" s="674" t="str">
        <f>Sheet2!E735</f>
        <v>J1-083</v>
      </c>
      <c r="B755" s="3235">
        <f>Sheet2!F735</f>
        <v>37.520000000000003</v>
      </c>
      <c r="C755" s="3236">
        <f t="shared" si="125"/>
        <v>0.99</v>
      </c>
      <c r="D755" s="676"/>
      <c r="E755" s="3236">
        <f t="shared" si="126"/>
        <v>1</v>
      </c>
      <c r="F755" s="676"/>
      <c r="G755" s="3236">
        <f t="shared" si="127"/>
        <v>1</v>
      </c>
      <c r="H755" s="676"/>
      <c r="I755" s="3236">
        <f t="shared" si="128"/>
        <v>1</v>
      </c>
      <c r="J755" s="676"/>
      <c r="K755" s="3236">
        <f t="shared" si="129"/>
        <v>1</v>
      </c>
      <c r="L755" s="676"/>
      <c r="M755" s="3236">
        <f t="shared" si="130"/>
        <v>1</v>
      </c>
      <c r="N755" s="676"/>
      <c r="O755" s="3236">
        <f t="shared" si="131"/>
        <v>1</v>
      </c>
      <c r="P755" s="676"/>
      <c r="Q755" s="3236">
        <f t="shared" si="132"/>
        <v>1</v>
      </c>
      <c r="R755" s="3237">
        <f t="shared" ca="1" si="133"/>
        <v>5706</v>
      </c>
      <c r="S755" s="1090">
        <f t="shared" ca="1" si="134"/>
        <v>21</v>
      </c>
    </row>
    <row r="756" spans="1:19">
      <c r="A756" s="674" t="str">
        <f>Sheet2!E736</f>
        <v>J1-084</v>
      </c>
      <c r="B756" s="3235">
        <f>Sheet2!F736</f>
        <v>37.520000000000003</v>
      </c>
      <c r="C756" s="3236">
        <f t="shared" si="125"/>
        <v>0.99</v>
      </c>
      <c r="D756" s="676"/>
      <c r="E756" s="3236">
        <f t="shared" si="126"/>
        <v>1</v>
      </c>
      <c r="F756" s="676"/>
      <c r="G756" s="3236">
        <f t="shared" si="127"/>
        <v>1</v>
      </c>
      <c r="H756" s="676"/>
      <c r="I756" s="3236">
        <f t="shared" si="128"/>
        <v>1</v>
      </c>
      <c r="J756" s="676"/>
      <c r="K756" s="3236">
        <f t="shared" si="129"/>
        <v>1</v>
      </c>
      <c r="L756" s="676"/>
      <c r="M756" s="3236">
        <f t="shared" si="130"/>
        <v>1</v>
      </c>
      <c r="N756" s="676"/>
      <c r="O756" s="3236">
        <f t="shared" si="131"/>
        <v>1</v>
      </c>
      <c r="P756" s="676"/>
      <c r="Q756" s="3236">
        <f t="shared" si="132"/>
        <v>1</v>
      </c>
      <c r="R756" s="3237">
        <f t="shared" ca="1" si="133"/>
        <v>5706</v>
      </c>
      <c r="S756" s="1090">
        <f t="shared" ca="1" si="134"/>
        <v>21</v>
      </c>
    </row>
    <row r="757" spans="1:19">
      <c r="A757" s="674" t="str">
        <f>Sheet2!E737</f>
        <v>J1-085</v>
      </c>
      <c r="B757" s="3235">
        <f>Sheet2!F737</f>
        <v>37.520000000000003</v>
      </c>
      <c r="C757" s="3236">
        <f t="shared" si="125"/>
        <v>0.99</v>
      </c>
      <c r="D757" s="676"/>
      <c r="E757" s="3236">
        <f t="shared" si="126"/>
        <v>1</v>
      </c>
      <c r="F757" s="676"/>
      <c r="G757" s="3236">
        <f t="shared" si="127"/>
        <v>1</v>
      </c>
      <c r="H757" s="676"/>
      <c r="I757" s="3236">
        <f t="shared" si="128"/>
        <v>1</v>
      </c>
      <c r="J757" s="676"/>
      <c r="K757" s="3236">
        <f t="shared" si="129"/>
        <v>1</v>
      </c>
      <c r="L757" s="676"/>
      <c r="M757" s="3236">
        <f t="shared" si="130"/>
        <v>1</v>
      </c>
      <c r="N757" s="676"/>
      <c r="O757" s="3236">
        <f t="shared" si="131"/>
        <v>1</v>
      </c>
      <c r="P757" s="676"/>
      <c r="Q757" s="3236">
        <f t="shared" si="132"/>
        <v>1</v>
      </c>
      <c r="R757" s="3237">
        <f t="shared" ca="1" si="133"/>
        <v>5706</v>
      </c>
      <c r="S757" s="1090">
        <f t="shared" ca="1" si="134"/>
        <v>21</v>
      </c>
    </row>
    <row r="758" spans="1:19">
      <c r="A758" s="674" t="str">
        <f>Sheet2!E738</f>
        <v>J1-086</v>
      </c>
      <c r="B758" s="3235">
        <f>Sheet2!F738</f>
        <v>37.520000000000003</v>
      </c>
      <c r="C758" s="3236">
        <f t="shared" si="125"/>
        <v>0.99</v>
      </c>
      <c r="D758" s="676"/>
      <c r="E758" s="3236">
        <f t="shared" si="126"/>
        <v>1</v>
      </c>
      <c r="F758" s="676"/>
      <c r="G758" s="3236">
        <f t="shared" si="127"/>
        <v>1</v>
      </c>
      <c r="H758" s="676"/>
      <c r="I758" s="3236">
        <f t="shared" si="128"/>
        <v>1</v>
      </c>
      <c r="J758" s="676"/>
      <c r="K758" s="3236">
        <f t="shared" si="129"/>
        <v>1</v>
      </c>
      <c r="L758" s="676"/>
      <c r="M758" s="3236">
        <f t="shared" si="130"/>
        <v>1</v>
      </c>
      <c r="N758" s="676"/>
      <c r="O758" s="3236">
        <f t="shared" si="131"/>
        <v>1</v>
      </c>
      <c r="P758" s="676"/>
      <c r="Q758" s="3236">
        <f t="shared" si="132"/>
        <v>1</v>
      </c>
      <c r="R758" s="3237">
        <f t="shared" ca="1" si="133"/>
        <v>5706</v>
      </c>
      <c r="S758" s="1090">
        <f t="shared" ca="1" si="134"/>
        <v>21</v>
      </c>
    </row>
    <row r="759" spans="1:19">
      <c r="A759" s="674" t="str">
        <f>Sheet2!E739</f>
        <v>J1-089</v>
      </c>
      <c r="B759" s="3235">
        <f>Sheet2!F739</f>
        <v>37.520000000000003</v>
      </c>
      <c r="C759" s="3236">
        <f t="shared" si="125"/>
        <v>0.99</v>
      </c>
      <c r="D759" s="676"/>
      <c r="E759" s="3236">
        <f t="shared" si="126"/>
        <v>1</v>
      </c>
      <c r="F759" s="676"/>
      <c r="G759" s="3236">
        <f t="shared" si="127"/>
        <v>1</v>
      </c>
      <c r="H759" s="676"/>
      <c r="I759" s="3236">
        <f t="shared" si="128"/>
        <v>1</v>
      </c>
      <c r="J759" s="676"/>
      <c r="K759" s="3236">
        <f t="shared" si="129"/>
        <v>1</v>
      </c>
      <c r="L759" s="676"/>
      <c r="M759" s="3236">
        <f t="shared" si="130"/>
        <v>1</v>
      </c>
      <c r="N759" s="676"/>
      <c r="O759" s="3236">
        <f t="shared" si="131"/>
        <v>1</v>
      </c>
      <c r="P759" s="676"/>
      <c r="Q759" s="3236">
        <f t="shared" si="132"/>
        <v>1</v>
      </c>
      <c r="R759" s="3237">
        <f t="shared" ca="1" si="133"/>
        <v>5706</v>
      </c>
      <c r="S759" s="1090">
        <f t="shared" ca="1" si="134"/>
        <v>21</v>
      </c>
    </row>
    <row r="760" spans="1:19">
      <c r="A760" s="674" t="str">
        <f>Sheet2!E740</f>
        <v>J1-090</v>
      </c>
      <c r="B760" s="3235">
        <f>Sheet2!F740</f>
        <v>37.520000000000003</v>
      </c>
      <c r="C760" s="3236">
        <f t="shared" si="125"/>
        <v>0.99</v>
      </c>
      <c r="D760" s="676"/>
      <c r="E760" s="3236">
        <f t="shared" si="126"/>
        <v>1</v>
      </c>
      <c r="F760" s="676"/>
      <c r="G760" s="3236">
        <f t="shared" si="127"/>
        <v>1</v>
      </c>
      <c r="H760" s="676"/>
      <c r="I760" s="3236">
        <f t="shared" si="128"/>
        <v>1</v>
      </c>
      <c r="J760" s="676"/>
      <c r="K760" s="3236">
        <f t="shared" si="129"/>
        <v>1</v>
      </c>
      <c r="L760" s="676"/>
      <c r="M760" s="3236">
        <f t="shared" si="130"/>
        <v>1</v>
      </c>
      <c r="N760" s="676"/>
      <c r="O760" s="3236">
        <f t="shared" si="131"/>
        <v>1</v>
      </c>
      <c r="P760" s="676"/>
      <c r="Q760" s="3236">
        <f t="shared" si="132"/>
        <v>1</v>
      </c>
      <c r="R760" s="3237">
        <f t="shared" ca="1" si="133"/>
        <v>5706</v>
      </c>
      <c r="S760" s="1090">
        <f t="shared" ca="1" si="134"/>
        <v>21</v>
      </c>
    </row>
    <row r="761" spans="1:19">
      <c r="A761" s="674" t="str">
        <f>Sheet2!E741</f>
        <v>J1-092</v>
      </c>
      <c r="B761" s="3235">
        <f>Sheet2!F741</f>
        <v>37.520000000000003</v>
      </c>
      <c r="C761" s="3236">
        <f t="shared" si="125"/>
        <v>0.99</v>
      </c>
      <c r="D761" s="676"/>
      <c r="E761" s="3236">
        <f t="shared" si="126"/>
        <v>1</v>
      </c>
      <c r="F761" s="676"/>
      <c r="G761" s="3236">
        <f t="shared" si="127"/>
        <v>1</v>
      </c>
      <c r="H761" s="676"/>
      <c r="I761" s="3236">
        <f t="shared" si="128"/>
        <v>1</v>
      </c>
      <c r="J761" s="676"/>
      <c r="K761" s="3236">
        <f t="shared" si="129"/>
        <v>1</v>
      </c>
      <c r="L761" s="676"/>
      <c r="M761" s="3236">
        <f t="shared" si="130"/>
        <v>1</v>
      </c>
      <c r="N761" s="676"/>
      <c r="O761" s="3236">
        <f t="shared" si="131"/>
        <v>1</v>
      </c>
      <c r="P761" s="676"/>
      <c r="Q761" s="3236">
        <f t="shared" si="132"/>
        <v>1</v>
      </c>
      <c r="R761" s="3237">
        <f t="shared" ca="1" si="133"/>
        <v>5706</v>
      </c>
      <c r="S761" s="1090">
        <f t="shared" ca="1" si="134"/>
        <v>21</v>
      </c>
    </row>
    <row r="762" spans="1:19">
      <c r="A762" s="674" t="str">
        <f>Sheet2!E742</f>
        <v>J1-093</v>
      </c>
      <c r="B762" s="3235">
        <f>Sheet2!F742</f>
        <v>37.520000000000003</v>
      </c>
      <c r="C762" s="3236">
        <f t="shared" si="125"/>
        <v>0.99</v>
      </c>
      <c r="D762" s="676"/>
      <c r="E762" s="3236">
        <f t="shared" si="126"/>
        <v>1</v>
      </c>
      <c r="F762" s="676"/>
      <c r="G762" s="3236">
        <f t="shared" si="127"/>
        <v>1</v>
      </c>
      <c r="H762" s="676"/>
      <c r="I762" s="3236">
        <f t="shared" si="128"/>
        <v>1</v>
      </c>
      <c r="J762" s="676"/>
      <c r="K762" s="3236">
        <f t="shared" si="129"/>
        <v>1</v>
      </c>
      <c r="L762" s="676"/>
      <c r="M762" s="3236">
        <f t="shared" si="130"/>
        <v>1</v>
      </c>
      <c r="N762" s="676"/>
      <c r="O762" s="3236">
        <f t="shared" si="131"/>
        <v>1</v>
      </c>
      <c r="P762" s="676"/>
      <c r="Q762" s="3236">
        <f t="shared" si="132"/>
        <v>1</v>
      </c>
      <c r="R762" s="3237">
        <f t="shared" ca="1" si="133"/>
        <v>5706</v>
      </c>
      <c r="S762" s="1090">
        <f t="shared" ca="1" si="134"/>
        <v>21</v>
      </c>
    </row>
    <row r="763" spans="1:19">
      <c r="A763" s="674" t="str">
        <f>Sheet2!E743</f>
        <v>J1-094</v>
      </c>
      <c r="B763" s="3235">
        <f>Sheet2!F743</f>
        <v>37.520000000000003</v>
      </c>
      <c r="C763" s="3236">
        <f t="shared" si="125"/>
        <v>0.99</v>
      </c>
      <c r="D763" s="676"/>
      <c r="E763" s="3236">
        <f t="shared" si="126"/>
        <v>1</v>
      </c>
      <c r="F763" s="676"/>
      <c r="G763" s="3236">
        <f t="shared" si="127"/>
        <v>1</v>
      </c>
      <c r="H763" s="676"/>
      <c r="I763" s="3236">
        <f t="shared" si="128"/>
        <v>1</v>
      </c>
      <c r="J763" s="676"/>
      <c r="K763" s="3236">
        <f t="shared" si="129"/>
        <v>1</v>
      </c>
      <c r="L763" s="676"/>
      <c r="M763" s="3236">
        <f t="shared" si="130"/>
        <v>1</v>
      </c>
      <c r="N763" s="676"/>
      <c r="O763" s="3236">
        <f t="shared" si="131"/>
        <v>1</v>
      </c>
      <c r="P763" s="676"/>
      <c r="Q763" s="3236">
        <f t="shared" si="132"/>
        <v>1</v>
      </c>
      <c r="R763" s="3237">
        <f t="shared" ca="1" si="133"/>
        <v>5706</v>
      </c>
      <c r="S763" s="1090">
        <f t="shared" ca="1" si="134"/>
        <v>21</v>
      </c>
    </row>
    <row r="764" spans="1:19">
      <c r="A764" s="674" t="str">
        <f>Sheet2!E744</f>
        <v>J1-096</v>
      </c>
      <c r="B764" s="3235">
        <f>Sheet2!F744</f>
        <v>37.520000000000003</v>
      </c>
      <c r="C764" s="3236">
        <f t="shared" si="125"/>
        <v>0.99</v>
      </c>
      <c r="D764" s="676"/>
      <c r="E764" s="3236">
        <f t="shared" si="126"/>
        <v>1</v>
      </c>
      <c r="F764" s="676"/>
      <c r="G764" s="3236">
        <f t="shared" si="127"/>
        <v>1</v>
      </c>
      <c r="H764" s="676"/>
      <c r="I764" s="3236">
        <f t="shared" si="128"/>
        <v>1</v>
      </c>
      <c r="J764" s="676"/>
      <c r="K764" s="3236">
        <f t="shared" si="129"/>
        <v>1</v>
      </c>
      <c r="L764" s="676"/>
      <c r="M764" s="3236">
        <f t="shared" si="130"/>
        <v>1</v>
      </c>
      <c r="N764" s="676"/>
      <c r="O764" s="3236">
        <f t="shared" si="131"/>
        <v>1</v>
      </c>
      <c r="P764" s="676"/>
      <c r="Q764" s="3236">
        <f t="shared" si="132"/>
        <v>1</v>
      </c>
      <c r="R764" s="3237">
        <f t="shared" ca="1" si="133"/>
        <v>5706</v>
      </c>
      <c r="S764" s="1090">
        <f t="shared" ca="1" si="134"/>
        <v>21</v>
      </c>
    </row>
    <row r="765" spans="1:19">
      <c r="A765" s="674" t="str">
        <f>Sheet2!E745</f>
        <v>K1-001</v>
      </c>
      <c r="B765" s="3235">
        <f>Sheet2!F745</f>
        <v>37.520000000000003</v>
      </c>
      <c r="C765" s="3236">
        <f t="shared" si="125"/>
        <v>0.99</v>
      </c>
      <c r="D765" s="676"/>
      <c r="E765" s="3236">
        <f t="shared" si="126"/>
        <v>1</v>
      </c>
      <c r="F765" s="676"/>
      <c r="G765" s="3236">
        <f t="shared" si="127"/>
        <v>1</v>
      </c>
      <c r="H765" s="676"/>
      <c r="I765" s="3236">
        <f t="shared" si="128"/>
        <v>1</v>
      </c>
      <c r="J765" s="676"/>
      <c r="K765" s="3236">
        <f t="shared" si="129"/>
        <v>1</v>
      </c>
      <c r="L765" s="676"/>
      <c r="M765" s="3236">
        <f t="shared" si="130"/>
        <v>1</v>
      </c>
      <c r="N765" s="676"/>
      <c r="O765" s="3236">
        <f t="shared" si="131"/>
        <v>1</v>
      </c>
      <c r="P765" s="676"/>
      <c r="Q765" s="3236">
        <f t="shared" si="132"/>
        <v>1</v>
      </c>
      <c r="R765" s="3237">
        <f t="shared" ca="1" si="133"/>
        <v>5706</v>
      </c>
      <c r="S765" s="1090">
        <f t="shared" ca="1" si="134"/>
        <v>21</v>
      </c>
    </row>
    <row r="766" spans="1:19">
      <c r="A766" s="674" t="str">
        <f>Sheet2!E746</f>
        <v>K1-002</v>
      </c>
      <c r="B766" s="3235">
        <f>Sheet2!F746</f>
        <v>37.520000000000003</v>
      </c>
      <c r="C766" s="3236">
        <f t="shared" si="125"/>
        <v>0.99</v>
      </c>
      <c r="D766" s="676"/>
      <c r="E766" s="3236">
        <f t="shared" si="126"/>
        <v>1</v>
      </c>
      <c r="F766" s="676"/>
      <c r="G766" s="3236">
        <f t="shared" si="127"/>
        <v>1</v>
      </c>
      <c r="H766" s="676"/>
      <c r="I766" s="3236">
        <f t="shared" si="128"/>
        <v>1</v>
      </c>
      <c r="J766" s="676"/>
      <c r="K766" s="3236">
        <f t="shared" si="129"/>
        <v>1</v>
      </c>
      <c r="L766" s="676"/>
      <c r="M766" s="3236">
        <f t="shared" si="130"/>
        <v>1</v>
      </c>
      <c r="N766" s="676"/>
      <c r="O766" s="3236">
        <f t="shared" si="131"/>
        <v>1</v>
      </c>
      <c r="P766" s="676"/>
      <c r="Q766" s="3236">
        <f t="shared" si="132"/>
        <v>1</v>
      </c>
      <c r="R766" s="3237">
        <f t="shared" ca="1" si="133"/>
        <v>5706</v>
      </c>
      <c r="S766" s="1090">
        <f t="shared" ca="1" si="134"/>
        <v>21</v>
      </c>
    </row>
    <row r="767" spans="1:19">
      <c r="A767" s="674" t="str">
        <f>Sheet2!E747</f>
        <v>K1-003</v>
      </c>
      <c r="B767" s="3235">
        <f>Sheet2!F747</f>
        <v>37.520000000000003</v>
      </c>
      <c r="C767" s="3236">
        <f t="shared" si="125"/>
        <v>0.99</v>
      </c>
      <c r="D767" s="676"/>
      <c r="E767" s="3236">
        <f t="shared" si="126"/>
        <v>1</v>
      </c>
      <c r="F767" s="676"/>
      <c r="G767" s="3236">
        <f t="shared" si="127"/>
        <v>1</v>
      </c>
      <c r="H767" s="676"/>
      <c r="I767" s="3236">
        <f t="shared" si="128"/>
        <v>1</v>
      </c>
      <c r="J767" s="676"/>
      <c r="K767" s="3236">
        <f t="shared" si="129"/>
        <v>1</v>
      </c>
      <c r="L767" s="676"/>
      <c r="M767" s="3236">
        <f t="shared" si="130"/>
        <v>1</v>
      </c>
      <c r="N767" s="676"/>
      <c r="O767" s="3236">
        <f t="shared" si="131"/>
        <v>1</v>
      </c>
      <c r="P767" s="676"/>
      <c r="Q767" s="3236">
        <f t="shared" si="132"/>
        <v>1</v>
      </c>
      <c r="R767" s="3237">
        <f t="shared" ca="1" si="133"/>
        <v>5706</v>
      </c>
      <c r="S767" s="1090">
        <f t="shared" ca="1" si="134"/>
        <v>21</v>
      </c>
    </row>
    <row r="768" spans="1:19">
      <c r="A768" s="674" t="str">
        <f>Sheet2!E748</f>
        <v>K1-005</v>
      </c>
      <c r="B768" s="3235">
        <f>Sheet2!F748</f>
        <v>39.090000000000003</v>
      </c>
      <c r="C768" s="3236">
        <f t="shared" si="125"/>
        <v>0.99</v>
      </c>
      <c r="D768" s="676"/>
      <c r="E768" s="3236">
        <f t="shared" si="126"/>
        <v>1</v>
      </c>
      <c r="F768" s="676"/>
      <c r="G768" s="3236">
        <f t="shared" si="127"/>
        <v>1</v>
      </c>
      <c r="H768" s="676"/>
      <c r="I768" s="3236">
        <f t="shared" si="128"/>
        <v>1</v>
      </c>
      <c r="J768" s="676"/>
      <c r="K768" s="3236">
        <f t="shared" si="129"/>
        <v>1</v>
      </c>
      <c r="L768" s="676"/>
      <c r="M768" s="3236">
        <f t="shared" si="130"/>
        <v>1</v>
      </c>
      <c r="N768" s="676"/>
      <c r="O768" s="3236">
        <f t="shared" si="131"/>
        <v>1</v>
      </c>
      <c r="P768" s="676"/>
      <c r="Q768" s="3236">
        <f t="shared" si="132"/>
        <v>1</v>
      </c>
      <c r="R768" s="3237">
        <f t="shared" ca="1" si="133"/>
        <v>5706</v>
      </c>
      <c r="S768" s="1090">
        <f t="shared" ca="1" si="134"/>
        <v>22</v>
      </c>
    </row>
    <row r="769" spans="1:19">
      <c r="A769" s="674" t="str">
        <f>Sheet2!E749</f>
        <v>K1-008</v>
      </c>
      <c r="B769" s="3235">
        <f>Sheet2!F749</f>
        <v>39.090000000000003</v>
      </c>
      <c r="C769" s="3236">
        <f t="shared" si="125"/>
        <v>0.99</v>
      </c>
      <c r="D769" s="676"/>
      <c r="E769" s="3236">
        <f t="shared" si="126"/>
        <v>1</v>
      </c>
      <c r="F769" s="676"/>
      <c r="G769" s="3236">
        <f t="shared" si="127"/>
        <v>1</v>
      </c>
      <c r="H769" s="676"/>
      <c r="I769" s="3236">
        <f t="shared" si="128"/>
        <v>1</v>
      </c>
      <c r="J769" s="676"/>
      <c r="K769" s="3236">
        <f t="shared" si="129"/>
        <v>1</v>
      </c>
      <c r="L769" s="676"/>
      <c r="M769" s="3236">
        <f t="shared" si="130"/>
        <v>1</v>
      </c>
      <c r="N769" s="676"/>
      <c r="O769" s="3236">
        <f t="shared" si="131"/>
        <v>1</v>
      </c>
      <c r="P769" s="676"/>
      <c r="Q769" s="3236">
        <f t="shared" si="132"/>
        <v>1</v>
      </c>
      <c r="R769" s="3237">
        <f t="shared" ca="1" si="133"/>
        <v>5706</v>
      </c>
      <c r="S769" s="1090">
        <f t="shared" ca="1" si="134"/>
        <v>22</v>
      </c>
    </row>
    <row r="770" spans="1:19">
      <c r="A770" s="674" t="str">
        <f>Sheet2!E750</f>
        <v>K1-011</v>
      </c>
      <c r="B770" s="3235">
        <f>Sheet2!F750</f>
        <v>46.91</v>
      </c>
      <c r="C770" s="3236">
        <f t="shared" si="125"/>
        <v>0.98</v>
      </c>
      <c r="D770" s="676"/>
      <c r="E770" s="3236">
        <f t="shared" si="126"/>
        <v>1</v>
      </c>
      <c r="F770" s="676"/>
      <c r="G770" s="3236">
        <f t="shared" si="127"/>
        <v>1</v>
      </c>
      <c r="H770" s="676"/>
      <c r="I770" s="3236">
        <f t="shared" si="128"/>
        <v>1</v>
      </c>
      <c r="J770" s="676"/>
      <c r="K770" s="3236">
        <f t="shared" si="129"/>
        <v>1</v>
      </c>
      <c r="L770" s="676"/>
      <c r="M770" s="3236">
        <f t="shared" si="130"/>
        <v>1</v>
      </c>
      <c r="N770" s="676"/>
      <c r="O770" s="3236">
        <f t="shared" si="131"/>
        <v>1</v>
      </c>
      <c r="P770" s="676"/>
      <c r="Q770" s="3236">
        <f t="shared" si="132"/>
        <v>1</v>
      </c>
      <c r="R770" s="3237">
        <f t="shared" ca="1" si="133"/>
        <v>5649</v>
      </c>
      <c r="S770" s="1090">
        <f t="shared" ca="1" si="134"/>
        <v>26</v>
      </c>
    </row>
    <row r="771" spans="1:19">
      <c r="A771" s="674" t="str">
        <f>Sheet2!E751</f>
        <v>K1-012</v>
      </c>
      <c r="B771" s="3235">
        <f>Sheet2!F751</f>
        <v>46.91</v>
      </c>
      <c r="C771" s="3236">
        <f t="shared" si="125"/>
        <v>0.98</v>
      </c>
      <c r="D771" s="676"/>
      <c r="E771" s="3236">
        <f t="shared" si="126"/>
        <v>1</v>
      </c>
      <c r="F771" s="676"/>
      <c r="G771" s="3236">
        <f t="shared" si="127"/>
        <v>1</v>
      </c>
      <c r="H771" s="676"/>
      <c r="I771" s="3236">
        <f t="shared" si="128"/>
        <v>1</v>
      </c>
      <c r="J771" s="676"/>
      <c r="K771" s="3236">
        <f t="shared" si="129"/>
        <v>1</v>
      </c>
      <c r="L771" s="676"/>
      <c r="M771" s="3236">
        <f t="shared" si="130"/>
        <v>1</v>
      </c>
      <c r="N771" s="676"/>
      <c r="O771" s="3236">
        <f t="shared" si="131"/>
        <v>1</v>
      </c>
      <c r="P771" s="676"/>
      <c r="Q771" s="3236">
        <f t="shared" si="132"/>
        <v>1</v>
      </c>
      <c r="R771" s="3237">
        <f t="shared" ca="1" si="133"/>
        <v>5649</v>
      </c>
      <c r="S771" s="1090">
        <f t="shared" ca="1" si="134"/>
        <v>26</v>
      </c>
    </row>
    <row r="772" spans="1:19">
      <c r="A772" s="674" t="str">
        <f>Sheet2!E752</f>
        <v>K1-013</v>
      </c>
      <c r="B772" s="3235">
        <f>Sheet2!F752</f>
        <v>46.91</v>
      </c>
      <c r="C772" s="3236">
        <f t="shared" si="125"/>
        <v>0.98</v>
      </c>
      <c r="D772" s="676"/>
      <c r="E772" s="3236">
        <f t="shared" si="126"/>
        <v>1</v>
      </c>
      <c r="F772" s="676"/>
      <c r="G772" s="3236">
        <f t="shared" si="127"/>
        <v>1</v>
      </c>
      <c r="H772" s="676"/>
      <c r="I772" s="3236">
        <f t="shared" si="128"/>
        <v>1</v>
      </c>
      <c r="J772" s="676"/>
      <c r="K772" s="3236">
        <f t="shared" si="129"/>
        <v>1</v>
      </c>
      <c r="L772" s="676"/>
      <c r="M772" s="3236">
        <f t="shared" si="130"/>
        <v>1</v>
      </c>
      <c r="N772" s="676"/>
      <c r="O772" s="3236">
        <f t="shared" si="131"/>
        <v>1</v>
      </c>
      <c r="P772" s="676"/>
      <c r="Q772" s="3236">
        <f t="shared" si="132"/>
        <v>1</v>
      </c>
      <c r="R772" s="3237">
        <f t="shared" ca="1" si="133"/>
        <v>5649</v>
      </c>
      <c r="S772" s="1090">
        <f t="shared" ca="1" si="134"/>
        <v>26</v>
      </c>
    </row>
    <row r="773" spans="1:19">
      <c r="A773" s="674" t="str">
        <f>Sheet2!E753</f>
        <v>K1-016</v>
      </c>
      <c r="B773" s="3235">
        <f>Sheet2!F753</f>
        <v>46.91</v>
      </c>
      <c r="C773" s="3236">
        <f t="shared" si="125"/>
        <v>0.98</v>
      </c>
      <c r="D773" s="676"/>
      <c r="E773" s="3236">
        <f t="shared" si="126"/>
        <v>1</v>
      </c>
      <c r="F773" s="676"/>
      <c r="G773" s="3236">
        <f t="shared" si="127"/>
        <v>1</v>
      </c>
      <c r="H773" s="676"/>
      <c r="I773" s="3236">
        <f t="shared" si="128"/>
        <v>1</v>
      </c>
      <c r="J773" s="676"/>
      <c r="K773" s="3236">
        <f t="shared" si="129"/>
        <v>1</v>
      </c>
      <c r="L773" s="676"/>
      <c r="M773" s="3236">
        <f t="shared" si="130"/>
        <v>1</v>
      </c>
      <c r="N773" s="676"/>
      <c r="O773" s="3236">
        <f t="shared" si="131"/>
        <v>1</v>
      </c>
      <c r="P773" s="676"/>
      <c r="Q773" s="3236">
        <f t="shared" si="132"/>
        <v>1</v>
      </c>
      <c r="R773" s="3237">
        <f t="shared" ca="1" si="133"/>
        <v>5649</v>
      </c>
      <c r="S773" s="1090">
        <f t="shared" ca="1" si="134"/>
        <v>26</v>
      </c>
    </row>
    <row r="774" spans="1:19">
      <c r="A774" s="674" t="str">
        <f>Sheet2!E754</f>
        <v>K1-017</v>
      </c>
      <c r="B774" s="3235">
        <f>Sheet2!F754</f>
        <v>46.91</v>
      </c>
      <c r="C774" s="3236">
        <f t="shared" si="125"/>
        <v>0.98</v>
      </c>
      <c r="D774" s="676"/>
      <c r="E774" s="3236">
        <f t="shared" si="126"/>
        <v>1</v>
      </c>
      <c r="F774" s="676"/>
      <c r="G774" s="3236">
        <f t="shared" si="127"/>
        <v>1</v>
      </c>
      <c r="H774" s="676"/>
      <c r="I774" s="3236">
        <f t="shared" si="128"/>
        <v>1</v>
      </c>
      <c r="J774" s="676"/>
      <c r="K774" s="3236">
        <f t="shared" si="129"/>
        <v>1</v>
      </c>
      <c r="L774" s="676"/>
      <c r="M774" s="3236">
        <f t="shared" si="130"/>
        <v>1</v>
      </c>
      <c r="N774" s="676"/>
      <c r="O774" s="3236">
        <f t="shared" si="131"/>
        <v>1</v>
      </c>
      <c r="P774" s="676"/>
      <c r="Q774" s="3236">
        <f t="shared" si="132"/>
        <v>1</v>
      </c>
      <c r="R774" s="3237">
        <f t="shared" ca="1" si="133"/>
        <v>5649</v>
      </c>
      <c r="S774" s="1090">
        <f t="shared" ca="1" si="134"/>
        <v>26</v>
      </c>
    </row>
    <row r="775" spans="1:19">
      <c r="A775" s="674" t="str">
        <f>Sheet2!E755</f>
        <v>K1-019</v>
      </c>
      <c r="B775" s="3235">
        <f>Sheet2!F755</f>
        <v>46.91</v>
      </c>
      <c r="C775" s="3236">
        <f t="shared" si="125"/>
        <v>0.98</v>
      </c>
      <c r="D775" s="676"/>
      <c r="E775" s="3236">
        <f t="shared" si="126"/>
        <v>1</v>
      </c>
      <c r="F775" s="676"/>
      <c r="G775" s="3236">
        <f t="shared" si="127"/>
        <v>1</v>
      </c>
      <c r="H775" s="676"/>
      <c r="I775" s="3236">
        <f t="shared" si="128"/>
        <v>1</v>
      </c>
      <c r="J775" s="676"/>
      <c r="K775" s="3236">
        <f t="shared" si="129"/>
        <v>1</v>
      </c>
      <c r="L775" s="676"/>
      <c r="M775" s="3236">
        <f t="shared" si="130"/>
        <v>1</v>
      </c>
      <c r="N775" s="676"/>
      <c r="O775" s="3236">
        <f t="shared" si="131"/>
        <v>1</v>
      </c>
      <c r="P775" s="676"/>
      <c r="Q775" s="3236">
        <f t="shared" si="132"/>
        <v>1</v>
      </c>
      <c r="R775" s="3237">
        <f t="shared" ca="1" si="133"/>
        <v>5649</v>
      </c>
      <c r="S775" s="1090">
        <f t="shared" ca="1" si="134"/>
        <v>26</v>
      </c>
    </row>
    <row r="776" spans="1:19">
      <c r="A776" s="674" t="str">
        <f>Sheet2!E756</f>
        <v>K1-020</v>
      </c>
      <c r="B776" s="3235">
        <f>Sheet2!F756</f>
        <v>46.91</v>
      </c>
      <c r="C776" s="3236">
        <f t="shared" si="125"/>
        <v>0.98</v>
      </c>
      <c r="D776" s="676"/>
      <c r="E776" s="3236">
        <f t="shared" si="126"/>
        <v>1</v>
      </c>
      <c r="F776" s="676"/>
      <c r="G776" s="3236">
        <f t="shared" si="127"/>
        <v>1</v>
      </c>
      <c r="H776" s="676"/>
      <c r="I776" s="3236">
        <f t="shared" si="128"/>
        <v>1</v>
      </c>
      <c r="J776" s="676"/>
      <c r="K776" s="3236">
        <f t="shared" si="129"/>
        <v>1</v>
      </c>
      <c r="L776" s="676"/>
      <c r="M776" s="3236">
        <f t="shared" si="130"/>
        <v>1</v>
      </c>
      <c r="N776" s="676"/>
      <c r="O776" s="3236">
        <f t="shared" si="131"/>
        <v>1</v>
      </c>
      <c r="P776" s="676"/>
      <c r="Q776" s="3236">
        <f t="shared" si="132"/>
        <v>1</v>
      </c>
      <c r="R776" s="3237">
        <f t="shared" ca="1" si="133"/>
        <v>5649</v>
      </c>
      <c r="S776" s="1090">
        <f t="shared" ca="1" si="134"/>
        <v>26</v>
      </c>
    </row>
    <row r="777" spans="1:19">
      <c r="A777" s="674" t="str">
        <f>Sheet2!E757</f>
        <v>K1-021</v>
      </c>
      <c r="B777" s="3235">
        <f>Sheet2!F757</f>
        <v>48.78</v>
      </c>
      <c r="C777" s="3236">
        <f t="shared" si="125"/>
        <v>0.98</v>
      </c>
      <c r="D777" s="676"/>
      <c r="E777" s="3236">
        <f t="shared" si="126"/>
        <v>1</v>
      </c>
      <c r="F777" s="676"/>
      <c r="G777" s="3236">
        <f t="shared" si="127"/>
        <v>1</v>
      </c>
      <c r="H777" s="676"/>
      <c r="I777" s="3236">
        <f t="shared" si="128"/>
        <v>1</v>
      </c>
      <c r="J777" s="676"/>
      <c r="K777" s="3236">
        <f t="shared" si="129"/>
        <v>1</v>
      </c>
      <c r="L777" s="676"/>
      <c r="M777" s="3236">
        <f t="shared" si="130"/>
        <v>1</v>
      </c>
      <c r="N777" s="676"/>
      <c r="O777" s="3236">
        <f t="shared" si="131"/>
        <v>1</v>
      </c>
      <c r="P777" s="676"/>
      <c r="Q777" s="3236">
        <f t="shared" si="132"/>
        <v>1</v>
      </c>
      <c r="R777" s="3237">
        <f t="shared" ca="1" si="133"/>
        <v>5649</v>
      </c>
      <c r="S777" s="1090">
        <f t="shared" ca="1" si="134"/>
        <v>28</v>
      </c>
    </row>
    <row r="778" spans="1:19">
      <c r="A778" s="674" t="str">
        <f>Sheet2!E758</f>
        <v>K1-022</v>
      </c>
      <c r="B778" s="3235">
        <f>Sheet2!F758</f>
        <v>37.520000000000003</v>
      </c>
      <c r="C778" s="3236">
        <f t="shared" si="125"/>
        <v>0.99</v>
      </c>
      <c r="D778" s="676"/>
      <c r="E778" s="3236">
        <f t="shared" si="126"/>
        <v>1</v>
      </c>
      <c r="F778" s="676"/>
      <c r="G778" s="3236">
        <f t="shared" si="127"/>
        <v>1</v>
      </c>
      <c r="H778" s="676"/>
      <c r="I778" s="3236">
        <f t="shared" si="128"/>
        <v>1</v>
      </c>
      <c r="J778" s="676"/>
      <c r="K778" s="3236">
        <f t="shared" si="129"/>
        <v>1</v>
      </c>
      <c r="L778" s="676"/>
      <c r="M778" s="3236">
        <f t="shared" si="130"/>
        <v>1</v>
      </c>
      <c r="N778" s="676"/>
      <c r="O778" s="3236">
        <f t="shared" si="131"/>
        <v>1</v>
      </c>
      <c r="P778" s="676"/>
      <c r="Q778" s="3236">
        <f t="shared" si="132"/>
        <v>1</v>
      </c>
      <c r="R778" s="3237">
        <f t="shared" ca="1" si="133"/>
        <v>5706</v>
      </c>
      <c r="S778" s="1090">
        <f t="shared" ca="1" si="134"/>
        <v>21</v>
      </c>
    </row>
    <row r="779" spans="1:19">
      <c r="A779" s="674" t="str">
        <f>Sheet2!E759</f>
        <v>K1-023</v>
      </c>
      <c r="B779" s="3235">
        <f>Sheet2!F759</f>
        <v>37.520000000000003</v>
      </c>
      <c r="C779" s="3236">
        <f t="shared" si="125"/>
        <v>0.99</v>
      </c>
      <c r="D779" s="676"/>
      <c r="E779" s="3236">
        <f t="shared" si="126"/>
        <v>1</v>
      </c>
      <c r="F779" s="676"/>
      <c r="G779" s="3236">
        <f t="shared" si="127"/>
        <v>1</v>
      </c>
      <c r="H779" s="676"/>
      <c r="I779" s="3236">
        <f t="shared" si="128"/>
        <v>1</v>
      </c>
      <c r="J779" s="676"/>
      <c r="K779" s="3236">
        <f t="shared" si="129"/>
        <v>1</v>
      </c>
      <c r="L779" s="676"/>
      <c r="M779" s="3236">
        <f t="shared" si="130"/>
        <v>1</v>
      </c>
      <c r="N779" s="676"/>
      <c r="O779" s="3236">
        <f t="shared" si="131"/>
        <v>1</v>
      </c>
      <c r="P779" s="676"/>
      <c r="Q779" s="3236">
        <f t="shared" si="132"/>
        <v>1</v>
      </c>
      <c r="R779" s="3237">
        <f t="shared" ca="1" si="133"/>
        <v>5706</v>
      </c>
      <c r="S779" s="1090">
        <f t="shared" ca="1" si="134"/>
        <v>21</v>
      </c>
    </row>
    <row r="780" spans="1:19">
      <c r="A780" s="674" t="str">
        <f>Sheet2!E760</f>
        <v>K1-024</v>
      </c>
      <c r="B780" s="3235">
        <f>Sheet2!F760</f>
        <v>37.520000000000003</v>
      </c>
      <c r="C780" s="3236">
        <f t="shared" si="125"/>
        <v>0.99</v>
      </c>
      <c r="D780" s="676"/>
      <c r="E780" s="3236">
        <f t="shared" si="126"/>
        <v>1</v>
      </c>
      <c r="F780" s="676"/>
      <c r="G780" s="3236">
        <f t="shared" si="127"/>
        <v>1</v>
      </c>
      <c r="H780" s="676"/>
      <c r="I780" s="3236">
        <f t="shared" si="128"/>
        <v>1</v>
      </c>
      <c r="J780" s="676"/>
      <c r="K780" s="3236">
        <f t="shared" si="129"/>
        <v>1</v>
      </c>
      <c r="L780" s="676"/>
      <c r="M780" s="3236">
        <f t="shared" si="130"/>
        <v>1</v>
      </c>
      <c r="N780" s="676"/>
      <c r="O780" s="3236">
        <f t="shared" si="131"/>
        <v>1</v>
      </c>
      <c r="P780" s="676"/>
      <c r="Q780" s="3236">
        <f t="shared" si="132"/>
        <v>1</v>
      </c>
      <c r="R780" s="3237">
        <f t="shared" ca="1" si="133"/>
        <v>5706</v>
      </c>
      <c r="S780" s="1090">
        <f t="shared" ca="1" si="134"/>
        <v>21</v>
      </c>
    </row>
    <row r="781" spans="1:19">
      <c r="A781" s="674" t="str">
        <f>Sheet2!E761</f>
        <v>K1-025</v>
      </c>
      <c r="B781" s="3235">
        <f>Sheet2!F761</f>
        <v>37.520000000000003</v>
      </c>
      <c r="C781" s="3236">
        <f t="shared" ref="C781:C844" si="135">IF(B781="",1,(LOOKUP(B781,$3:$3,$4:$4)-LOOKUP($B$24,$3:$3,$4:$4)+100)/100)</f>
        <v>0.99</v>
      </c>
      <c r="D781" s="676"/>
      <c r="E781" s="3236">
        <f t="shared" ref="E781:E844" si="136">(SUMIF($5:$5,D781,$6:$6)-SUMIF($5:$5,$D$24,$6:$6)+100)/100</f>
        <v>1</v>
      </c>
      <c r="F781" s="676"/>
      <c r="G781" s="3236">
        <f t="shared" ref="G781:G844" si="137">(SUMIF($7:$7,F781,$8:$8)-SUMIF($7:$7,$F$24,$8:$8)+100)/100</f>
        <v>1</v>
      </c>
      <c r="H781" s="676"/>
      <c r="I781" s="3236">
        <f t="shared" ref="I781:I844" si="138">(SUMIF($9:$9,H781,$10:$10)-SUMIF($9:$9,$H$24,$10:$10)+100)/100</f>
        <v>1</v>
      </c>
      <c r="J781" s="676"/>
      <c r="K781" s="3236">
        <f t="shared" ref="K781:K844" si="139">(SUMIF($11:$11,J781,$12:$12)-SUMIF($11:$11,$J$24,$12:$12)+100)/100</f>
        <v>1</v>
      </c>
      <c r="L781" s="676"/>
      <c r="M781" s="3236">
        <f t="shared" ref="M781:M844" si="140">(SUMIF($13:$13,L781,$14:$14)-SUMIF($13:$13,$L$24,$14:$14)+100)/100</f>
        <v>1</v>
      </c>
      <c r="N781" s="676"/>
      <c r="O781" s="3236">
        <f t="shared" ref="O781:O844" si="141">(SUMIF($15:$15,N781,$16:$16)-SUMIF($15:$15,$N$24,$16:$16)+100)/100</f>
        <v>1</v>
      </c>
      <c r="P781" s="676"/>
      <c r="Q781" s="3236">
        <f t="shared" ref="Q781:Q844" si="142">(SUMIF($17:$17,P781,$18:$18)-SUMIF($17:$17,$P$24,$18:$18)+100)/100</f>
        <v>1</v>
      </c>
      <c r="R781" s="3237">
        <f t="shared" ref="R781:R844" ca="1" si="143">IF(B781="",0,ROUND($R$24*C781*E781*G781*I781*K781*M781*O781*Q781,0))</f>
        <v>5706</v>
      </c>
      <c r="S781" s="1090">
        <f t="shared" ref="S781:S844" ca="1" si="144">ROUND(R781*B781/10000,0)</f>
        <v>21</v>
      </c>
    </row>
    <row r="782" spans="1:19">
      <c r="A782" s="674" t="str">
        <f>Sheet2!E762</f>
        <v>K1-026</v>
      </c>
      <c r="B782" s="3235">
        <f>Sheet2!F762</f>
        <v>37.520000000000003</v>
      </c>
      <c r="C782" s="3236">
        <f t="shared" si="135"/>
        <v>0.99</v>
      </c>
      <c r="D782" s="676"/>
      <c r="E782" s="3236">
        <f t="shared" si="136"/>
        <v>1</v>
      </c>
      <c r="F782" s="676"/>
      <c r="G782" s="3236">
        <f t="shared" si="137"/>
        <v>1</v>
      </c>
      <c r="H782" s="676"/>
      <c r="I782" s="3236">
        <f t="shared" si="138"/>
        <v>1</v>
      </c>
      <c r="J782" s="676"/>
      <c r="K782" s="3236">
        <f t="shared" si="139"/>
        <v>1</v>
      </c>
      <c r="L782" s="676"/>
      <c r="M782" s="3236">
        <f t="shared" si="140"/>
        <v>1</v>
      </c>
      <c r="N782" s="676"/>
      <c r="O782" s="3236">
        <f t="shared" si="141"/>
        <v>1</v>
      </c>
      <c r="P782" s="676"/>
      <c r="Q782" s="3236">
        <f t="shared" si="142"/>
        <v>1</v>
      </c>
      <c r="R782" s="3237">
        <f t="shared" ca="1" si="143"/>
        <v>5706</v>
      </c>
      <c r="S782" s="1090">
        <f t="shared" ca="1" si="144"/>
        <v>21</v>
      </c>
    </row>
    <row r="783" spans="1:19">
      <c r="A783" s="674" t="str">
        <f>Sheet2!E763</f>
        <v>K1-027</v>
      </c>
      <c r="B783" s="3235">
        <f>Sheet2!F763</f>
        <v>37.520000000000003</v>
      </c>
      <c r="C783" s="3236">
        <f t="shared" si="135"/>
        <v>0.99</v>
      </c>
      <c r="D783" s="676"/>
      <c r="E783" s="3236">
        <f t="shared" si="136"/>
        <v>1</v>
      </c>
      <c r="F783" s="676"/>
      <c r="G783" s="3236">
        <f t="shared" si="137"/>
        <v>1</v>
      </c>
      <c r="H783" s="676"/>
      <c r="I783" s="3236">
        <f t="shared" si="138"/>
        <v>1</v>
      </c>
      <c r="J783" s="676"/>
      <c r="K783" s="3236">
        <f t="shared" si="139"/>
        <v>1</v>
      </c>
      <c r="L783" s="676"/>
      <c r="M783" s="3236">
        <f t="shared" si="140"/>
        <v>1</v>
      </c>
      <c r="N783" s="676"/>
      <c r="O783" s="3236">
        <f t="shared" si="141"/>
        <v>1</v>
      </c>
      <c r="P783" s="676"/>
      <c r="Q783" s="3236">
        <f t="shared" si="142"/>
        <v>1</v>
      </c>
      <c r="R783" s="3237">
        <f t="shared" ca="1" si="143"/>
        <v>5706</v>
      </c>
      <c r="S783" s="1090">
        <f t="shared" ca="1" si="144"/>
        <v>21</v>
      </c>
    </row>
    <row r="784" spans="1:19">
      <c r="A784" s="674" t="str">
        <f>Sheet2!E764</f>
        <v>K1-028</v>
      </c>
      <c r="B784" s="3235">
        <f>Sheet2!F764</f>
        <v>37.520000000000003</v>
      </c>
      <c r="C784" s="3236">
        <f t="shared" si="135"/>
        <v>0.99</v>
      </c>
      <c r="D784" s="676"/>
      <c r="E784" s="3236">
        <f t="shared" si="136"/>
        <v>1</v>
      </c>
      <c r="F784" s="676"/>
      <c r="G784" s="3236">
        <f t="shared" si="137"/>
        <v>1</v>
      </c>
      <c r="H784" s="676"/>
      <c r="I784" s="3236">
        <f t="shared" si="138"/>
        <v>1</v>
      </c>
      <c r="J784" s="676"/>
      <c r="K784" s="3236">
        <f t="shared" si="139"/>
        <v>1</v>
      </c>
      <c r="L784" s="676"/>
      <c r="M784" s="3236">
        <f t="shared" si="140"/>
        <v>1</v>
      </c>
      <c r="N784" s="676"/>
      <c r="O784" s="3236">
        <f t="shared" si="141"/>
        <v>1</v>
      </c>
      <c r="P784" s="676"/>
      <c r="Q784" s="3236">
        <f t="shared" si="142"/>
        <v>1</v>
      </c>
      <c r="R784" s="3237">
        <f t="shared" ca="1" si="143"/>
        <v>5706</v>
      </c>
      <c r="S784" s="1090">
        <f t="shared" ca="1" si="144"/>
        <v>21</v>
      </c>
    </row>
    <row r="785" spans="1:19">
      <c r="A785" s="674" t="str">
        <f>Sheet2!E765</f>
        <v>K1-029</v>
      </c>
      <c r="B785" s="3235">
        <f>Sheet2!F765</f>
        <v>37.520000000000003</v>
      </c>
      <c r="C785" s="3236">
        <f t="shared" si="135"/>
        <v>0.99</v>
      </c>
      <c r="D785" s="676"/>
      <c r="E785" s="3236">
        <f t="shared" si="136"/>
        <v>1</v>
      </c>
      <c r="F785" s="676"/>
      <c r="G785" s="3236">
        <f t="shared" si="137"/>
        <v>1</v>
      </c>
      <c r="H785" s="676"/>
      <c r="I785" s="3236">
        <f t="shared" si="138"/>
        <v>1</v>
      </c>
      <c r="J785" s="676"/>
      <c r="K785" s="3236">
        <f t="shared" si="139"/>
        <v>1</v>
      </c>
      <c r="L785" s="676"/>
      <c r="M785" s="3236">
        <f t="shared" si="140"/>
        <v>1</v>
      </c>
      <c r="N785" s="676"/>
      <c r="O785" s="3236">
        <f t="shared" si="141"/>
        <v>1</v>
      </c>
      <c r="P785" s="676"/>
      <c r="Q785" s="3236">
        <f t="shared" si="142"/>
        <v>1</v>
      </c>
      <c r="R785" s="3237">
        <f t="shared" ca="1" si="143"/>
        <v>5706</v>
      </c>
      <c r="S785" s="1090">
        <f t="shared" ca="1" si="144"/>
        <v>21</v>
      </c>
    </row>
    <row r="786" spans="1:19">
      <c r="A786" s="674" t="str">
        <f>Sheet2!E766</f>
        <v>K1-030</v>
      </c>
      <c r="B786" s="3235">
        <f>Sheet2!F766</f>
        <v>37.520000000000003</v>
      </c>
      <c r="C786" s="3236">
        <f t="shared" si="135"/>
        <v>0.99</v>
      </c>
      <c r="D786" s="676"/>
      <c r="E786" s="3236">
        <f t="shared" si="136"/>
        <v>1</v>
      </c>
      <c r="F786" s="676"/>
      <c r="G786" s="3236">
        <f t="shared" si="137"/>
        <v>1</v>
      </c>
      <c r="H786" s="676"/>
      <c r="I786" s="3236">
        <f t="shared" si="138"/>
        <v>1</v>
      </c>
      <c r="J786" s="676"/>
      <c r="K786" s="3236">
        <f t="shared" si="139"/>
        <v>1</v>
      </c>
      <c r="L786" s="676"/>
      <c r="M786" s="3236">
        <f t="shared" si="140"/>
        <v>1</v>
      </c>
      <c r="N786" s="676"/>
      <c r="O786" s="3236">
        <f t="shared" si="141"/>
        <v>1</v>
      </c>
      <c r="P786" s="676"/>
      <c r="Q786" s="3236">
        <f t="shared" si="142"/>
        <v>1</v>
      </c>
      <c r="R786" s="3237">
        <f t="shared" ca="1" si="143"/>
        <v>5706</v>
      </c>
      <c r="S786" s="1090">
        <f t="shared" ca="1" si="144"/>
        <v>21</v>
      </c>
    </row>
    <row r="787" spans="1:19">
      <c r="A787" s="674" t="str">
        <f>Sheet2!E767</f>
        <v>K1-031</v>
      </c>
      <c r="B787" s="3235">
        <f>Sheet2!F767</f>
        <v>37.520000000000003</v>
      </c>
      <c r="C787" s="3236">
        <f t="shared" si="135"/>
        <v>0.99</v>
      </c>
      <c r="D787" s="676"/>
      <c r="E787" s="3236">
        <f t="shared" si="136"/>
        <v>1</v>
      </c>
      <c r="F787" s="676"/>
      <c r="G787" s="3236">
        <f t="shared" si="137"/>
        <v>1</v>
      </c>
      <c r="H787" s="676"/>
      <c r="I787" s="3236">
        <f t="shared" si="138"/>
        <v>1</v>
      </c>
      <c r="J787" s="676"/>
      <c r="K787" s="3236">
        <f t="shared" si="139"/>
        <v>1</v>
      </c>
      <c r="L787" s="676"/>
      <c r="M787" s="3236">
        <f t="shared" si="140"/>
        <v>1</v>
      </c>
      <c r="N787" s="676"/>
      <c r="O787" s="3236">
        <f t="shared" si="141"/>
        <v>1</v>
      </c>
      <c r="P787" s="676"/>
      <c r="Q787" s="3236">
        <f t="shared" si="142"/>
        <v>1</v>
      </c>
      <c r="R787" s="3237">
        <f t="shared" ca="1" si="143"/>
        <v>5706</v>
      </c>
      <c r="S787" s="1090">
        <f t="shared" ca="1" si="144"/>
        <v>21</v>
      </c>
    </row>
    <row r="788" spans="1:19">
      <c r="A788" s="674" t="str">
        <f>Sheet2!E768</f>
        <v>K1-032</v>
      </c>
      <c r="B788" s="3235">
        <f>Sheet2!F768</f>
        <v>37.520000000000003</v>
      </c>
      <c r="C788" s="3236">
        <f t="shared" si="135"/>
        <v>0.99</v>
      </c>
      <c r="D788" s="676"/>
      <c r="E788" s="3236">
        <f t="shared" si="136"/>
        <v>1</v>
      </c>
      <c r="F788" s="676"/>
      <c r="G788" s="3236">
        <f t="shared" si="137"/>
        <v>1</v>
      </c>
      <c r="H788" s="676"/>
      <c r="I788" s="3236">
        <f t="shared" si="138"/>
        <v>1</v>
      </c>
      <c r="J788" s="676"/>
      <c r="K788" s="3236">
        <f t="shared" si="139"/>
        <v>1</v>
      </c>
      <c r="L788" s="676"/>
      <c r="M788" s="3236">
        <f t="shared" si="140"/>
        <v>1</v>
      </c>
      <c r="N788" s="676"/>
      <c r="O788" s="3236">
        <f t="shared" si="141"/>
        <v>1</v>
      </c>
      <c r="P788" s="676"/>
      <c r="Q788" s="3236">
        <f t="shared" si="142"/>
        <v>1</v>
      </c>
      <c r="R788" s="3237">
        <f t="shared" ca="1" si="143"/>
        <v>5706</v>
      </c>
      <c r="S788" s="1090">
        <f t="shared" ca="1" si="144"/>
        <v>21</v>
      </c>
    </row>
    <row r="789" spans="1:19">
      <c r="A789" s="674" t="str">
        <f>Sheet2!E769</f>
        <v>K1-059</v>
      </c>
      <c r="B789" s="3235">
        <f>Sheet2!F769</f>
        <v>39.090000000000003</v>
      </c>
      <c r="C789" s="3236">
        <f t="shared" si="135"/>
        <v>0.99</v>
      </c>
      <c r="D789" s="676"/>
      <c r="E789" s="3236">
        <f t="shared" si="136"/>
        <v>1</v>
      </c>
      <c r="F789" s="676"/>
      <c r="G789" s="3236">
        <f t="shared" si="137"/>
        <v>1</v>
      </c>
      <c r="H789" s="676"/>
      <c r="I789" s="3236">
        <f t="shared" si="138"/>
        <v>1</v>
      </c>
      <c r="J789" s="676"/>
      <c r="K789" s="3236">
        <f t="shared" si="139"/>
        <v>1</v>
      </c>
      <c r="L789" s="676"/>
      <c r="M789" s="3236">
        <f t="shared" si="140"/>
        <v>1</v>
      </c>
      <c r="N789" s="676"/>
      <c r="O789" s="3236">
        <f t="shared" si="141"/>
        <v>1</v>
      </c>
      <c r="P789" s="676"/>
      <c r="Q789" s="3236">
        <f t="shared" si="142"/>
        <v>1</v>
      </c>
      <c r="R789" s="3237">
        <f t="shared" ca="1" si="143"/>
        <v>5706</v>
      </c>
      <c r="S789" s="1090">
        <f t="shared" ca="1" si="144"/>
        <v>22</v>
      </c>
    </row>
    <row r="790" spans="1:19">
      <c r="A790" s="674" t="str">
        <f>Sheet2!E770</f>
        <v>K1-061</v>
      </c>
      <c r="B790" s="3235">
        <f>Sheet2!F770</f>
        <v>39.090000000000003</v>
      </c>
      <c r="C790" s="3236">
        <f t="shared" si="135"/>
        <v>0.99</v>
      </c>
      <c r="D790" s="676"/>
      <c r="E790" s="3236">
        <f t="shared" si="136"/>
        <v>1</v>
      </c>
      <c r="F790" s="676"/>
      <c r="G790" s="3236">
        <f t="shared" si="137"/>
        <v>1</v>
      </c>
      <c r="H790" s="676"/>
      <c r="I790" s="3236">
        <f t="shared" si="138"/>
        <v>1</v>
      </c>
      <c r="J790" s="676"/>
      <c r="K790" s="3236">
        <f t="shared" si="139"/>
        <v>1</v>
      </c>
      <c r="L790" s="676"/>
      <c r="M790" s="3236">
        <f t="shared" si="140"/>
        <v>1</v>
      </c>
      <c r="N790" s="676"/>
      <c r="O790" s="3236">
        <f t="shared" si="141"/>
        <v>1</v>
      </c>
      <c r="P790" s="676"/>
      <c r="Q790" s="3236">
        <f t="shared" si="142"/>
        <v>1</v>
      </c>
      <c r="R790" s="3237">
        <f t="shared" ca="1" si="143"/>
        <v>5706</v>
      </c>
      <c r="S790" s="1090">
        <f t="shared" ca="1" si="144"/>
        <v>22</v>
      </c>
    </row>
    <row r="791" spans="1:19">
      <c r="A791" s="674" t="str">
        <f>Sheet2!E771</f>
        <v>K1-062</v>
      </c>
      <c r="B791" s="3235">
        <f>Sheet2!F771</f>
        <v>39.090000000000003</v>
      </c>
      <c r="C791" s="3236">
        <f t="shared" si="135"/>
        <v>0.99</v>
      </c>
      <c r="D791" s="676"/>
      <c r="E791" s="3236">
        <f t="shared" si="136"/>
        <v>1</v>
      </c>
      <c r="F791" s="676"/>
      <c r="G791" s="3236">
        <f t="shared" si="137"/>
        <v>1</v>
      </c>
      <c r="H791" s="676"/>
      <c r="I791" s="3236">
        <f t="shared" si="138"/>
        <v>1</v>
      </c>
      <c r="J791" s="676"/>
      <c r="K791" s="3236">
        <f t="shared" si="139"/>
        <v>1</v>
      </c>
      <c r="L791" s="676"/>
      <c r="M791" s="3236">
        <f t="shared" si="140"/>
        <v>1</v>
      </c>
      <c r="N791" s="676"/>
      <c r="O791" s="3236">
        <f t="shared" si="141"/>
        <v>1</v>
      </c>
      <c r="P791" s="676"/>
      <c r="Q791" s="3236">
        <f t="shared" si="142"/>
        <v>1</v>
      </c>
      <c r="R791" s="3237">
        <f t="shared" ca="1" si="143"/>
        <v>5706</v>
      </c>
      <c r="S791" s="1090">
        <f t="shared" ca="1" si="144"/>
        <v>22</v>
      </c>
    </row>
    <row r="792" spans="1:19">
      <c r="A792" s="674" t="str">
        <f>Sheet2!E772</f>
        <v>K1-063</v>
      </c>
      <c r="B792" s="3235">
        <f>Sheet2!F772</f>
        <v>39.090000000000003</v>
      </c>
      <c r="C792" s="3236">
        <f t="shared" si="135"/>
        <v>0.99</v>
      </c>
      <c r="D792" s="676"/>
      <c r="E792" s="3236">
        <f t="shared" si="136"/>
        <v>1</v>
      </c>
      <c r="F792" s="676"/>
      <c r="G792" s="3236">
        <f t="shared" si="137"/>
        <v>1</v>
      </c>
      <c r="H792" s="676"/>
      <c r="I792" s="3236">
        <f t="shared" si="138"/>
        <v>1</v>
      </c>
      <c r="J792" s="676"/>
      <c r="K792" s="3236">
        <f t="shared" si="139"/>
        <v>1</v>
      </c>
      <c r="L792" s="676"/>
      <c r="M792" s="3236">
        <f t="shared" si="140"/>
        <v>1</v>
      </c>
      <c r="N792" s="676"/>
      <c r="O792" s="3236">
        <f t="shared" si="141"/>
        <v>1</v>
      </c>
      <c r="P792" s="676"/>
      <c r="Q792" s="3236">
        <f t="shared" si="142"/>
        <v>1</v>
      </c>
      <c r="R792" s="3237">
        <f t="shared" ca="1" si="143"/>
        <v>5706</v>
      </c>
      <c r="S792" s="1090">
        <f t="shared" ca="1" si="144"/>
        <v>22</v>
      </c>
    </row>
    <row r="793" spans="1:19">
      <c r="A793" s="674" t="str">
        <f>Sheet2!E773</f>
        <v>K1-064</v>
      </c>
      <c r="B793" s="3235">
        <f>Sheet2!F773</f>
        <v>39.090000000000003</v>
      </c>
      <c r="C793" s="3236">
        <f t="shared" si="135"/>
        <v>0.99</v>
      </c>
      <c r="D793" s="676"/>
      <c r="E793" s="3236">
        <f t="shared" si="136"/>
        <v>1</v>
      </c>
      <c r="F793" s="676"/>
      <c r="G793" s="3236">
        <f t="shared" si="137"/>
        <v>1</v>
      </c>
      <c r="H793" s="676"/>
      <c r="I793" s="3236">
        <f t="shared" si="138"/>
        <v>1</v>
      </c>
      <c r="J793" s="676"/>
      <c r="K793" s="3236">
        <f t="shared" si="139"/>
        <v>1</v>
      </c>
      <c r="L793" s="676"/>
      <c r="M793" s="3236">
        <f t="shared" si="140"/>
        <v>1</v>
      </c>
      <c r="N793" s="676"/>
      <c r="O793" s="3236">
        <f t="shared" si="141"/>
        <v>1</v>
      </c>
      <c r="P793" s="676"/>
      <c r="Q793" s="3236">
        <f t="shared" si="142"/>
        <v>1</v>
      </c>
      <c r="R793" s="3237">
        <f t="shared" ca="1" si="143"/>
        <v>5706</v>
      </c>
      <c r="S793" s="1090">
        <f t="shared" ca="1" si="144"/>
        <v>22</v>
      </c>
    </row>
    <row r="794" spans="1:19">
      <c r="A794" s="674" t="str">
        <f>Sheet2!E774</f>
        <v>K1-067</v>
      </c>
      <c r="B794" s="3235">
        <f>Sheet2!F774</f>
        <v>39.090000000000003</v>
      </c>
      <c r="C794" s="3236">
        <f t="shared" si="135"/>
        <v>0.99</v>
      </c>
      <c r="D794" s="676"/>
      <c r="E794" s="3236">
        <f t="shared" si="136"/>
        <v>1</v>
      </c>
      <c r="F794" s="676"/>
      <c r="G794" s="3236">
        <f t="shared" si="137"/>
        <v>1</v>
      </c>
      <c r="H794" s="676"/>
      <c r="I794" s="3236">
        <f t="shared" si="138"/>
        <v>1</v>
      </c>
      <c r="J794" s="676"/>
      <c r="K794" s="3236">
        <f t="shared" si="139"/>
        <v>1</v>
      </c>
      <c r="L794" s="676"/>
      <c r="M794" s="3236">
        <f t="shared" si="140"/>
        <v>1</v>
      </c>
      <c r="N794" s="676"/>
      <c r="O794" s="3236">
        <f t="shared" si="141"/>
        <v>1</v>
      </c>
      <c r="P794" s="676"/>
      <c r="Q794" s="3236">
        <f t="shared" si="142"/>
        <v>1</v>
      </c>
      <c r="R794" s="3237">
        <f t="shared" ca="1" si="143"/>
        <v>5706</v>
      </c>
      <c r="S794" s="1090">
        <f t="shared" ca="1" si="144"/>
        <v>22</v>
      </c>
    </row>
    <row r="795" spans="1:19">
      <c r="A795" s="674" t="str">
        <f>Sheet2!E775</f>
        <v>K1-070</v>
      </c>
      <c r="B795" s="3235">
        <f>Sheet2!F775</f>
        <v>39.090000000000003</v>
      </c>
      <c r="C795" s="3236">
        <f t="shared" si="135"/>
        <v>0.99</v>
      </c>
      <c r="D795" s="676"/>
      <c r="E795" s="3236">
        <f t="shared" si="136"/>
        <v>1</v>
      </c>
      <c r="F795" s="676"/>
      <c r="G795" s="3236">
        <f t="shared" si="137"/>
        <v>1</v>
      </c>
      <c r="H795" s="676"/>
      <c r="I795" s="3236">
        <f t="shared" si="138"/>
        <v>1</v>
      </c>
      <c r="J795" s="676"/>
      <c r="K795" s="3236">
        <f t="shared" si="139"/>
        <v>1</v>
      </c>
      <c r="L795" s="676"/>
      <c r="M795" s="3236">
        <f t="shared" si="140"/>
        <v>1</v>
      </c>
      <c r="N795" s="676"/>
      <c r="O795" s="3236">
        <f t="shared" si="141"/>
        <v>1</v>
      </c>
      <c r="P795" s="676"/>
      <c r="Q795" s="3236">
        <f t="shared" si="142"/>
        <v>1</v>
      </c>
      <c r="R795" s="3237">
        <f t="shared" ca="1" si="143"/>
        <v>5706</v>
      </c>
      <c r="S795" s="1090">
        <f t="shared" ca="1" si="144"/>
        <v>22</v>
      </c>
    </row>
    <row r="796" spans="1:19">
      <c r="A796" s="674" t="str">
        <f>Sheet2!E776</f>
        <v>K1-071</v>
      </c>
      <c r="B796" s="3235">
        <f>Sheet2!F776</f>
        <v>39.090000000000003</v>
      </c>
      <c r="C796" s="3236">
        <f t="shared" si="135"/>
        <v>0.99</v>
      </c>
      <c r="D796" s="676"/>
      <c r="E796" s="3236">
        <f t="shared" si="136"/>
        <v>1</v>
      </c>
      <c r="F796" s="676"/>
      <c r="G796" s="3236">
        <f t="shared" si="137"/>
        <v>1</v>
      </c>
      <c r="H796" s="676"/>
      <c r="I796" s="3236">
        <f t="shared" si="138"/>
        <v>1</v>
      </c>
      <c r="J796" s="676"/>
      <c r="K796" s="3236">
        <f t="shared" si="139"/>
        <v>1</v>
      </c>
      <c r="L796" s="676"/>
      <c r="M796" s="3236">
        <f t="shared" si="140"/>
        <v>1</v>
      </c>
      <c r="N796" s="676"/>
      <c r="O796" s="3236">
        <f t="shared" si="141"/>
        <v>1</v>
      </c>
      <c r="P796" s="676"/>
      <c r="Q796" s="3236">
        <f t="shared" si="142"/>
        <v>1</v>
      </c>
      <c r="R796" s="3237">
        <f t="shared" ca="1" si="143"/>
        <v>5706</v>
      </c>
      <c r="S796" s="1090">
        <f t="shared" ca="1" si="144"/>
        <v>22</v>
      </c>
    </row>
    <row r="797" spans="1:19">
      <c r="A797" s="674" t="str">
        <f>Sheet2!E777</f>
        <v>K1-072</v>
      </c>
      <c r="B797" s="3235">
        <f>Sheet2!F777</f>
        <v>39.090000000000003</v>
      </c>
      <c r="C797" s="3236">
        <f t="shared" si="135"/>
        <v>0.99</v>
      </c>
      <c r="D797" s="676"/>
      <c r="E797" s="3236">
        <f t="shared" si="136"/>
        <v>1</v>
      </c>
      <c r="F797" s="676"/>
      <c r="G797" s="3236">
        <f t="shared" si="137"/>
        <v>1</v>
      </c>
      <c r="H797" s="676"/>
      <c r="I797" s="3236">
        <f t="shared" si="138"/>
        <v>1</v>
      </c>
      <c r="J797" s="676"/>
      <c r="K797" s="3236">
        <f t="shared" si="139"/>
        <v>1</v>
      </c>
      <c r="L797" s="676"/>
      <c r="M797" s="3236">
        <f t="shared" si="140"/>
        <v>1</v>
      </c>
      <c r="N797" s="676"/>
      <c r="O797" s="3236">
        <f t="shared" si="141"/>
        <v>1</v>
      </c>
      <c r="P797" s="676"/>
      <c r="Q797" s="3236">
        <f t="shared" si="142"/>
        <v>1</v>
      </c>
      <c r="R797" s="3237">
        <f t="shared" ca="1" si="143"/>
        <v>5706</v>
      </c>
      <c r="S797" s="1090">
        <f t="shared" ca="1" si="144"/>
        <v>22</v>
      </c>
    </row>
    <row r="798" spans="1:19">
      <c r="A798" s="674" t="str">
        <f>Sheet2!E778</f>
        <v>K1-076</v>
      </c>
      <c r="B798" s="3235">
        <f>Sheet2!F778</f>
        <v>36.74</v>
      </c>
      <c r="C798" s="3236">
        <f t="shared" si="135"/>
        <v>0.99</v>
      </c>
      <c r="D798" s="676"/>
      <c r="E798" s="3236">
        <f t="shared" si="136"/>
        <v>1</v>
      </c>
      <c r="F798" s="676"/>
      <c r="G798" s="3236">
        <f t="shared" si="137"/>
        <v>1</v>
      </c>
      <c r="H798" s="676"/>
      <c r="I798" s="3236">
        <f t="shared" si="138"/>
        <v>1</v>
      </c>
      <c r="J798" s="676"/>
      <c r="K798" s="3236">
        <f t="shared" si="139"/>
        <v>1</v>
      </c>
      <c r="L798" s="676"/>
      <c r="M798" s="3236">
        <f t="shared" si="140"/>
        <v>1</v>
      </c>
      <c r="N798" s="676"/>
      <c r="O798" s="3236">
        <f t="shared" si="141"/>
        <v>1</v>
      </c>
      <c r="P798" s="676"/>
      <c r="Q798" s="3236">
        <f t="shared" si="142"/>
        <v>1</v>
      </c>
      <c r="R798" s="3237">
        <f t="shared" ca="1" si="143"/>
        <v>5706</v>
      </c>
      <c r="S798" s="1090">
        <f t="shared" ca="1" si="144"/>
        <v>21</v>
      </c>
    </row>
    <row r="799" spans="1:19">
      <c r="A799" s="674" t="str">
        <f>Sheet2!E779</f>
        <v>K1-077</v>
      </c>
      <c r="B799" s="3235">
        <f>Sheet2!F779</f>
        <v>36.74</v>
      </c>
      <c r="C799" s="3236">
        <f t="shared" si="135"/>
        <v>0.99</v>
      </c>
      <c r="D799" s="676"/>
      <c r="E799" s="3236">
        <f t="shared" si="136"/>
        <v>1</v>
      </c>
      <c r="F799" s="676"/>
      <c r="G799" s="3236">
        <f t="shared" si="137"/>
        <v>1</v>
      </c>
      <c r="H799" s="676"/>
      <c r="I799" s="3236">
        <f t="shared" si="138"/>
        <v>1</v>
      </c>
      <c r="J799" s="676"/>
      <c r="K799" s="3236">
        <f t="shared" si="139"/>
        <v>1</v>
      </c>
      <c r="L799" s="676"/>
      <c r="M799" s="3236">
        <f t="shared" si="140"/>
        <v>1</v>
      </c>
      <c r="N799" s="676"/>
      <c r="O799" s="3236">
        <f t="shared" si="141"/>
        <v>1</v>
      </c>
      <c r="P799" s="676"/>
      <c r="Q799" s="3236">
        <f t="shared" si="142"/>
        <v>1</v>
      </c>
      <c r="R799" s="3237">
        <f t="shared" ca="1" si="143"/>
        <v>5706</v>
      </c>
      <c r="S799" s="1090">
        <f t="shared" ca="1" si="144"/>
        <v>21</v>
      </c>
    </row>
    <row r="800" spans="1:19">
      <c r="A800" s="674" t="str">
        <f>Sheet2!E780</f>
        <v>K1-080</v>
      </c>
      <c r="B800" s="3235">
        <f>Sheet2!F780</f>
        <v>36.74</v>
      </c>
      <c r="C800" s="3236">
        <f t="shared" si="135"/>
        <v>0.99</v>
      </c>
      <c r="D800" s="676"/>
      <c r="E800" s="3236">
        <f t="shared" si="136"/>
        <v>1</v>
      </c>
      <c r="F800" s="676"/>
      <c r="G800" s="3236">
        <f t="shared" si="137"/>
        <v>1</v>
      </c>
      <c r="H800" s="676"/>
      <c r="I800" s="3236">
        <f t="shared" si="138"/>
        <v>1</v>
      </c>
      <c r="J800" s="676"/>
      <c r="K800" s="3236">
        <f t="shared" si="139"/>
        <v>1</v>
      </c>
      <c r="L800" s="676"/>
      <c r="M800" s="3236">
        <f t="shared" si="140"/>
        <v>1</v>
      </c>
      <c r="N800" s="676"/>
      <c r="O800" s="3236">
        <f t="shared" si="141"/>
        <v>1</v>
      </c>
      <c r="P800" s="676"/>
      <c r="Q800" s="3236">
        <f t="shared" si="142"/>
        <v>1</v>
      </c>
      <c r="R800" s="3237">
        <f t="shared" ca="1" si="143"/>
        <v>5706</v>
      </c>
      <c r="S800" s="1090">
        <f t="shared" ca="1" si="144"/>
        <v>21</v>
      </c>
    </row>
    <row r="801" spans="1:19">
      <c r="A801" s="674" t="str">
        <f>Sheet2!E781</f>
        <v>K1-082</v>
      </c>
      <c r="B801" s="3235">
        <f>Sheet2!F781</f>
        <v>36.74</v>
      </c>
      <c r="C801" s="3236">
        <f t="shared" si="135"/>
        <v>0.99</v>
      </c>
      <c r="D801" s="676"/>
      <c r="E801" s="3236">
        <f t="shared" si="136"/>
        <v>1</v>
      </c>
      <c r="F801" s="676"/>
      <c r="G801" s="3236">
        <f t="shared" si="137"/>
        <v>1</v>
      </c>
      <c r="H801" s="676"/>
      <c r="I801" s="3236">
        <f t="shared" si="138"/>
        <v>1</v>
      </c>
      <c r="J801" s="676"/>
      <c r="K801" s="3236">
        <f t="shared" si="139"/>
        <v>1</v>
      </c>
      <c r="L801" s="676"/>
      <c r="M801" s="3236">
        <f t="shared" si="140"/>
        <v>1</v>
      </c>
      <c r="N801" s="676"/>
      <c r="O801" s="3236">
        <f t="shared" si="141"/>
        <v>1</v>
      </c>
      <c r="P801" s="676"/>
      <c r="Q801" s="3236">
        <f t="shared" si="142"/>
        <v>1</v>
      </c>
      <c r="R801" s="3237">
        <f t="shared" ca="1" si="143"/>
        <v>5706</v>
      </c>
      <c r="S801" s="1090">
        <f t="shared" ca="1" si="144"/>
        <v>21</v>
      </c>
    </row>
    <row r="802" spans="1:19">
      <c r="A802" s="674" t="str">
        <f>Sheet2!E782</f>
        <v>K1-083</v>
      </c>
      <c r="B802" s="3235">
        <f>Sheet2!F782</f>
        <v>36.74</v>
      </c>
      <c r="C802" s="3236">
        <f t="shared" si="135"/>
        <v>0.99</v>
      </c>
      <c r="D802" s="676"/>
      <c r="E802" s="3236">
        <f t="shared" si="136"/>
        <v>1</v>
      </c>
      <c r="F802" s="676"/>
      <c r="G802" s="3236">
        <f t="shared" si="137"/>
        <v>1</v>
      </c>
      <c r="H802" s="676"/>
      <c r="I802" s="3236">
        <f t="shared" si="138"/>
        <v>1</v>
      </c>
      <c r="J802" s="676"/>
      <c r="K802" s="3236">
        <f t="shared" si="139"/>
        <v>1</v>
      </c>
      <c r="L802" s="676"/>
      <c r="M802" s="3236">
        <f t="shared" si="140"/>
        <v>1</v>
      </c>
      <c r="N802" s="676"/>
      <c r="O802" s="3236">
        <f t="shared" si="141"/>
        <v>1</v>
      </c>
      <c r="P802" s="676"/>
      <c r="Q802" s="3236">
        <f t="shared" si="142"/>
        <v>1</v>
      </c>
      <c r="R802" s="3237">
        <f t="shared" ca="1" si="143"/>
        <v>5706</v>
      </c>
      <c r="S802" s="1090">
        <f t="shared" ca="1" si="144"/>
        <v>21</v>
      </c>
    </row>
    <row r="803" spans="1:19">
      <c r="A803" s="674" t="str">
        <f>Sheet2!E783</f>
        <v>K1-084</v>
      </c>
      <c r="B803" s="3235">
        <f>Sheet2!F783</f>
        <v>36.74</v>
      </c>
      <c r="C803" s="3236">
        <f t="shared" si="135"/>
        <v>0.99</v>
      </c>
      <c r="D803" s="676"/>
      <c r="E803" s="3236">
        <f t="shared" si="136"/>
        <v>1</v>
      </c>
      <c r="F803" s="676"/>
      <c r="G803" s="3236">
        <f t="shared" si="137"/>
        <v>1</v>
      </c>
      <c r="H803" s="676"/>
      <c r="I803" s="3236">
        <f t="shared" si="138"/>
        <v>1</v>
      </c>
      <c r="J803" s="676"/>
      <c r="K803" s="3236">
        <f t="shared" si="139"/>
        <v>1</v>
      </c>
      <c r="L803" s="676"/>
      <c r="M803" s="3236">
        <f t="shared" si="140"/>
        <v>1</v>
      </c>
      <c r="N803" s="676"/>
      <c r="O803" s="3236">
        <f t="shared" si="141"/>
        <v>1</v>
      </c>
      <c r="P803" s="676"/>
      <c r="Q803" s="3236">
        <f t="shared" si="142"/>
        <v>1</v>
      </c>
      <c r="R803" s="3237">
        <f t="shared" ca="1" si="143"/>
        <v>5706</v>
      </c>
      <c r="S803" s="1090">
        <f t="shared" ca="1" si="144"/>
        <v>21</v>
      </c>
    </row>
    <row r="804" spans="1:19">
      <c r="A804" s="674" t="str">
        <f>Sheet2!E784</f>
        <v>K1-085</v>
      </c>
      <c r="B804" s="3235">
        <f>Sheet2!F784</f>
        <v>36.74</v>
      </c>
      <c r="C804" s="3236">
        <f t="shared" si="135"/>
        <v>0.99</v>
      </c>
      <c r="D804" s="676"/>
      <c r="E804" s="3236">
        <f t="shared" si="136"/>
        <v>1</v>
      </c>
      <c r="F804" s="676"/>
      <c r="G804" s="3236">
        <f t="shared" si="137"/>
        <v>1</v>
      </c>
      <c r="H804" s="676"/>
      <c r="I804" s="3236">
        <f t="shared" si="138"/>
        <v>1</v>
      </c>
      <c r="J804" s="676"/>
      <c r="K804" s="3236">
        <f t="shared" si="139"/>
        <v>1</v>
      </c>
      <c r="L804" s="676"/>
      <c r="M804" s="3236">
        <f t="shared" si="140"/>
        <v>1</v>
      </c>
      <c r="N804" s="676"/>
      <c r="O804" s="3236">
        <f t="shared" si="141"/>
        <v>1</v>
      </c>
      <c r="P804" s="676"/>
      <c r="Q804" s="3236">
        <f t="shared" si="142"/>
        <v>1</v>
      </c>
      <c r="R804" s="3237">
        <f t="shared" ca="1" si="143"/>
        <v>5706</v>
      </c>
      <c r="S804" s="1090">
        <f t="shared" ca="1" si="144"/>
        <v>21</v>
      </c>
    </row>
    <row r="805" spans="1:19">
      <c r="A805" s="674" t="str">
        <f>Sheet2!E785</f>
        <v>K1-086</v>
      </c>
      <c r="B805" s="3235">
        <f>Sheet2!F785</f>
        <v>36.74</v>
      </c>
      <c r="C805" s="3236">
        <f t="shared" si="135"/>
        <v>0.99</v>
      </c>
      <c r="D805" s="676"/>
      <c r="E805" s="3236">
        <f t="shared" si="136"/>
        <v>1</v>
      </c>
      <c r="F805" s="676"/>
      <c r="G805" s="3236">
        <f t="shared" si="137"/>
        <v>1</v>
      </c>
      <c r="H805" s="676"/>
      <c r="I805" s="3236">
        <f t="shared" si="138"/>
        <v>1</v>
      </c>
      <c r="J805" s="676"/>
      <c r="K805" s="3236">
        <f t="shared" si="139"/>
        <v>1</v>
      </c>
      <c r="L805" s="676"/>
      <c r="M805" s="3236">
        <f t="shared" si="140"/>
        <v>1</v>
      </c>
      <c r="N805" s="676"/>
      <c r="O805" s="3236">
        <f t="shared" si="141"/>
        <v>1</v>
      </c>
      <c r="P805" s="676"/>
      <c r="Q805" s="3236">
        <f t="shared" si="142"/>
        <v>1</v>
      </c>
      <c r="R805" s="3237">
        <f t="shared" ca="1" si="143"/>
        <v>5706</v>
      </c>
      <c r="S805" s="1090">
        <f t="shared" ca="1" si="144"/>
        <v>21</v>
      </c>
    </row>
    <row r="806" spans="1:19">
      <c r="A806" s="674" t="str">
        <f>Sheet2!E786</f>
        <v>K1-087</v>
      </c>
      <c r="B806" s="3235">
        <f>Sheet2!F786</f>
        <v>36.74</v>
      </c>
      <c r="C806" s="3236">
        <f t="shared" si="135"/>
        <v>0.99</v>
      </c>
      <c r="D806" s="676"/>
      <c r="E806" s="3236">
        <f t="shared" si="136"/>
        <v>1</v>
      </c>
      <c r="F806" s="676"/>
      <c r="G806" s="3236">
        <f t="shared" si="137"/>
        <v>1</v>
      </c>
      <c r="H806" s="676"/>
      <c r="I806" s="3236">
        <f t="shared" si="138"/>
        <v>1</v>
      </c>
      <c r="J806" s="676"/>
      <c r="K806" s="3236">
        <f t="shared" si="139"/>
        <v>1</v>
      </c>
      <c r="L806" s="676"/>
      <c r="M806" s="3236">
        <f t="shared" si="140"/>
        <v>1</v>
      </c>
      <c r="N806" s="676"/>
      <c r="O806" s="3236">
        <f t="shared" si="141"/>
        <v>1</v>
      </c>
      <c r="P806" s="676"/>
      <c r="Q806" s="3236">
        <f t="shared" si="142"/>
        <v>1</v>
      </c>
      <c r="R806" s="3237">
        <f t="shared" ca="1" si="143"/>
        <v>5706</v>
      </c>
      <c r="S806" s="1090">
        <f t="shared" ca="1" si="144"/>
        <v>21</v>
      </c>
    </row>
    <row r="807" spans="1:19">
      <c r="A807" s="674" t="str">
        <f>Sheet2!E787</f>
        <v>K1-088</v>
      </c>
      <c r="B807" s="3235">
        <f>Sheet2!F787</f>
        <v>39.090000000000003</v>
      </c>
      <c r="C807" s="3236">
        <f t="shared" si="135"/>
        <v>0.99</v>
      </c>
      <c r="D807" s="676"/>
      <c r="E807" s="3236">
        <f t="shared" si="136"/>
        <v>1</v>
      </c>
      <c r="F807" s="676"/>
      <c r="G807" s="3236">
        <f t="shared" si="137"/>
        <v>1</v>
      </c>
      <c r="H807" s="676"/>
      <c r="I807" s="3236">
        <f t="shared" si="138"/>
        <v>1</v>
      </c>
      <c r="J807" s="676"/>
      <c r="K807" s="3236">
        <f t="shared" si="139"/>
        <v>1</v>
      </c>
      <c r="L807" s="676"/>
      <c r="M807" s="3236">
        <f t="shared" si="140"/>
        <v>1</v>
      </c>
      <c r="N807" s="676"/>
      <c r="O807" s="3236">
        <f t="shared" si="141"/>
        <v>1</v>
      </c>
      <c r="P807" s="676"/>
      <c r="Q807" s="3236">
        <f t="shared" si="142"/>
        <v>1</v>
      </c>
      <c r="R807" s="3237">
        <f t="shared" ca="1" si="143"/>
        <v>5706</v>
      </c>
      <c r="S807" s="1090">
        <f t="shared" ca="1" si="144"/>
        <v>22</v>
      </c>
    </row>
    <row r="808" spans="1:19">
      <c r="A808" s="674" t="str">
        <f>Sheet2!E788</f>
        <v>K1-089</v>
      </c>
      <c r="B808" s="3235">
        <f>Sheet2!F788</f>
        <v>39.090000000000003</v>
      </c>
      <c r="C808" s="3236">
        <f t="shared" si="135"/>
        <v>0.99</v>
      </c>
      <c r="D808" s="676"/>
      <c r="E808" s="3236">
        <f t="shared" si="136"/>
        <v>1</v>
      </c>
      <c r="F808" s="676"/>
      <c r="G808" s="3236">
        <f t="shared" si="137"/>
        <v>1</v>
      </c>
      <c r="H808" s="676"/>
      <c r="I808" s="3236">
        <f t="shared" si="138"/>
        <v>1</v>
      </c>
      <c r="J808" s="676"/>
      <c r="K808" s="3236">
        <f t="shared" si="139"/>
        <v>1</v>
      </c>
      <c r="L808" s="676"/>
      <c r="M808" s="3236">
        <f t="shared" si="140"/>
        <v>1</v>
      </c>
      <c r="N808" s="676"/>
      <c r="O808" s="3236">
        <f t="shared" si="141"/>
        <v>1</v>
      </c>
      <c r="P808" s="676"/>
      <c r="Q808" s="3236">
        <f t="shared" si="142"/>
        <v>1</v>
      </c>
      <c r="R808" s="3237">
        <f t="shared" ca="1" si="143"/>
        <v>5706</v>
      </c>
      <c r="S808" s="1090">
        <f t="shared" ca="1" si="144"/>
        <v>22</v>
      </c>
    </row>
    <row r="809" spans="1:19">
      <c r="A809" s="674" t="str">
        <f>Sheet2!E789</f>
        <v>K1-090</v>
      </c>
      <c r="B809" s="3235">
        <f>Sheet2!F789</f>
        <v>39.090000000000003</v>
      </c>
      <c r="C809" s="3236">
        <f t="shared" si="135"/>
        <v>0.99</v>
      </c>
      <c r="D809" s="676"/>
      <c r="E809" s="3236">
        <f t="shared" si="136"/>
        <v>1</v>
      </c>
      <c r="F809" s="676"/>
      <c r="G809" s="3236">
        <f t="shared" si="137"/>
        <v>1</v>
      </c>
      <c r="H809" s="676"/>
      <c r="I809" s="3236">
        <f t="shared" si="138"/>
        <v>1</v>
      </c>
      <c r="J809" s="676"/>
      <c r="K809" s="3236">
        <f t="shared" si="139"/>
        <v>1</v>
      </c>
      <c r="L809" s="676"/>
      <c r="M809" s="3236">
        <f t="shared" si="140"/>
        <v>1</v>
      </c>
      <c r="N809" s="676"/>
      <c r="O809" s="3236">
        <f t="shared" si="141"/>
        <v>1</v>
      </c>
      <c r="P809" s="676"/>
      <c r="Q809" s="3236">
        <f t="shared" si="142"/>
        <v>1</v>
      </c>
      <c r="R809" s="3237">
        <f t="shared" ca="1" si="143"/>
        <v>5706</v>
      </c>
      <c r="S809" s="1090">
        <f t="shared" ca="1" si="144"/>
        <v>22</v>
      </c>
    </row>
    <row r="810" spans="1:19">
      <c r="A810" s="674" t="str">
        <f>Sheet2!E790</f>
        <v>K1-091</v>
      </c>
      <c r="B810" s="3235">
        <f>Sheet2!F790</f>
        <v>39.090000000000003</v>
      </c>
      <c r="C810" s="3236">
        <f t="shared" si="135"/>
        <v>0.99</v>
      </c>
      <c r="D810" s="676"/>
      <c r="E810" s="3236">
        <f t="shared" si="136"/>
        <v>1</v>
      </c>
      <c r="F810" s="676"/>
      <c r="G810" s="3236">
        <f t="shared" si="137"/>
        <v>1</v>
      </c>
      <c r="H810" s="676"/>
      <c r="I810" s="3236">
        <f t="shared" si="138"/>
        <v>1</v>
      </c>
      <c r="J810" s="676"/>
      <c r="K810" s="3236">
        <f t="shared" si="139"/>
        <v>1</v>
      </c>
      <c r="L810" s="676"/>
      <c r="M810" s="3236">
        <f t="shared" si="140"/>
        <v>1</v>
      </c>
      <c r="N810" s="676"/>
      <c r="O810" s="3236">
        <f t="shared" si="141"/>
        <v>1</v>
      </c>
      <c r="P810" s="676"/>
      <c r="Q810" s="3236">
        <f t="shared" si="142"/>
        <v>1</v>
      </c>
      <c r="R810" s="3237">
        <f t="shared" ca="1" si="143"/>
        <v>5706</v>
      </c>
      <c r="S810" s="1090">
        <f t="shared" ca="1" si="144"/>
        <v>22</v>
      </c>
    </row>
    <row r="811" spans="1:19">
      <c r="A811" s="674" t="str">
        <f>Sheet2!E791</f>
        <v>K1-092</v>
      </c>
      <c r="B811" s="3235">
        <f>Sheet2!F791</f>
        <v>39.090000000000003</v>
      </c>
      <c r="C811" s="3236">
        <f t="shared" si="135"/>
        <v>0.99</v>
      </c>
      <c r="D811" s="676"/>
      <c r="E811" s="3236">
        <f t="shared" si="136"/>
        <v>1</v>
      </c>
      <c r="F811" s="676"/>
      <c r="G811" s="3236">
        <f t="shared" si="137"/>
        <v>1</v>
      </c>
      <c r="H811" s="676"/>
      <c r="I811" s="3236">
        <f t="shared" si="138"/>
        <v>1</v>
      </c>
      <c r="J811" s="676"/>
      <c r="K811" s="3236">
        <f t="shared" si="139"/>
        <v>1</v>
      </c>
      <c r="L811" s="676"/>
      <c r="M811" s="3236">
        <f t="shared" si="140"/>
        <v>1</v>
      </c>
      <c r="N811" s="676"/>
      <c r="O811" s="3236">
        <f t="shared" si="141"/>
        <v>1</v>
      </c>
      <c r="P811" s="676"/>
      <c r="Q811" s="3236">
        <f t="shared" si="142"/>
        <v>1</v>
      </c>
      <c r="R811" s="3237">
        <f t="shared" ca="1" si="143"/>
        <v>5706</v>
      </c>
      <c r="S811" s="1090">
        <f t="shared" ca="1" si="144"/>
        <v>22</v>
      </c>
    </row>
    <row r="812" spans="1:19">
      <c r="A812" s="674" t="str">
        <f>Sheet2!E792</f>
        <v>K1-094</v>
      </c>
      <c r="B812" s="3235">
        <f>Sheet2!F792</f>
        <v>39.090000000000003</v>
      </c>
      <c r="C812" s="3236">
        <f t="shared" si="135"/>
        <v>0.99</v>
      </c>
      <c r="D812" s="676"/>
      <c r="E812" s="3236">
        <f t="shared" si="136"/>
        <v>1</v>
      </c>
      <c r="F812" s="676"/>
      <c r="G812" s="3236">
        <f t="shared" si="137"/>
        <v>1</v>
      </c>
      <c r="H812" s="676"/>
      <c r="I812" s="3236">
        <f t="shared" si="138"/>
        <v>1</v>
      </c>
      <c r="J812" s="676"/>
      <c r="K812" s="3236">
        <f t="shared" si="139"/>
        <v>1</v>
      </c>
      <c r="L812" s="676"/>
      <c r="M812" s="3236">
        <f t="shared" si="140"/>
        <v>1</v>
      </c>
      <c r="N812" s="676"/>
      <c r="O812" s="3236">
        <f t="shared" si="141"/>
        <v>1</v>
      </c>
      <c r="P812" s="676"/>
      <c r="Q812" s="3236">
        <f t="shared" si="142"/>
        <v>1</v>
      </c>
      <c r="R812" s="3237">
        <f t="shared" ca="1" si="143"/>
        <v>5706</v>
      </c>
      <c r="S812" s="1090">
        <f t="shared" ca="1" si="144"/>
        <v>22</v>
      </c>
    </row>
    <row r="813" spans="1:19">
      <c r="A813" s="674" t="str">
        <f>Sheet2!E793</f>
        <v>K1-097</v>
      </c>
      <c r="B813" s="3235">
        <f>Sheet2!F793</f>
        <v>39.090000000000003</v>
      </c>
      <c r="C813" s="3236">
        <f t="shared" si="135"/>
        <v>0.99</v>
      </c>
      <c r="D813" s="676"/>
      <c r="E813" s="3236">
        <f t="shared" si="136"/>
        <v>1</v>
      </c>
      <c r="F813" s="676"/>
      <c r="G813" s="3236">
        <f t="shared" si="137"/>
        <v>1</v>
      </c>
      <c r="H813" s="676"/>
      <c r="I813" s="3236">
        <f t="shared" si="138"/>
        <v>1</v>
      </c>
      <c r="J813" s="676"/>
      <c r="K813" s="3236">
        <f t="shared" si="139"/>
        <v>1</v>
      </c>
      <c r="L813" s="676"/>
      <c r="M813" s="3236">
        <f t="shared" si="140"/>
        <v>1</v>
      </c>
      <c r="N813" s="676"/>
      <c r="O813" s="3236">
        <f t="shared" si="141"/>
        <v>1</v>
      </c>
      <c r="P813" s="676"/>
      <c r="Q813" s="3236">
        <f t="shared" si="142"/>
        <v>1</v>
      </c>
      <c r="R813" s="3237">
        <f t="shared" ca="1" si="143"/>
        <v>5706</v>
      </c>
      <c r="S813" s="1090">
        <f t="shared" ca="1" si="144"/>
        <v>22</v>
      </c>
    </row>
    <row r="814" spans="1:19">
      <c r="A814" s="674" t="str">
        <f>Sheet2!E794</f>
        <v>K1-106</v>
      </c>
      <c r="B814" s="3235">
        <f>Sheet2!F794</f>
        <v>36.74</v>
      </c>
      <c r="C814" s="3236">
        <f t="shared" si="135"/>
        <v>0.99</v>
      </c>
      <c r="D814" s="676"/>
      <c r="E814" s="3236">
        <f t="shared" si="136"/>
        <v>1</v>
      </c>
      <c r="F814" s="676"/>
      <c r="G814" s="3236">
        <f t="shared" si="137"/>
        <v>1</v>
      </c>
      <c r="H814" s="676"/>
      <c r="I814" s="3236">
        <f t="shared" si="138"/>
        <v>1</v>
      </c>
      <c r="J814" s="676"/>
      <c r="K814" s="3236">
        <f t="shared" si="139"/>
        <v>1</v>
      </c>
      <c r="L814" s="676"/>
      <c r="M814" s="3236">
        <f t="shared" si="140"/>
        <v>1</v>
      </c>
      <c r="N814" s="676"/>
      <c r="O814" s="3236">
        <f t="shared" si="141"/>
        <v>1</v>
      </c>
      <c r="P814" s="676"/>
      <c r="Q814" s="3236">
        <f t="shared" si="142"/>
        <v>1</v>
      </c>
      <c r="R814" s="3237">
        <f t="shared" ca="1" si="143"/>
        <v>5706</v>
      </c>
      <c r="S814" s="1090">
        <f t="shared" ca="1" si="144"/>
        <v>21</v>
      </c>
    </row>
    <row r="815" spans="1:19">
      <c r="A815" s="674" t="str">
        <f>Sheet2!E795</f>
        <v>K1-107</v>
      </c>
      <c r="B815" s="3235">
        <f>Sheet2!F795</f>
        <v>36.74</v>
      </c>
      <c r="C815" s="3236">
        <f t="shared" si="135"/>
        <v>0.99</v>
      </c>
      <c r="D815" s="676"/>
      <c r="E815" s="3236">
        <f t="shared" si="136"/>
        <v>1</v>
      </c>
      <c r="F815" s="676"/>
      <c r="G815" s="3236">
        <f t="shared" si="137"/>
        <v>1</v>
      </c>
      <c r="H815" s="676"/>
      <c r="I815" s="3236">
        <f t="shared" si="138"/>
        <v>1</v>
      </c>
      <c r="J815" s="676"/>
      <c r="K815" s="3236">
        <f t="shared" si="139"/>
        <v>1</v>
      </c>
      <c r="L815" s="676"/>
      <c r="M815" s="3236">
        <f t="shared" si="140"/>
        <v>1</v>
      </c>
      <c r="N815" s="676"/>
      <c r="O815" s="3236">
        <f t="shared" si="141"/>
        <v>1</v>
      </c>
      <c r="P815" s="676"/>
      <c r="Q815" s="3236">
        <f t="shared" si="142"/>
        <v>1</v>
      </c>
      <c r="R815" s="3237">
        <f t="shared" ca="1" si="143"/>
        <v>5706</v>
      </c>
      <c r="S815" s="1090">
        <f t="shared" ca="1" si="144"/>
        <v>21</v>
      </c>
    </row>
    <row r="816" spans="1:19">
      <c r="A816" s="674" t="str">
        <f>Sheet2!E796</f>
        <v>K1-108</v>
      </c>
      <c r="B816" s="3235">
        <f>Sheet2!F796</f>
        <v>36.770000000000003</v>
      </c>
      <c r="C816" s="3236">
        <f t="shared" si="135"/>
        <v>0.99</v>
      </c>
      <c r="D816" s="676"/>
      <c r="E816" s="3236">
        <f t="shared" si="136"/>
        <v>1</v>
      </c>
      <c r="F816" s="676"/>
      <c r="G816" s="3236">
        <f t="shared" si="137"/>
        <v>1</v>
      </c>
      <c r="H816" s="676"/>
      <c r="I816" s="3236">
        <f t="shared" si="138"/>
        <v>1</v>
      </c>
      <c r="J816" s="676"/>
      <c r="K816" s="3236">
        <f t="shared" si="139"/>
        <v>1</v>
      </c>
      <c r="L816" s="676"/>
      <c r="M816" s="3236">
        <f t="shared" si="140"/>
        <v>1</v>
      </c>
      <c r="N816" s="676"/>
      <c r="O816" s="3236">
        <f t="shared" si="141"/>
        <v>1</v>
      </c>
      <c r="P816" s="676"/>
      <c r="Q816" s="3236">
        <f t="shared" si="142"/>
        <v>1</v>
      </c>
      <c r="R816" s="3237">
        <f t="shared" ca="1" si="143"/>
        <v>5706</v>
      </c>
      <c r="S816" s="1090">
        <f t="shared" ca="1" si="144"/>
        <v>21</v>
      </c>
    </row>
    <row r="817" spans="1:19">
      <c r="A817" s="674" t="str">
        <f>Sheet2!E797</f>
        <v>K1-109</v>
      </c>
      <c r="B817" s="3235">
        <f>Sheet2!F797</f>
        <v>36.770000000000003</v>
      </c>
      <c r="C817" s="3236">
        <f t="shared" si="135"/>
        <v>0.99</v>
      </c>
      <c r="D817" s="676"/>
      <c r="E817" s="3236">
        <f t="shared" si="136"/>
        <v>1</v>
      </c>
      <c r="F817" s="676"/>
      <c r="G817" s="3236">
        <f t="shared" si="137"/>
        <v>1</v>
      </c>
      <c r="H817" s="676"/>
      <c r="I817" s="3236">
        <f t="shared" si="138"/>
        <v>1</v>
      </c>
      <c r="J817" s="676"/>
      <c r="K817" s="3236">
        <f t="shared" si="139"/>
        <v>1</v>
      </c>
      <c r="L817" s="676"/>
      <c r="M817" s="3236">
        <f t="shared" si="140"/>
        <v>1</v>
      </c>
      <c r="N817" s="676"/>
      <c r="O817" s="3236">
        <f t="shared" si="141"/>
        <v>1</v>
      </c>
      <c r="P817" s="676"/>
      <c r="Q817" s="3236">
        <f t="shared" si="142"/>
        <v>1</v>
      </c>
      <c r="R817" s="3237">
        <f t="shared" ca="1" si="143"/>
        <v>5706</v>
      </c>
      <c r="S817" s="1090">
        <f t="shared" ca="1" si="144"/>
        <v>21</v>
      </c>
    </row>
    <row r="818" spans="1:19">
      <c r="A818" s="674" t="str">
        <f>Sheet2!E798</f>
        <v>K1-110</v>
      </c>
      <c r="B818" s="3235">
        <f>Sheet2!F798</f>
        <v>36.770000000000003</v>
      </c>
      <c r="C818" s="3236">
        <f t="shared" si="135"/>
        <v>0.99</v>
      </c>
      <c r="D818" s="676"/>
      <c r="E818" s="3236">
        <f t="shared" si="136"/>
        <v>1</v>
      </c>
      <c r="F818" s="676"/>
      <c r="G818" s="3236">
        <f t="shared" si="137"/>
        <v>1</v>
      </c>
      <c r="H818" s="676"/>
      <c r="I818" s="3236">
        <f t="shared" si="138"/>
        <v>1</v>
      </c>
      <c r="J818" s="676"/>
      <c r="K818" s="3236">
        <f t="shared" si="139"/>
        <v>1</v>
      </c>
      <c r="L818" s="676"/>
      <c r="M818" s="3236">
        <f t="shared" si="140"/>
        <v>1</v>
      </c>
      <c r="N818" s="676"/>
      <c r="O818" s="3236">
        <f t="shared" si="141"/>
        <v>1</v>
      </c>
      <c r="P818" s="676"/>
      <c r="Q818" s="3236">
        <f t="shared" si="142"/>
        <v>1</v>
      </c>
      <c r="R818" s="3237">
        <f t="shared" ca="1" si="143"/>
        <v>5706</v>
      </c>
      <c r="S818" s="1090">
        <f t="shared" ca="1" si="144"/>
        <v>21</v>
      </c>
    </row>
    <row r="819" spans="1:19">
      <c r="A819" s="674" t="str">
        <f>Sheet2!E799</f>
        <v>L1-001</v>
      </c>
      <c r="B819" s="3235">
        <f>Sheet2!F799</f>
        <v>40.65</v>
      </c>
      <c r="C819" s="3236">
        <f t="shared" si="135"/>
        <v>0.99</v>
      </c>
      <c r="D819" s="676"/>
      <c r="E819" s="3236">
        <f t="shared" si="136"/>
        <v>1</v>
      </c>
      <c r="F819" s="676"/>
      <c r="G819" s="3236">
        <f t="shared" si="137"/>
        <v>1</v>
      </c>
      <c r="H819" s="676"/>
      <c r="I819" s="3236">
        <f t="shared" si="138"/>
        <v>1</v>
      </c>
      <c r="J819" s="676"/>
      <c r="K819" s="3236">
        <f t="shared" si="139"/>
        <v>1</v>
      </c>
      <c r="L819" s="676"/>
      <c r="M819" s="3236">
        <f t="shared" si="140"/>
        <v>1</v>
      </c>
      <c r="N819" s="676"/>
      <c r="O819" s="3236">
        <f t="shared" si="141"/>
        <v>1</v>
      </c>
      <c r="P819" s="676"/>
      <c r="Q819" s="3236">
        <f t="shared" si="142"/>
        <v>1</v>
      </c>
      <c r="R819" s="3237">
        <f t="shared" ca="1" si="143"/>
        <v>5706</v>
      </c>
      <c r="S819" s="1090">
        <f t="shared" ca="1" si="144"/>
        <v>23</v>
      </c>
    </row>
    <row r="820" spans="1:19">
      <c r="A820" s="674" t="str">
        <f>Sheet2!E800</f>
        <v>L1-003</v>
      </c>
      <c r="B820" s="3235">
        <f>Sheet2!F800</f>
        <v>37.520000000000003</v>
      </c>
      <c r="C820" s="3236">
        <f t="shared" si="135"/>
        <v>0.99</v>
      </c>
      <c r="D820" s="676"/>
      <c r="E820" s="3236">
        <f t="shared" si="136"/>
        <v>1</v>
      </c>
      <c r="F820" s="676"/>
      <c r="G820" s="3236">
        <f t="shared" si="137"/>
        <v>1</v>
      </c>
      <c r="H820" s="676"/>
      <c r="I820" s="3236">
        <f t="shared" si="138"/>
        <v>1</v>
      </c>
      <c r="J820" s="676"/>
      <c r="K820" s="3236">
        <f t="shared" si="139"/>
        <v>1</v>
      </c>
      <c r="L820" s="676"/>
      <c r="M820" s="3236">
        <f t="shared" si="140"/>
        <v>1</v>
      </c>
      <c r="N820" s="676"/>
      <c r="O820" s="3236">
        <f t="shared" si="141"/>
        <v>1</v>
      </c>
      <c r="P820" s="676"/>
      <c r="Q820" s="3236">
        <f t="shared" si="142"/>
        <v>1</v>
      </c>
      <c r="R820" s="3237">
        <f t="shared" ca="1" si="143"/>
        <v>5706</v>
      </c>
      <c r="S820" s="1090">
        <f t="shared" ca="1" si="144"/>
        <v>21</v>
      </c>
    </row>
    <row r="821" spans="1:19">
      <c r="A821" s="674" t="str">
        <f>Sheet2!E801</f>
        <v>L1-004</v>
      </c>
      <c r="B821" s="3235">
        <f>Sheet2!F801</f>
        <v>37.520000000000003</v>
      </c>
      <c r="C821" s="3236">
        <f t="shared" si="135"/>
        <v>0.99</v>
      </c>
      <c r="D821" s="676"/>
      <c r="E821" s="3236">
        <f t="shared" si="136"/>
        <v>1</v>
      </c>
      <c r="F821" s="676"/>
      <c r="G821" s="3236">
        <f t="shared" si="137"/>
        <v>1</v>
      </c>
      <c r="H821" s="676"/>
      <c r="I821" s="3236">
        <f t="shared" si="138"/>
        <v>1</v>
      </c>
      <c r="J821" s="676"/>
      <c r="K821" s="3236">
        <f t="shared" si="139"/>
        <v>1</v>
      </c>
      <c r="L821" s="676"/>
      <c r="M821" s="3236">
        <f t="shared" si="140"/>
        <v>1</v>
      </c>
      <c r="N821" s="676"/>
      <c r="O821" s="3236">
        <f t="shared" si="141"/>
        <v>1</v>
      </c>
      <c r="P821" s="676"/>
      <c r="Q821" s="3236">
        <f t="shared" si="142"/>
        <v>1</v>
      </c>
      <c r="R821" s="3237">
        <f t="shared" ca="1" si="143"/>
        <v>5706</v>
      </c>
      <c r="S821" s="1090">
        <f t="shared" ca="1" si="144"/>
        <v>21</v>
      </c>
    </row>
    <row r="822" spans="1:19">
      <c r="A822" s="674" t="str">
        <f>Sheet2!E802</f>
        <v>L1-005</v>
      </c>
      <c r="B822" s="3235">
        <f>Sheet2!F802</f>
        <v>37.520000000000003</v>
      </c>
      <c r="C822" s="3236">
        <f t="shared" si="135"/>
        <v>0.99</v>
      </c>
      <c r="D822" s="676"/>
      <c r="E822" s="3236">
        <f t="shared" si="136"/>
        <v>1</v>
      </c>
      <c r="F822" s="676"/>
      <c r="G822" s="3236">
        <f t="shared" si="137"/>
        <v>1</v>
      </c>
      <c r="H822" s="676"/>
      <c r="I822" s="3236">
        <f t="shared" si="138"/>
        <v>1</v>
      </c>
      <c r="J822" s="676"/>
      <c r="K822" s="3236">
        <f t="shared" si="139"/>
        <v>1</v>
      </c>
      <c r="L822" s="676"/>
      <c r="M822" s="3236">
        <f t="shared" si="140"/>
        <v>1</v>
      </c>
      <c r="N822" s="676"/>
      <c r="O822" s="3236">
        <f t="shared" si="141"/>
        <v>1</v>
      </c>
      <c r="P822" s="676"/>
      <c r="Q822" s="3236">
        <f t="shared" si="142"/>
        <v>1</v>
      </c>
      <c r="R822" s="3237">
        <f t="shared" ca="1" si="143"/>
        <v>5706</v>
      </c>
      <c r="S822" s="1090">
        <f t="shared" ca="1" si="144"/>
        <v>21</v>
      </c>
    </row>
    <row r="823" spans="1:19">
      <c r="A823" s="674" t="str">
        <f>Sheet2!E803</f>
        <v>L1-006</v>
      </c>
      <c r="B823" s="3235">
        <f>Sheet2!F803</f>
        <v>37.520000000000003</v>
      </c>
      <c r="C823" s="3236">
        <f t="shared" si="135"/>
        <v>0.99</v>
      </c>
      <c r="D823" s="676"/>
      <c r="E823" s="3236">
        <f t="shared" si="136"/>
        <v>1</v>
      </c>
      <c r="F823" s="676"/>
      <c r="G823" s="3236">
        <f t="shared" si="137"/>
        <v>1</v>
      </c>
      <c r="H823" s="676"/>
      <c r="I823" s="3236">
        <f t="shared" si="138"/>
        <v>1</v>
      </c>
      <c r="J823" s="676"/>
      <c r="K823" s="3236">
        <f t="shared" si="139"/>
        <v>1</v>
      </c>
      <c r="L823" s="676"/>
      <c r="M823" s="3236">
        <f t="shared" si="140"/>
        <v>1</v>
      </c>
      <c r="N823" s="676"/>
      <c r="O823" s="3236">
        <f t="shared" si="141"/>
        <v>1</v>
      </c>
      <c r="P823" s="676"/>
      <c r="Q823" s="3236">
        <f t="shared" si="142"/>
        <v>1</v>
      </c>
      <c r="R823" s="3237">
        <f t="shared" ca="1" si="143"/>
        <v>5706</v>
      </c>
      <c r="S823" s="1090">
        <f t="shared" ca="1" si="144"/>
        <v>21</v>
      </c>
    </row>
    <row r="824" spans="1:19">
      <c r="A824" s="674" t="str">
        <f>Sheet2!E804</f>
        <v>L1-007</v>
      </c>
      <c r="B824" s="3235">
        <f>Sheet2!F804</f>
        <v>37.520000000000003</v>
      </c>
      <c r="C824" s="3236">
        <f t="shared" si="135"/>
        <v>0.99</v>
      </c>
      <c r="D824" s="676"/>
      <c r="E824" s="3236">
        <f t="shared" si="136"/>
        <v>1</v>
      </c>
      <c r="F824" s="676"/>
      <c r="G824" s="3236">
        <f t="shared" si="137"/>
        <v>1</v>
      </c>
      <c r="H824" s="676"/>
      <c r="I824" s="3236">
        <f t="shared" si="138"/>
        <v>1</v>
      </c>
      <c r="J824" s="676"/>
      <c r="K824" s="3236">
        <f t="shared" si="139"/>
        <v>1</v>
      </c>
      <c r="L824" s="676"/>
      <c r="M824" s="3236">
        <f t="shared" si="140"/>
        <v>1</v>
      </c>
      <c r="N824" s="676"/>
      <c r="O824" s="3236">
        <f t="shared" si="141"/>
        <v>1</v>
      </c>
      <c r="P824" s="676"/>
      <c r="Q824" s="3236">
        <f t="shared" si="142"/>
        <v>1</v>
      </c>
      <c r="R824" s="3237">
        <f t="shared" ca="1" si="143"/>
        <v>5706</v>
      </c>
      <c r="S824" s="1090">
        <f t="shared" ca="1" si="144"/>
        <v>21</v>
      </c>
    </row>
    <row r="825" spans="1:19">
      <c r="A825" s="674" t="str">
        <f>Sheet2!E805</f>
        <v>L1-008</v>
      </c>
      <c r="B825" s="3235">
        <f>Sheet2!F805</f>
        <v>37.520000000000003</v>
      </c>
      <c r="C825" s="3236">
        <f t="shared" si="135"/>
        <v>0.99</v>
      </c>
      <c r="D825" s="676"/>
      <c r="E825" s="3236">
        <f t="shared" si="136"/>
        <v>1</v>
      </c>
      <c r="F825" s="676"/>
      <c r="G825" s="3236">
        <f t="shared" si="137"/>
        <v>1</v>
      </c>
      <c r="H825" s="676"/>
      <c r="I825" s="3236">
        <f t="shared" si="138"/>
        <v>1</v>
      </c>
      <c r="J825" s="676"/>
      <c r="K825" s="3236">
        <f t="shared" si="139"/>
        <v>1</v>
      </c>
      <c r="L825" s="676"/>
      <c r="M825" s="3236">
        <f t="shared" si="140"/>
        <v>1</v>
      </c>
      <c r="N825" s="676"/>
      <c r="O825" s="3236">
        <f t="shared" si="141"/>
        <v>1</v>
      </c>
      <c r="P825" s="676"/>
      <c r="Q825" s="3236">
        <f t="shared" si="142"/>
        <v>1</v>
      </c>
      <c r="R825" s="3237">
        <f t="shared" ca="1" si="143"/>
        <v>5706</v>
      </c>
      <c r="S825" s="1090">
        <f t="shared" ca="1" si="144"/>
        <v>21</v>
      </c>
    </row>
    <row r="826" spans="1:19">
      <c r="A826" s="674" t="str">
        <f>Sheet2!E806</f>
        <v>L1-009</v>
      </c>
      <c r="B826" s="3235">
        <f>Sheet2!F806</f>
        <v>37.520000000000003</v>
      </c>
      <c r="C826" s="3236">
        <f t="shared" si="135"/>
        <v>0.99</v>
      </c>
      <c r="D826" s="676"/>
      <c r="E826" s="3236">
        <f t="shared" si="136"/>
        <v>1</v>
      </c>
      <c r="F826" s="676"/>
      <c r="G826" s="3236">
        <f t="shared" si="137"/>
        <v>1</v>
      </c>
      <c r="H826" s="676"/>
      <c r="I826" s="3236">
        <f t="shared" si="138"/>
        <v>1</v>
      </c>
      <c r="J826" s="676"/>
      <c r="K826" s="3236">
        <f t="shared" si="139"/>
        <v>1</v>
      </c>
      <c r="L826" s="676"/>
      <c r="M826" s="3236">
        <f t="shared" si="140"/>
        <v>1</v>
      </c>
      <c r="N826" s="676"/>
      <c r="O826" s="3236">
        <f t="shared" si="141"/>
        <v>1</v>
      </c>
      <c r="P826" s="676"/>
      <c r="Q826" s="3236">
        <f t="shared" si="142"/>
        <v>1</v>
      </c>
      <c r="R826" s="3237">
        <f t="shared" ca="1" si="143"/>
        <v>5706</v>
      </c>
      <c r="S826" s="1090">
        <f t="shared" ca="1" si="144"/>
        <v>21</v>
      </c>
    </row>
    <row r="827" spans="1:19">
      <c r="A827" s="674" t="str">
        <f>Sheet2!E807</f>
        <v>L1-010</v>
      </c>
      <c r="B827" s="3235">
        <f>Sheet2!F807</f>
        <v>37.520000000000003</v>
      </c>
      <c r="C827" s="3236">
        <f t="shared" si="135"/>
        <v>0.99</v>
      </c>
      <c r="D827" s="676"/>
      <c r="E827" s="3236">
        <f t="shared" si="136"/>
        <v>1</v>
      </c>
      <c r="F827" s="676"/>
      <c r="G827" s="3236">
        <f t="shared" si="137"/>
        <v>1</v>
      </c>
      <c r="H827" s="676"/>
      <c r="I827" s="3236">
        <f t="shared" si="138"/>
        <v>1</v>
      </c>
      <c r="J827" s="676"/>
      <c r="K827" s="3236">
        <f t="shared" si="139"/>
        <v>1</v>
      </c>
      <c r="L827" s="676"/>
      <c r="M827" s="3236">
        <f t="shared" si="140"/>
        <v>1</v>
      </c>
      <c r="N827" s="676"/>
      <c r="O827" s="3236">
        <f t="shared" si="141"/>
        <v>1</v>
      </c>
      <c r="P827" s="676"/>
      <c r="Q827" s="3236">
        <f t="shared" si="142"/>
        <v>1</v>
      </c>
      <c r="R827" s="3237">
        <f t="shared" ca="1" si="143"/>
        <v>5706</v>
      </c>
      <c r="S827" s="1090">
        <f t="shared" ca="1" si="144"/>
        <v>21</v>
      </c>
    </row>
    <row r="828" spans="1:19">
      <c r="A828" s="674" t="str">
        <f>Sheet2!E808</f>
        <v>L1-011</v>
      </c>
      <c r="B828" s="3235">
        <f>Sheet2!F808</f>
        <v>36.020000000000003</v>
      </c>
      <c r="C828" s="3236">
        <f t="shared" si="135"/>
        <v>0.99</v>
      </c>
      <c r="D828" s="676"/>
      <c r="E828" s="3236">
        <f t="shared" si="136"/>
        <v>1</v>
      </c>
      <c r="F828" s="676"/>
      <c r="G828" s="3236">
        <f t="shared" si="137"/>
        <v>1</v>
      </c>
      <c r="H828" s="676"/>
      <c r="I828" s="3236">
        <f t="shared" si="138"/>
        <v>1</v>
      </c>
      <c r="J828" s="676"/>
      <c r="K828" s="3236">
        <f t="shared" si="139"/>
        <v>1</v>
      </c>
      <c r="L828" s="676"/>
      <c r="M828" s="3236">
        <f t="shared" si="140"/>
        <v>1</v>
      </c>
      <c r="N828" s="676"/>
      <c r="O828" s="3236">
        <f t="shared" si="141"/>
        <v>1</v>
      </c>
      <c r="P828" s="676"/>
      <c r="Q828" s="3236">
        <f t="shared" si="142"/>
        <v>1</v>
      </c>
      <c r="R828" s="3237">
        <f t="shared" ca="1" si="143"/>
        <v>5706</v>
      </c>
      <c r="S828" s="1090">
        <f t="shared" ca="1" si="144"/>
        <v>21</v>
      </c>
    </row>
    <row r="829" spans="1:19">
      <c r="A829" s="674" t="str">
        <f>Sheet2!E809</f>
        <v>L1-012</v>
      </c>
      <c r="B829" s="3235">
        <f>Sheet2!F809</f>
        <v>36.020000000000003</v>
      </c>
      <c r="C829" s="3236">
        <f t="shared" si="135"/>
        <v>0.99</v>
      </c>
      <c r="D829" s="676"/>
      <c r="E829" s="3236">
        <f t="shared" si="136"/>
        <v>1</v>
      </c>
      <c r="F829" s="676"/>
      <c r="G829" s="3236">
        <f t="shared" si="137"/>
        <v>1</v>
      </c>
      <c r="H829" s="676"/>
      <c r="I829" s="3236">
        <f t="shared" si="138"/>
        <v>1</v>
      </c>
      <c r="J829" s="676"/>
      <c r="K829" s="3236">
        <f t="shared" si="139"/>
        <v>1</v>
      </c>
      <c r="L829" s="676"/>
      <c r="M829" s="3236">
        <f t="shared" si="140"/>
        <v>1</v>
      </c>
      <c r="N829" s="676"/>
      <c r="O829" s="3236">
        <f t="shared" si="141"/>
        <v>1</v>
      </c>
      <c r="P829" s="676"/>
      <c r="Q829" s="3236">
        <f t="shared" si="142"/>
        <v>1</v>
      </c>
      <c r="R829" s="3237">
        <f t="shared" ca="1" si="143"/>
        <v>5706</v>
      </c>
      <c r="S829" s="1090">
        <f t="shared" ca="1" si="144"/>
        <v>21</v>
      </c>
    </row>
    <row r="830" spans="1:19">
      <c r="A830" s="674" t="str">
        <f>Sheet2!E810</f>
        <v>L1-013</v>
      </c>
      <c r="B830" s="3235">
        <f>Sheet2!F810</f>
        <v>36.020000000000003</v>
      </c>
      <c r="C830" s="3236">
        <f t="shared" si="135"/>
        <v>0.99</v>
      </c>
      <c r="D830" s="676"/>
      <c r="E830" s="3236">
        <f t="shared" si="136"/>
        <v>1</v>
      </c>
      <c r="F830" s="676"/>
      <c r="G830" s="3236">
        <f t="shared" si="137"/>
        <v>1</v>
      </c>
      <c r="H830" s="676"/>
      <c r="I830" s="3236">
        <f t="shared" si="138"/>
        <v>1</v>
      </c>
      <c r="J830" s="676"/>
      <c r="K830" s="3236">
        <f t="shared" si="139"/>
        <v>1</v>
      </c>
      <c r="L830" s="676"/>
      <c r="M830" s="3236">
        <f t="shared" si="140"/>
        <v>1</v>
      </c>
      <c r="N830" s="676"/>
      <c r="O830" s="3236">
        <f t="shared" si="141"/>
        <v>1</v>
      </c>
      <c r="P830" s="676"/>
      <c r="Q830" s="3236">
        <f t="shared" si="142"/>
        <v>1</v>
      </c>
      <c r="R830" s="3237">
        <f t="shared" ca="1" si="143"/>
        <v>5706</v>
      </c>
      <c r="S830" s="1090">
        <f t="shared" ca="1" si="144"/>
        <v>21</v>
      </c>
    </row>
    <row r="831" spans="1:19">
      <c r="A831" s="674" t="str">
        <f>Sheet2!E811</f>
        <v>L1-014</v>
      </c>
      <c r="B831" s="3235">
        <f>Sheet2!F811</f>
        <v>36.020000000000003</v>
      </c>
      <c r="C831" s="3236">
        <f t="shared" si="135"/>
        <v>0.99</v>
      </c>
      <c r="D831" s="676"/>
      <c r="E831" s="3236">
        <f t="shared" si="136"/>
        <v>1</v>
      </c>
      <c r="F831" s="676"/>
      <c r="G831" s="3236">
        <f t="shared" si="137"/>
        <v>1</v>
      </c>
      <c r="H831" s="676"/>
      <c r="I831" s="3236">
        <f t="shared" si="138"/>
        <v>1</v>
      </c>
      <c r="J831" s="676"/>
      <c r="K831" s="3236">
        <f t="shared" si="139"/>
        <v>1</v>
      </c>
      <c r="L831" s="676"/>
      <c r="M831" s="3236">
        <f t="shared" si="140"/>
        <v>1</v>
      </c>
      <c r="N831" s="676"/>
      <c r="O831" s="3236">
        <f t="shared" si="141"/>
        <v>1</v>
      </c>
      <c r="P831" s="676"/>
      <c r="Q831" s="3236">
        <f t="shared" si="142"/>
        <v>1</v>
      </c>
      <c r="R831" s="3237">
        <f t="shared" ca="1" si="143"/>
        <v>5706</v>
      </c>
      <c r="S831" s="1090">
        <f t="shared" ca="1" si="144"/>
        <v>21</v>
      </c>
    </row>
    <row r="832" spans="1:19">
      <c r="A832" s="674" t="str">
        <f>Sheet2!E812</f>
        <v>L1-015</v>
      </c>
      <c r="B832" s="3235">
        <f>Sheet2!F812</f>
        <v>36.020000000000003</v>
      </c>
      <c r="C832" s="3236">
        <f t="shared" si="135"/>
        <v>0.99</v>
      </c>
      <c r="D832" s="676"/>
      <c r="E832" s="3236">
        <f t="shared" si="136"/>
        <v>1</v>
      </c>
      <c r="F832" s="676"/>
      <c r="G832" s="3236">
        <f t="shared" si="137"/>
        <v>1</v>
      </c>
      <c r="H832" s="676"/>
      <c r="I832" s="3236">
        <f t="shared" si="138"/>
        <v>1</v>
      </c>
      <c r="J832" s="676"/>
      <c r="K832" s="3236">
        <f t="shared" si="139"/>
        <v>1</v>
      </c>
      <c r="L832" s="676"/>
      <c r="M832" s="3236">
        <f t="shared" si="140"/>
        <v>1</v>
      </c>
      <c r="N832" s="676"/>
      <c r="O832" s="3236">
        <f t="shared" si="141"/>
        <v>1</v>
      </c>
      <c r="P832" s="676"/>
      <c r="Q832" s="3236">
        <f t="shared" si="142"/>
        <v>1</v>
      </c>
      <c r="R832" s="3237">
        <f t="shared" ca="1" si="143"/>
        <v>5706</v>
      </c>
      <c r="S832" s="1090">
        <f t="shared" ca="1" si="144"/>
        <v>21</v>
      </c>
    </row>
    <row r="833" spans="1:19">
      <c r="A833" s="674" t="str">
        <f>Sheet2!E813</f>
        <v>L1-016</v>
      </c>
      <c r="B833" s="3235">
        <f>Sheet2!F813</f>
        <v>36.020000000000003</v>
      </c>
      <c r="C833" s="3236">
        <f t="shared" si="135"/>
        <v>0.99</v>
      </c>
      <c r="D833" s="676"/>
      <c r="E833" s="3236">
        <f t="shared" si="136"/>
        <v>1</v>
      </c>
      <c r="F833" s="676"/>
      <c r="G833" s="3236">
        <f t="shared" si="137"/>
        <v>1</v>
      </c>
      <c r="H833" s="676"/>
      <c r="I833" s="3236">
        <f t="shared" si="138"/>
        <v>1</v>
      </c>
      <c r="J833" s="676"/>
      <c r="K833" s="3236">
        <f t="shared" si="139"/>
        <v>1</v>
      </c>
      <c r="L833" s="676"/>
      <c r="M833" s="3236">
        <f t="shared" si="140"/>
        <v>1</v>
      </c>
      <c r="N833" s="676"/>
      <c r="O833" s="3236">
        <f t="shared" si="141"/>
        <v>1</v>
      </c>
      <c r="P833" s="676"/>
      <c r="Q833" s="3236">
        <f t="shared" si="142"/>
        <v>1</v>
      </c>
      <c r="R833" s="3237">
        <f t="shared" ca="1" si="143"/>
        <v>5706</v>
      </c>
      <c r="S833" s="1090">
        <f t="shared" ca="1" si="144"/>
        <v>21</v>
      </c>
    </row>
    <row r="834" spans="1:19">
      <c r="A834" s="674" t="str">
        <f>Sheet2!E814</f>
        <v>L1-017</v>
      </c>
      <c r="B834" s="3235">
        <f>Sheet2!F814</f>
        <v>36.020000000000003</v>
      </c>
      <c r="C834" s="3236">
        <f t="shared" si="135"/>
        <v>0.99</v>
      </c>
      <c r="D834" s="676"/>
      <c r="E834" s="3236">
        <f t="shared" si="136"/>
        <v>1</v>
      </c>
      <c r="F834" s="676"/>
      <c r="G834" s="3236">
        <f t="shared" si="137"/>
        <v>1</v>
      </c>
      <c r="H834" s="676"/>
      <c r="I834" s="3236">
        <f t="shared" si="138"/>
        <v>1</v>
      </c>
      <c r="J834" s="676"/>
      <c r="K834" s="3236">
        <f t="shared" si="139"/>
        <v>1</v>
      </c>
      <c r="L834" s="676"/>
      <c r="M834" s="3236">
        <f t="shared" si="140"/>
        <v>1</v>
      </c>
      <c r="N834" s="676"/>
      <c r="O834" s="3236">
        <f t="shared" si="141"/>
        <v>1</v>
      </c>
      <c r="P834" s="676"/>
      <c r="Q834" s="3236">
        <f t="shared" si="142"/>
        <v>1</v>
      </c>
      <c r="R834" s="3237">
        <f t="shared" ca="1" si="143"/>
        <v>5706</v>
      </c>
      <c r="S834" s="1090">
        <f t="shared" ca="1" si="144"/>
        <v>21</v>
      </c>
    </row>
    <row r="835" spans="1:19">
      <c r="A835" s="674" t="str">
        <f>Sheet2!E815</f>
        <v>L1-020</v>
      </c>
      <c r="B835" s="3235">
        <f>Sheet2!F815</f>
        <v>39.090000000000003</v>
      </c>
      <c r="C835" s="3236">
        <f t="shared" si="135"/>
        <v>0.99</v>
      </c>
      <c r="D835" s="676"/>
      <c r="E835" s="3236">
        <f t="shared" si="136"/>
        <v>1</v>
      </c>
      <c r="F835" s="676"/>
      <c r="G835" s="3236">
        <f t="shared" si="137"/>
        <v>1</v>
      </c>
      <c r="H835" s="676"/>
      <c r="I835" s="3236">
        <f t="shared" si="138"/>
        <v>1</v>
      </c>
      <c r="J835" s="676"/>
      <c r="K835" s="3236">
        <f t="shared" si="139"/>
        <v>1</v>
      </c>
      <c r="L835" s="676"/>
      <c r="M835" s="3236">
        <f t="shared" si="140"/>
        <v>1</v>
      </c>
      <c r="N835" s="676"/>
      <c r="O835" s="3236">
        <f t="shared" si="141"/>
        <v>1</v>
      </c>
      <c r="P835" s="676"/>
      <c r="Q835" s="3236">
        <f t="shared" si="142"/>
        <v>1</v>
      </c>
      <c r="R835" s="3237">
        <f t="shared" ca="1" si="143"/>
        <v>5706</v>
      </c>
      <c r="S835" s="1090">
        <f t="shared" ca="1" si="144"/>
        <v>22</v>
      </c>
    </row>
    <row r="836" spans="1:19">
      <c r="A836" s="674" t="str">
        <f>Sheet2!E816</f>
        <v>L1-021</v>
      </c>
      <c r="B836" s="3235">
        <f>Sheet2!F816</f>
        <v>39.090000000000003</v>
      </c>
      <c r="C836" s="3236">
        <f t="shared" si="135"/>
        <v>0.99</v>
      </c>
      <c r="D836" s="676"/>
      <c r="E836" s="3236">
        <f t="shared" si="136"/>
        <v>1</v>
      </c>
      <c r="F836" s="676"/>
      <c r="G836" s="3236">
        <f t="shared" si="137"/>
        <v>1</v>
      </c>
      <c r="H836" s="676"/>
      <c r="I836" s="3236">
        <f t="shared" si="138"/>
        <v>1</v>
      </c>
      <c r="J836" s="676"/>
      <c r="K836" s="3236">
        <f t="shared" si="139"/>
        <v>1</v>
      </c>
      <c r="L836" s="676"/>
      <c r="M836" s="3236">
        <f t="shared" si="140"/>
        <v>1</v>
      </c>
      <c r="N836" s="676"/>
      <c r="O836" s="3236">
        <f t="shared" si="141"/>
        <v>1</v>
      </c>
      <c r="P836" s="676"/>
      <c r="Q836" s="3236">
        <f t="shared" si="142"/>
        <v>1</v>
      </c>
      <c r="R836" s="3237">
        <f t="shared" ca="1" si="143"/>
        <v>5706</v>
      </c>
      <c r="S836" s="1090">
        <f t="shared" ca="1" si="144"/>
        <v>22</v>
      </c>
    </row>
    <row r="837" spans="1:19">
      <c r="A837" s="674" t="str">
        <f>Sheet2!E817</f>
        <v>L1-022</v>
      </c>
      <c r="B837" s="3235">
        <f>Sheet2!F817</f>
        <v>39.090000000000003</v>
      </c>
      <c r="C837" s="3236">
        <f t="shared" si="135"/>
        <v>0.99</v>
      </c>
      <c r="D837" s="676"/>
      <c r="E837" s="3236">
        <f t="shared" si="136"/>
        <v>1</v>
      </c>
      <c r="F837" s="676"/>
      <c r="G837" s="3236">
        <f t="shared" si="137"/>
        <v>1</v>
      </c>
      <c r="H837" s="676"/>
      <c r="I837" s="3236">
        <f t="shared" si="138"/>
        <v>1</v>
      </c>
      <c r="J837" s="676"/>
      <c r="K837" s="3236">
        <f t="shared" si="139"/>
        <v>1</v>
      </c>
      <c r="L837" s="676"/>
      <c r="M837" s="3236">
        <f t="shared" si="140"/>
        <v>1</v>
      </c>
      <c r="N837" s="676"/>
      <c r="O837" s="3236">
        <f t="shared" si="141"/>
        <v>1</v>
      </c>
      <c r="P837" s="676"/>
      <c r="Q837" s="3236">
        <f t="shared" si="142"/>
        <v>1</v>
      </c>
      <c r="R837" s="3237">
        <f t="shared" ca="1" si="143"/>
        <v>5706</v>
      </c>
      <c r="S837" s="1090">
        <f t="shared" ca="1" si="144"/>
        <v>22</v>
      </c>
    </row>
    <row r="838" spans="1:19">
      <c r="A838" s="674" t="str">
        <f>Sheet2!E818</f>
        <v>L1-023</v>
      </c>
      <c r="B838" s="3235">
        <f>Sheet2!F818</f>
        <v>36.020000000000003</v>
      </c>
      <c r="C838" s="3236">
        <f t="shared" si="135"/>
        <v>0.99</v>
      </c>
      <c r="D838" s="676"/>
      <c r="E838" s="3236">
        <f t="shared" si="136"/>
        <v>1</v>
      </c>
      <c r="F838" s="676"/>
      <c r="G838" s="3236">
        <f t="shared" si="137"/>
        <v>1</v>
      </c>
      <c r="H838" s="676"/>
      <c r="I838" s="3236">
        <f t="shared" si="138"/>
        <v>1</v>
      </c>
      <c r="J838" s="676"/>
      <c r="K838" s="3236">
        <f t="shared" si="139"/>
        <v>1</v>
      </c>
      <c r="L838" s="676"/>
      <c r="M838" s="3236">
        <f t="shared" si="140"/>
        <v>1</v>
      </c>
      <c r="N838" s="676"/>
      <c r="O838" s="3236">
        <f t="shared" si="141"/>
        <v>1</v>
      </c>
      <c r="P838" s="676"/>
      <c r="Q838" s="3236">
        <f t="shared" si="142"/>
        <v>1</v>
      </c>
      <c r="R838" s="3237">
        <f t="shared" ca="1" si="143"/>
        <v>5706</v>
      </c>
      <c r="S838" s="1090">
        <f t="shared" ca="1" si="144"/>
        <v>21</v>
      </c>
    </row>
    <row r="839" spans="1:19">
      <c r="A839" s="674" t="str">
        <f>Sheet2!E819</f>
        <v>L1-024</v>
      </c>
      <c r="B839" s="3235">
        <f>Sheet2!F819</f>
        <v>36.020000000000003</v>
      </c>
      <c r="C839" s="3236">
        <f t="shared" si="135"/>
        <v>0.99</v>
      </c>
      <c r="D839" s="676"/>
      <c r="E839" s="3236">
        <f t="shared" si="136"/>
        <v>1</v>
      </c>
      <c r="F839" s="676"/>
      <c r="G839" s="3236">
        <f t="shared" si="137"/>
        <v>1</v>
      </c>
      <c r="H839" s="676"/>
      <c r="I839" s="3236">
        <f t="shared" si="138"/>
        <v>1</v>
      </c>
      <c r="J839" s="676"/>
      <c r="K839" s="3236">
        <f t="shared" si="139"/>
        <v>1</v>
      </c>
      <c r="L839" s="676"/>
      <c r="M839" s="3236">
        <f t="shared" si="140"/>
        <v>1</v>
      </c>
      <c r="N839" s="676"/>
      <c r="O839" s="3236">
        <f t="shared" si="141"/>
        <v>1</v>
      </c>
      <c r="P839" s="676"/>
      <c r="Q839" s="3236">
        <f t="shared" si="142"/>
        <v>1</v>
      </c>
      <c r="R839" s="3237">
        <f t="shared" ca="1" si="143"/>
        <v>5706</v>
      </c>
      <c r="S839" s="1090">
        <f t="shared" ca="1" si="144"/>
        <v>21</v>
      </c>
    </row>
    <row r="840" spans="1:19">
      <c r="A840" s="674" t="str">
        <f>Sheet2!E820</f>
        <v>L1-025</v>
      </c>
      <c r="B840" s="3235">
        <f>Sheet2!F820</f>
        <v>36.020000000000003</v>
      </c>
      <c r="C840" s="3236">
        <f t="shared" si="135"/>
        <v>0.99</v>
      </c>
      <c r="D840" s="676"/>
      <c r="E840" s="3236">
        <f t="shared" si="136"/>
        <v>1</v>
      </c>
      <c r="F840" s="676"/>
      <c r="G840" s="3236">
        <f t="shared" si="137"/>
        <v>1</v>
      </c>
      <c r="H840" s="676"/>
      <c r="I840" s="3236">
        <f t="shared" si="138"/>
        <v>1</v>
      </c>
      <c r="J840" s="676"/>
      <c r="K840" s="3236">
        <f t="shared" si="139"/>
        <v>1</v>
      </c>
      <c r="L840" s="676"/>
      <c r="M840" s="3236">
        <f t="shared" si="140"/>
        <v>1</v>
      </c>
      <c r="N840" s="676"/>
      <c r="O840" s="3236">
        <f t="shared" si="141"/>
        <v>1</v>
      </c>
      <c r="P840" s="676"/>
      <c r="Q840" s="3236">
        <f t="shared" si="142"/>
        <v>1</v>
      </c>
      <c r="R840" s="3237">
        <f t="shared" ca="1" si="143"/>
        <v>5706</v>
      </c>
      <c r="S840" s="1090">
        <f t="shared" ca="1" si="144"/>
        <v>21</v>
      </c>
    </row>
    <row r="841" spans="1:19">
      <c r="A841" s="674" t="str">
        <f>Sheet2!E821</f>
        <v>L1-026</v>
      </c>
      <c r="B841" s="3235">
        <f>Sheet2!F821</f>
        <v>39.090000000000003</v>
      </c>
      <c r="C841" s="3236">
        <f t="shared" si="135"/>
        <v>0.99</v>
      </c>
      <c r="D841" s="676"/>
      <c r="E841" s="3236">
        <f t="shared" si="136"/>
        <v>1</v>
      </c>
      <c r="F841" s="676"/>
      <c r="G841" s="3236">
        <f t="shared" si="137"/>
        <v>1</v>
      </c>
      <c r="H841" s="676"/>
      <c r="I841" s="3236">
        <f t="shared" si="138"/>
        <v>1</v>
      </c>
      <c r="J841" s="676"/>
      <c r="K841" s="3236">
        <f t="shared" si="139"/>
        <v>1</v>
      </c>
      <c r="L841" s="676"/>
      <c r="M841" s="3236">
        <f t="shared" si="140"/>
        <v>1</v>
      </c>
      <c r="N841" s="676"/>
      <c r="O841" s="3236">
        <f t="shared" si="141"/>
        <v>1</v>
      </c>
      <c r="P841" s="676"/>
      <c r="Q841" s="3236">
        <f t="shared" si="142"/>
        <v>1</v>
      </c>
      <c r="R841" s="3237">
        <f t="shared" ca="1" si="143"/>
        <v>5706</v>
      </c>
      <c r="S841" s="1090">
        <f t="shared" ca="1" si="144"/>
        <v>22</v>
      </c>
    </row>
    <row r="842" spans="1:19">
      <c r="A842" s="674" t="str">
        <f>Sheet2!E822</f>
        <v>L1-027</v>
      </c>
      <c r="B842" s="3235">
        <f>Sheet2!F822</f>
        <v>39.090000000000003</v>
      </c>
      <c r="C842" s="3236">
        <f t="shared" si="135"/>
        <v>0.99</v>
      </c>
      <c r="D842" s="676"/>
      <c r="E842" s="3236">
        <f t="shared" si="136"/>
        <v>1</v>
      </c>
      <c r="F842" s="676"/>
      <c r="G842" s="3236">
        <f t="shared" si="137"/>
        <v>1</v>
      </c>
      <c r="H842" s="676"/>
      <c r="I842" s="3236">
        <f t="shared" si="138"/>
        <v>1</v>
      </c>
      <c r="J842" s="676"/>
      <c r="K842" s="3236">
        <f t="shared" si="139"/>
        <v>1</v>
      </c>
      <c r="L842" s="676"/>
      <c r="M842" s="3236">
        <f t="shared" si="140"/>
        <v>1</v>
      </c>
      <c r="N842" s="676"/>
      <c r="O842" s="3236">
        <f t="shared" si="141"/>
        <v>1</v>
      </c>
      <c r="P842" s="676"/>
      <c r="Q842" s="3236">
        <f t="shared" si="142"/>
        <v>1</v>
      </c>
      <c r="R842" s="3237">
        <f t="shared" ca="1" si="143"/>
        <v>5706</v>
      </c>
      <c r="S842" s="1090">
        <f t="shared" ca="1" si="144"/>
        <v>22</v>
      </c>
    </row>
    <row r="843" spans="1:19">
      <c r="A843" s="674" t="str">
        <f>Sheet2!E823</f>
        <v>L1-028</v>
      </c>
      <c r="B843" s="3235">
        <f>Sheet2!F823</f>
        <v>39.090000000000003</v>
      </c>
      <c r="C843" s="3236">
        <f t="shared" si="135"/>
        <v>0.99</v>
      </c>
      <c r="D843" s="676"/>
      <c r="E843" s="3236">
        <f t="shared" si="136"/>
        <v>1</v>
      </c>
      <c r="F843" s="676"/>
      <c r="G843" s="3236">
        <f t="shared" si="137"/>
        <v>1</v>
      </c>
      <c r="H843" s="676"/>
      <c r="I843" s="3236">
        <f t="shared" si="138"/>
        <v>1</v>
      </c>
      <c r="J843" s="676"/>
      <c r="K843" s="3236">
        <f t="shared" si="139"/>
        <v>1</v>
      </c>
      <c r="L843" s="676"/>
      <c r="M843" s="3236">
        <f t="shared" si="140"/>
        <v>1</v>
      </c>
      <c r="N843" s="676"/>
      <c r="O843" s="3236">
        <f t="shared" si="141"/>
        <v>1</v>
      </c>
      <c r="P843" s="676"/>
      <c r="Q843" s="3236">
        <f t="shared" si="142"/>
        <v>1</v>
      </c>
      <c r="R843" s="3237">
        <f t="shared" ca="1" si="143"/>
        <v>5706</v>
      </c>
      <c r="S843" s="1090">
        <f t="shared" ca="1" si="144"/>
        <v>22</v>
      </c>
    </row>
    <row r="844" spans="1:19">
      <c r="A844" s="674" t="str">
        <f>Sheet2!E824</f>
        <v>L1-029</v>
      </c>
      <c r="B844" s="3235">
        <f>Sheet2!F824</f>
        <v>39.090000000000003</v>
      </c>
      <c r="C844" s="3236">
        <f t="shared" si="135"/>
        <v>0.99</v>
      </c>
      <c r="D844" s="676"/>
      <c r="E844" s="3236">
        <f t="shared" si="136"/>
        <v>1</v>
      </c>
      <c r="F844" s="676"/>
      <c r="G844" s="3236">
        <f t="shared" si="137"/>
        <v>1</v>
      </c>
      <c r="H844" s="676"/>
      <c r="I844" s="3236">
        <f t="shared" si="138"/>
        <v>1</v>
      </c>
      <c r="J844" s="676"/>
      <c r="K844" s="3236">
        <f t="shared" si="139"/>
        <v>1</v>
      </c>
      <c r="L844" s="676"/>
      <c r="M844" s="3236">
        <f t="shared" si="140"/>
        <v>1</v>
      </c>
      <c r="N844" s="676"/>
      <c r="O844" s="3236">
        <f t="shared" si="141"/>
        <v>1</v>
      </c>
      <c r="P844" s="676"/>
      <c r="Q844" s="3236">
        <f t="shared" si="142"/>
        <v>1</v>
      </c>
      <c r="R844" s="3237">
        <f t="shared" ca="1" si="143"/>
        <v>5706</v>
      </c>
      <c r="S844" s="1090">
        <f t="shared" ca="1" si="144"/>
        <v>22</v>
      </c>
    </row>
    <row r="845" spans="1:19">
      <c r="A845" s="674" t="str">
        <f>Sheet2!E825</f>
        <v>L1-030</v>
      </c>
      <c r="B845" s="3235">
        <f>Sheet2!F825</f>
        <v>39.090000000000003</v>
      </c>
      <c r="C845" s="3236">
        <f t="shared" ref="C845:C908" si="145">IF(B845="",1,(LOOKUP(B845,$3:$3,$4:$4)-LOOKUP($B$24,$3:$3,$4:$4)+100)/100)</f>
        <v>0.99</v>
      </c>
      <c r="D845" s="676"/>
      <c r="E845" s="3236">
        <f t="shared" ref="E845:E908" si="146">(SUMIF($5:$5,D845,$6:$6)-SUMIF($5:$5,$D$24,$6:$6)+100)/100</f>
        <v>1</v>
      </c>
      <c r="F845" s="676"/>
      <c r="G845" s="3236">
        <f t="shared" ref="G845:G908" si="147">(SUMIF($7:$7,F845,$8:$8)-SUMIF($7:$7,$F$24,$8:$8)+100)/100</f>
        <v>1</v>
      </c>
      <c r="H845" s="676"/>
      <c r="I845" s="3236">
        <f t="shared" ref="I845:I908" si="148">(SUMIF($9:$9,H845,$10:$10)-SUMIF($9:$9,$H$24,$10:$10)+100)/100</f>
        <v>1</v>
      </c>
      <c r="J845" s="676"/>
      <c r="K845" s="3236">
        <f t="shared" ref="K845:K908" si="149">(SUMIF($11:$11,J845,$12:$12)-SUMIF($11:$11,$J$24,$12:$12)+100)/100</f>
        <v>1</v>
      </c>
      <c r="L845" s="676"/>
      <c r="M845" s="3236">
        <f t="shared" ref="M845:M908" si="150">(SUMIF($13:$13,L845,$14:$14)-SUMIF($13:$13,$L$24,$14:$14)+100)/100</f>
        <v>1</v>
      </c>
      <c r="N845" s="676"/>
      <c r="O845" s="3236">
        <f t="shared" ref="O845:O908" si="151">(SUMIF($15:$15,N845,$16:$16)-SUMIF($15:$15,$N$24,$16:$16)+100)/100</f>
        <v>1</v>
      </c>
      <c r="P845" s="676"/>
      <c r="Q845" s="3236">
        <f t="shared" ref="Q845:Q908" si="152">(SUMIF($17:$17,P845,$18:$18)-SUMIF($17:$17,$P$24,$18:$18)+100)/100</f>
        <v>1</v>
      </c>
      <c r="R845" s="3237">
        <f t="shared" ref="R845:R908" ca="1" si="153">IF(B845="",0,ROUND($R$24*C845*E845*G845*I845*K845*M845*O845*Q845,0))</f>
        <v>5706</v>
      </c>
      <c r="S845" s="1090">
        <f t="shared" ref="S845:S908" ca="1" si="154">ROUND(R845*B845/10000,0)</f>
        <v>22</v>
      </c>
    </row>
    <row r="846" spans="1:19">
      <c r="A846" s="674" t="str">
        <f>Sheet2!E826</f>
        <v>L1-031</v>
      </c>
      <c r="B846" s="3235">
        <f>Sheet2!F826</f>
        <v>39.090000000000003</v>
      </c>
      <c r="C846" s="3236">
        <f t="shared" si="145"/>
        <v>0.99</v>
      </c>
      <c r="D846" s="676"/>
      <c r="E846" s="3236">
        <f t="shared" si="146"/>
        <v>1</v>
      </c>
      <c r="F846" s="676"/>
      <c r="G846" s="3236">
        <f t="shared" si="147"/>
        <v>1</v>
      </c>
      <c r="H846" s="676"/>
      <c r="I846" s="3236">
        <f t="shared" si="148"/>
        <v>1</v>
      </c>
      <c r="J846" s="676"/>
      <c r="K846" s="3236">
        <f t="shared" si="149"/>
        <v>1</v>
      </c>
      <c r="L846" s="676"/>
      <c r="M846" s="3236">
        <f t="shared" si="150"/>
        <v>1</v>
      </c>
      <c r="N846" s="676"/>
      <c r="O846" s="3236">
        <f t="shared" si="151"/>
        <v>1</v>
      </c>
      <c r="P846" s="676"/>
      <c r="Q846" s="3236">
        <f t="shared" si="152"/>
        <v>1</v>
      </c>
      <c r="R846" s="3237">
        <f t="shared" ca="1" si="153"/>
        <v>5706</v>
      </c>
      <c r="S846" s="1090">
        <f t="shared" ca="1" si="154"/>
        <v>22</v>
      </c>
    </row>
    <row r="847" spans="1:19">
      <c r="A847" s="674" t="str">
        <f>Sheet2!E827</f>
        <v>L1-032</v>
      </c>
      <c r="B847" s="3235">
        <f>Sheet2!F827</f>
        <v>36.74</v>
      </c>
      <c r="C847" s="3236">
        <f t="shared" si="145"/>
        <v>0.99</v>
      </c>
      <c r="D847" s="676"/>
      <c r="E847" s="3236">
        <f t="shared" si="146"/>
        <v>1</v>
      </c>
      <c r="F847" s="676"/>
      <c r="G847" s="3236">
        <f t="shared" si="147"/>
        <v>1</v>
      </c>
      <c r="H847" s="676"/>
      <c r="I847" s="3236">
        <f t="shared" si="148"/>
        <v>1</v>
      </c>
      <c r="J847" s="676"/>
      <c r="K847" s="3236">
        <f t="shared" si="149"/>
        <v>1</v>
      </c>
      <c r="L847" s="676"/>
      <c r="M847" s="3236">
        <f t="shared" si="150"/>
        <v>1</v>
      </c>
      <c r="N847" s="676"/>
      <c r="O847" s="3236">
        <f t="shared" si="151"/>
        <v>1</v>
      </c>
      <c r="P847" s="676"/>
      <c r="Q847" s="3236">
        <f t="shared" si="152"/>
        <v>1</v>
      </c>
      <c r="R847" s="3237">
        <f t="shared" ca="1" si="153"/>
        <v>5706</v>
      </c>
      <c r="S847" s="1090">
        <f t="shared" ca="1" si="154"/>
        <v>21</v>
      </c>
    </row>
    <row r="848" spans="1:19">
      <c r="A848" s="674" t="str">
        <f>Sheet2!E828</f>
        <v>L1-033</v>
      </c>
      <c r="B848" s="3235">
        <f>Sheet2!F828</f>
        <v>36.74</v>
      </c>
      <c r="C848" s="3236">
        <f t="shared" si="145"/>
        <v>0.99</v>
      </c>
      <c r="D848" s="676"/>
      <c r="E848" s="3236">
        <f t="shared" si="146"/>
        <v>1</v>
      </c>
      <c r="F848" s="676"/>
      <c r="G848" s="3236">
        <f t="shared" si="147"/>
        <v>1</v>
      </c>
      <c r="H848" s="676"/>
      <c r="I848" s="3236">
        <f t="shared" si="148"/>
        <v>1</v>
      </c>
      <c r="J848" s="676"/>
      <c r="K848" s="3236">
        <f t="shared" si="149"/>
        <v>1</v>
      </c>
      <c r="L848" s="676"/>
      <c r="M848" s="3236">
        <f t="shared" si="150"/>
        <v>1</v>
      </c>
      <c r="N848" s="676"/>
      <c r="O848" s="3236">
        <f t="shared" si="151"/>
        <v>1</v>
      </c>
      <c r="P848" s="676"/>
      <c r="Q848" s="3236">
        <f t="shared" si="152"/>
        <v>1</v>
      </c>
      <c r="R848" s="3237">
        <f t="shared" ca="1" si="153"/>
        <v>5706</v>
      </c>
      <c r="S848" s="1090">
        <f t="shared" ca="1" si="154"/>
        <v>21</v>
      </c>
    </row>
    <row r="849" spans="1:19">
      <c r="A849" s="674" t="str">
        <f>Sheet2!E829</f>
        <v>L1-034</v>
      </c>
      <c r="B849" s="3235">
        <f>Sheet2!F829</f>
        <v>36.74</v>
      </c>
      <c r="C849" s="3236">
        <f t="shared" si="145"/>
        <v>0.99</v>
      </c>
      <c r="D849" s="676"/>
      <c r="E849" s="3236">
        <f t="shared" si="146"/>
        <v>1</v>
      </c>
      <c r="F849" s="676"/>
      <c r="G849" s="3236">
        <f t="shared" si="147"/>
        <v>1</v>
      </c>
      <c r="H849" s="676"/>
      <c r="I849" s="3236">
        <f t="shared" si="148"/>
        <v>1</v>
      </c>
      <c r="J849" s="676"/>
      <c r="K849" s="3236">
        <f t="shared" si="149"/>
        <v>1</v>
      </c>
      <c r="L849" s="676"/>
      <c r="M849" s="3236">
        <f t="shared" si="150"/>
        <v>1</v>
      </c>
      <c r="N849" s="676"/>
      <c r="O849" s="3236">
        <f t="shared" si="151"/>
        <v>1</v>
      </c>
      <c r="P849" s="676"/>
      <c r="Q849" s="3236">
        <f t="shared" si="152"/>
        <v>1</v>
      </c>
      <c r="R849" s="3237">
        <f t="shared" ca="1" si="153"/>
        <v>5706</v>
      </c>
      <c r="S849" s="1090">
        <f t="shared" ca="1" si="154"/>
        <v>21</v>
      </c>
    </row>
    <row r="850" spans="1:19">
      <c r="A850" s="674" t="str">
        <f>Sheet2!E830</f>
        <v>L1-035</v>
      </c>
      <c r="B850" s="3235">
        <f>Sheet2!F830</f>
        <v>36.74</v>
      </c>
      <c r="C850" s="3236">
        <f t="shared" si="145"/>
        <v>0.99</v>
      </c>
      <c r="D850" s="676"/>
      <c r="E850" s="3236">
        <f t="shared" si="146"/>
        <v>1</v>
      </c>
      <c r="F850" s="676"/>
      <c r="G850" s="3236">
        <f t="shared" si="147"/>
        <v>1</v>
      </c>
      <c r="H850" s="676"/>
      <c r="I850" s="3236">
        <f t="shared" si="148"/>
        <v>1</v>
      </c>
      <c r="J850" s="676"/>
      <c r="K850" s="3236">
        <f t="shared" si="149"/>
        <v>1</v>
      </c>
      <c r="L850" s="676"/>
      <c r="M850" s="3236">
        <f t="shared" si="150"/>
        <v>1</v>
      </c>
      <c r="N850" s="676"/>
      <c r="O850" s="3236">
        <f t="shared" si="151"/>
        <v>1</v>
      </c>
      <c r="P850" s="676"/>
      <c r="Q850" s="3236">
        <f t="shared" si="152"/>
        <v>1</v>
      </c>
      <c r="R850" s="3237">
        <f t="shared" ca="1" si="153"/>
        <v>5706</v>
      </c>
      <c r="S850" s="1090">
        <f t="shared" ca="1" si="154"/>
        <v>21</v>
      </c>
    </row>
    <row r="851" spans="1:19">
      <c r="A851" s="674" t="str">
        <f>Sheet2!E831</f>
        <v>L1-036</v>
      </c>
      <c r="B851" s="3235">
        <f>Sheet2!F831</f>
        <v>36.74</v>
      </c>
      <c r="C851" s="3236">
        <f t="shared" si="145"/>
        <v>0.99</v>
      </c>
      <c r="D851" s="676"/>
      <c r="E851" s="3236">
        <f t="shared" si="146"/>
        <v>1</v>
      </c>
      <c r="F851" s="676"/>
      <c r="G851" s="3236">
        <f t="shared" si="147"/>
        <v>1</v>
      </c>
      <c r="H851" s="676"/>
      <c r="I851" s="3236">
        <f t="shared" si="148"/>
        <v>1</v>
      </c>
      <c r="J851" s="676"/>
      <c r="K851" s="3236">
        <f t="shared" si="149"/>
        <v>1</v>
      </c>
      <c r="L851" s="676"/>
      <c r="M851" s="3236">
        <f t="shared" si="150"/>
        <v>1</v>
      </c>
      <c r="N851" s="676"/>
      <c r="O851" s="3236">
        <f t="shared" si="151"/>
        <v>1</v>
      </c>
      <c r="P851" s="676"/>
      <c r="Q851" s="3236">
        <f t="shared" si="152"/>
        <v>1</v>
      </c>
      <c r="R851" s="3237">
        <f t="shared" ca="1" si="153"/>
        <v>5706</v>
      </c>
      <c r="S851" s="1090">
        <f t="shared" ca="1" si="154"/>
        <v>21</v>
      </c>
    </row>
    <row r="852" spans="1:19">
      <c r="A852" s="674" t="str">
        <f>Sheet2!E832</f>
        <v>L1-037</v>
      </c>
      <c r="B852" s="3235">
        <f>Sheet2!F832</f>
        <v>36.74</v>
      </c>
      <c r="C852" s="3236">
        <f t="shared" si="145"/>
        <v>0.99</v>
      </c>
      <c r="D852" s="676"/>
      <c r="E852" s="3236">
        <f t="shared" si="146"/>
        <v>1</v>
      </c>
      <c r="F852" s="676"/>
      <c r="G852" s="3236">
        <f t="shared" si="147"/>
        <v>1</v>
      </c>
      <c r="H852" s="676"/>
      <c r="I852" s="3236">
        <f t="shared" si="148"/>
        <v>1</v>
      </c>
      <c r="J852" s="676"/>
      <c r="K852" s="3236">
        <f t="shared" si="149"/>
        <v>1</v>
      </c>
      <c r="L852" s="676"/>
      <c r="M852" s="3236">
        <f t="shared" si="150"/>
        <v>1</v>
      </c>
      <c r="N852" s="676"/>
      <c r="O852" s="3236">
        <f t="shared" si="151"/>
        <v>1</v>
      </c>
      <c r="P852" s="676"/>
      <c r="Q852" s="3236">
        <f t="shared" si="152"/>
        <v>1</v>
      </c>
      <c r="R852" s="3237">
        <f t="shared" ca="1" si="153"/>
        <v>5706</v>
      </c>
      <c r="S852" s="1090">
        <f t="shared" ca="1" si="154"/>
        <v>21</v>
      </c>
    </row>
    <row r="853" spans="1:19">
      <c r="A853" s="674" t="str">
        <f>Sheet2!E833</f>
        <v>L1-038</v>
      </c>
      <c r="B853" s="3235">
        <f>Sheet2!F833</f>
        <v>39.090000000000003</v>
      </c>
      <c r="C853" s="3236">
        <f t="shared" si="145"/>
        <v>0.99</v>
      </c>
      <c r="D853" s="676"/>
      <c r="E853" s="3236">
        <f t="shared" si="146"/>
        <v>1</v>
      </c>
      <c r="F853" s="676"/>
      <c r="G853" s="3236">
        <f t="shared" si="147"/>
        <v>1</v>
      </c>
      <c r="H853" s="676"/>
      <c r="I853" s="3236">
        <f t="shared" si="148"/>
        <v>1</v>
      </c>
      <c r="J853" s="676"/>
      <c r="K853" s="3236">
        <f t="shared" si="149"/>
        <v>1</v>
      </c>
      <c r="L853" s="676"/>
      <c r="M853" s="3236">
        <f t="shared" si="150"/>
        <v>1</v>
      </c>
      <c r="N853" s="676"/>
      <c r="O853" s="3236">
        <f t="shared" si="151"/>
        <v>1</v>
      </c>
      <c r="P853" s="676"/>
      <c r="Q853" s="3236">
        <f t="shared" si="152"/>
        <v>1</v>
      </c>
      <c r="R853" s="3237">
        <f t="shared" ca="1" si="153"/>
        <v>5706</v>
      </c>
      <c r="S853" s="1090">
        <f t="shared" ca="1" si="154"/>
        <v>22</v>
      </c>
    </row>
    <row r="854" spans="1:19">
      <c r="A854" s="674" t="str">
        <f>Sheet2!E834</f>
        <v>L1-039</v>
      </c>
      <c r="B854" s="3235">
        <f>Sheet2!F834</f>
        <v>39.090000000000003</v>
      </c>
      <c r="C854" s="3236">
        <f t="shared" si="145"/>
        <v>0.99</v>
      </c>
      <c r="D854" s="676"/>
      <c r="E854" s="3236">
        <f t="shared" si="146"/>
        <v>1</v>
      </c>
      <c r="F854" s="676"/>
      <c r="G854" s="3236">
        <f t="shared" si="147"/>
        <v>1</v>
      </c>
      <c r="H854" s="676"/>
      <c r="I854" s="3236">
        <f t="shared" si="148"/>
        <v>1</v>
      </c>
      <c r="J854" s="676"/>
      <c r="K854" s="3236">
        <f t="shared" si="149"/>
        <v>1</v>
      </c>
      <c r="L854" s="676"/>
      <c r="M854" s="3236">
        <f t="shared" si="150"/>
        <v>1</v>
      </c>
      <c r="N854" s="676"/>
      <c r="O854" s="3236">
        <f t="shared" si="151"/>
        <v>1</v>
      </c>
      <c r="P854" s="676"/>
      <c r="Q854" s="3236">
        <f t="shared" si="152"/>
        <v>1</v>
      </c>
      <c r="R854" s="3237">
        <f t="shared" ca="1" si="153"/>
        <v>5706</v>
      </c>
      <c r="S854" s="1090">
        <f t="shared" ca="1" si="154"/>
        <v>22</v>
      </c>
    </row>
    <row r="855" spans="1:19">
      <c r="A855" s="674" t="str">
        <f>Sheet2!E835</f>
        <v>L1-040</v>
      </c>
      <c r="B855" s="3235">
        <f>Sheet2!F835</f>
        <v>39.090000000000003</v>
      </c>
      <c r="C855" s="3236">
        <f t="shared" si="145"/>
        <v>0.99</v>
      </c>
      <c r="D855" s="676"/>
      <c r="E855" s="3236">
        <f t="shared" si="146"/>
        <v>1</v>
      </c>
      <c r="F855" s="676"/>
      <c r="G855" s="3236">
        <f t="shared" si="147"/>
        <v>1</v>
      </c>
      <c r="H855" s="676"/>
      <c r="I855" s="3236">
        <f t="shared" si="148"/>
        <v>1</v>
      </c>
      <c r="J855" s="676"/>
      <c r="K855" s="3236">
        <f t="shared" si="149"/>
        <v>1</v>
      </c>
      <c r="L855" s="676"/>
      <c r="M855" s="3236">
        <f t="shared" si="150"/>
        <v>1</v>
      </c>
      <c r="N855" s="676"/>
      <c r="O855" s="3236">
        <f t="shared" si="151"/>
        <v>1</v>
      </c>
      <c r="P855" s="676"/>
      <c r="Q855" s="3236">
        <f t="shared" si="152"/>
        <v>1</v>
      </c>
      <c r="R855" s="3237">
        <f t="shared" ca="1" si="153"/>
        <v>5706</v>
      </c>
      <c r="S855" s="1090">
        <f t="shared" ca="1" si="154"/>
        <v>22</v>
      </c>
    </row>
    <row r="856" spans="1:19">
      <c r="A856" s="674" t="str">
        <f>Sheet2!E836</f>
        <v>L1-041</v>
      </c>
      <c r="B856" s="3235">
        <f>Sheet2!F836</f>
        <v>39.090000000000003</v>
      </c>
      <c r="C856" s="3236">
        <f t="shared" si="145"/>
        <v>0.99</v>
      </c>
      <c r="D856" s="676"/>
      <c r="E856" s="3236">
        <f t="shared" si="146"/>
        <v>1</v>
      </c>
      <c r="F856" s="676"/>
      <c r="G856" s="3236">
        <f t="shared" si="147"/>
        <v>1</v>
      </c>
      <c r="H856" s="676"/>
      <c r="I856" s="3236">
        <f t="shared" si="148"/>
        <v>1</v>
      </c>
      <c r="J856" s="676"/>
      <c r="K856" s="3236">
        <f t="shared" si="149"/>
        <v>1</v>
      </c>
      <c r="L856" s="676"/>
      <c r="M856" s="3236">
        <f t="shared" si="150"/>
        <v>1</v>
      </c>
      <c r="N856" s="676"/>
      <c r="O856" s="3236">
        <f t="shared" si="151"/>
        <v>1</v>
      </c>
      <c r="P856" s="676"/>
      <c r="Q856" s="3236">
        <f t="shared" si="152"/>
        <v>1</v>
      </c>
      <c r="R856" s="3237">
        <f t="shared" ca="1" si="153"/>
        <v>5706</v>
      </c>
      <c r="S856" s="1090">
        <f t="shared" ca="1" si="154"/>
        <v>22</v>
      </c>
    </row>
    <row r="857" spans="1:19">
      <c r="A857" s="674" t="str">
        <f>Sheet2!E837</f>
        <v>L1-042</v>
      </c>
      <c r="B857" s="3235">
        <f>Sheet2!F837</f>
        <v>39.090000000000003</v>
      </c>
      <c r="C857" s="3236">
        <f t="shared" si="145"/>
        <v>0.99</v>
      </c>
      <c r="D857" s="676"/>
      <c r="E857" s="3236">
        <f t="shared" si="146"/>
        <v>1</v>
      </c>
      <c r="F857" s="676"/>
      <c r="G857" s="3236">
        <f t="shared" si="147"/>
        <v>1</v>
      </c>
      <c r="H857" s="676"/>
      <c r="I857" s="3236">
        <f t="shared" si="148"/>
        <v>1</v>
      </c>
      <c r="J857" s="676"/>
      <c r="K857" s="3236">
        <f t="shared" si="149"/>
        <v>1</v>
      </c>
      <c r="L857" s="676"/>
      <c r="M857" s="3236">
        <f t="shared" si="150"/>
        <v>1</v>
      </c>
      <c r="N857" s="676"/>
      <c r="O857" s="3236">
        <f t="shared" si="151"/>
        <v>1</v>
      </c>
      <c r="P857" s="676"/>
      <c r="Q857" s="3236">
        <f t="shared" si="152"/>
        <v>1</v>
      </c>
      <c r="R857" s="3237">
        <f t="shared" ca="1" si="153"/>
        <v>5706</v>
      </c>
      <c r="S857" s="1090">
        <f t="shared" ca="1" si="154"/>
        <v>22</v>
      </c>
    </row>
    <row r="858" spans="1:19">
      <c r="A858" s="674" t="str">
        <f>Sheet2!E838</f>
        <v>L1-043</v>
      </c>
      <c r="B858" s="3235">
        <f>Sheet2!F838</f>
        <v>39.090000000000003</v>
      </c>
      <c r="C858" s="3236">
        <f t="shared" si="145"/>
        <v>0.99</v>
      </c>
      <c r="D858" s="676"/>
      <c r="E858" s="3236">
        <f t="shared" si="146"/>
        <v>1</v>
      </c>
      <c r="F858" s="676"/>
      <c r="G858" s="3236">
        <f t="shared" si="147"/>
        <v>1</v>
      </c>
      <c r="H858" s="676"/>
      <c r="I858" s="3236">
        <f t="shared" si="148"/>
        <v>1</v>
      </c>
      <c r="J858" s="676"/>
      <c r="K858" s="3236">
        <f t="shared" si="149"/>
        <v>1</v>
      </c>
      <c r="L858" s="676"/>
      <c r="M858" s="3236">
        <f t="shared" si="150"/>
        <v>1</v>
      </c>
      <c r="N858" s="676"/>
      <c r="O858" s="3236">
        <f t="shared" si="151"/>
        <v>1</v>
      </c>
      <c r="P858" s="676"/>
      <c r="Q858" s="3236">
        <f t="shared" si="152"/>
        <v>1</v>
      </c>
      <c r="R858" s="3237">
        <f t="shared" ca="1" si="153"/>
        <v>5706</v>
      </c>
      <c r="S858" s="1090">
        <f t="shared" ca="1" si="154"/>
        <v>22</v>
      </c>
    </row>
    <row r="859" spans="1:19">
      <c r="A859" s="674" t="str">
        <f>Sheet2!E839</f>
        <v>L1-044</v>
      </c>
      <c r="B859" s="3235">
        <f>Sheet2!F839</f>
        <v>39.090000000000003</v>
      </c>
      <c r="C859" s="3236">
        <f t="shared" si="145"/>
        <v>0.99</v>
      </c>
      <c r="D859" s="676"/>
      <c r="E859" s="3236">
        <f t="shared" si="146"/>
        <v>1</v>
      </c>
      <c r="F859" s="676"/>
      <c r="G859" s="3236">
        <f t="shared" si="147"/>
        <v>1</v>
      </c>
      <c r="H859" s="676"/>
      <c r="I859" s="3236">
        <f t="shared" si="148"/>
        <v>1</v>
      </c>
      <c r="J859" s="676"/>
      <c r="K859" s="3236">
        <f t="shared" si="149"/>
        <v>1</v>
      </c>
      <c r="L859" s="676"/>
      <c r="M859" s="3236">
        <f t="shared" si="150"/>
        <v>1</v>
      </c>
      <c r="N859" s="676"/>
      <c r="O859" s="3236">
        <f t="shared" si="151"/>
        <v>1</v>
      </c>
      <c r="P859" s="676"/>
      <c r="Q859" s="3236">
        <f t="shared" si="152"/>
        <v>1</v>
      </c>
      <c r="R859" s="3237">
        <f t="shared" ca="1" si="153"/>
        <v>5706</v>
      </c>
      <c r="S859" s="1090">
        <f t="shared" ca="1" si="154"/>
        <v>22</v>
      </c>
    </row>
    <row r="860" spans="1:19">
      <c r="A860" s="674" t="str">
        <f>Sheet2!E840</f>
        <v>L1-045</v>
      </c>
      <c r="B860" s="3235">
        <f>Sheet2!F840</f>
        <v>39.090000000000003</v>
      </c>
      <c r="C860" s="3236">
        <f t="shared" si="145"/>
        <v>0.99</v>
      </c>
      <c r="D860" s="676"/>
      <c r="E860" s="3236">
        <f t="shared" si="146"/>
        <v>1</v>
      </c>
      <c r="F860" s="676"/>
      <c r="G860" s="3236">
        <f t="shared" si="147"/>
        <v>1</v>
      </c>
      <c r="H860" s="676"/>
      <c r="I860" s="3236">
        <f t="shared" si="148"/>
        <v>1</v>
      </c>
      <c r="J860" s="676"/>
      <c r="K860" s="3236">
        <f t="shared" si="149"/>
        <v>1</v>
      </c>
      <c r="L860" s="676"/>
      <c r="M860" s="3236">
        <f t="shared" si="150"/>
        <v>1</v>
      </c>
      <c r="N860" s="676"/>
      <c r="O860" s="3236">
        <f t="shared" si="151"/>
        <v>1</v>
      </c>
      <c r="P860" s="676"/>
      <c r="Q860" s="3236">
        <f t="shared" si="152"/>
        <v>1</v>
      </c>
      <c r="R860" s="3237">
        <f t="shared" ca="1" si="153"/>
        <v>5706</v>
      </c>
      <c r="S860" s="1090">
        <f t="shared" ca="1" si="154"/>
        <v>22</v>
      </c>
    </row>
    <row r="861" spans="1:19">
      <c r="A861" s="674" t="str">
        <f>Sheet2!E841</f>
        <v>L1-046</v>
      </c>
      <c r="B861" s="3235">
        <f>Sheet2!F841</f>
        <v>39.090000000000003</v>
      </c>
      <c r="C861" s="3236">
        <f t="shared" si="145"/>
        <v>0.99</v>
      </c>
      <c r="D861" s="676"/>
      <c r="E861" s="3236">
        <f t="shared" si="146"/>
        <v>1</v>
      </c>
      <c r="F861" s="676"/>
      <c r="G861" s="3236">
        <f t="shared" si="147"/>
        <v>1</v>
      </c>
      <c r="H861" s="676"/>
      <c r="I861" s="3236">
        <f t="shared" si="148"/>
        <v>1</v>
      </c>
      <c r="J861" s="676"/>
      <c r="K861" s="3236">
        <f t="shared" si="149"/>
        <v>1</v>
      </c>
      <c r="L861" s="676"/>
      <c r="M861" s="3236">
        <f t="shared" si="150"/>
        <v>1</v>
      </c>
      <c r="N861" s="676"/>
      <c r="O861" s="3236">
        <f t="shared" si="151"/>
        <v>1</v>
      </c>
      <c r="P861" s="676"/>
      <c r="Q861" s="3236">
        <f t="shared" si="152"/>
        <v>1</v>
      </c>
      <c r="R861" s="3237">
        <f t="shared" ca="1" si="153"/>
        <v>5706</v>
      </c>
      <c r="S861" s="1090">
        <f t="shared" ca="1" si="154"/>
        <v>22</v>
      </c>
    </row>
    <row r="862" spans="1:19">
      <c r="A862" s="674" t="str">
        <f>Sheet2!E842</f>
        <v>L1-047</v>
      </c>
      <c r="B862" s="3235">
        <f>Sheet2!F842</f>
        <v>39.090000000000003</v>
      </c>
      <c r="C862" s="3236">
        <f t="shared" si="145"/>
        <v>0.99</v>
      </c>
      <c r="D862" s="676"/>
      <c r="E862" s="3236">
        <f t="shared" si="146"/>
        <v>1</v>
      </c>
      <c r="F862" s="676"/>
      <c r="G862" s="3236">
        <f t="shared" si="147"/>
        <v>1</v>
      </c>
      <c r="H862" s="676"/>
      <c r="I862" s="3236">
        <f t="shared" si="148"/>
        <v>1</v>
      </c>
      <c r="J862" s="676"/>
      <c r="K862" s="3236">
        <f t="shared" si="149"/>
        <v>1</v>
      </c>
      <c r="L862" s="676"/>
      <c r="M862" s="3236">
        <f t="shared" si="150"/>
        <v>1</v>
      </c>
      <c r="N862" s="676"/>
      <c r="O862" s="3236">
        <f t="shared" si="151"/>
        <v>1</v>
      </c>
      <c r="P862" s="676"/>
      <c r="Q862" s="3236">
        <f t="shared" si="152"/>
        <v>1</v>
      </c>
      <c r="R862" s="3237">
        <f t="shared" ca="1" si="153"/>
        <v>5706</v>
      </c>
      <c r="S862" s="1090">
        <f t="shared" ca="1" si="154"/>
        <v>22</v>
      </c>
    </row>
    <row r="863" spans="1:19">
      <c r="A863" s="674" t="str">
        <f>Sheet2!E843</f>
        <v>L1-048</v>
      </c>
      <c r="B863" s="3235">
        <f>Sheet2!F843</f>
        <v>39.090000000000003</v>
      </c>
      <c r="C863" s="3236">
        <f t="shared" si="145"/>
        <v>0.99</v>
      </c>
      <c r="D863" s="676"/>
      <c r="E863" s="3236">
        <f t="shared" si="146"/>
        <v>1</v>
      </c>
      <c r="F863" s="676"/>
      <c r="G863" s="3236">
        <f t="shared" si="147"/>
        <v>1</v>
      </c>
      <c r="H863" s="676"/>
      <c r="I863" s="3236">
        <f t="shared" si="148"/>
        <v>1</v>
      </c>
      <c r="J863" s="676"/>
      <c r="K863" s="3236">
        <f t="shared" si="149"/>
        <v>1</v>
      </c>
      <c r="L863" s="676"/>
      <c r="M863" s="3236">
        <f t="shared" si="150"/>
        <v>1</v>
      </c>
      <c r="N863" s="676"/>
      <c r="O863" s="3236">
        <f t="shared" si="151"/>
        <v>1</v>
      </c>
      <c r="P863" s="676"/>
      <c r="Q863" s="3236">
        <f t="shared" si="152"/>
        <v>1</v>
      </c>
      <c r="R863" s="3237">
        <f t="shared" ca="1" si="153"/>
        <v>5706</v>
      </c>
      <c r="S863" s="1090">
        <f t="shared" ca="1" si="154"/>
        <v>22</v>
      </c>
    </row>
    <row r="864" spans="1:19">
      <c r="A864" s="674" t="str">
        <f>Sheet2!E844</f>
        <v>L1-049</v>
      </c>
      <c r="B864" s="3235">
        <f>Sheet2!F844</f>
        <v>39.090000000000003</v>
      </c>
      <c r="C864" s="3236">
        <f t="shared" si="145"/>
        <v>0.99</v>
      </c>
      <c r="D864" s="676"/>
      <c r="E864" s="3236">
        <f t="shared" si="146"/>
        <v>1</v>
      </c>
      <c r="F864" s="676"/>
      <c r="G864" s="3236">
        <f t="shared" si="147"/>
        <v>1</v>
      </c>
      <c r="H864" s="676"/>
      <c r="I864" s="3236">
        <f t="shared" si="148"/>
        <v>1</v>
      </c>
      <c r="J864" s="676"/>
      <c r="K864" s="3236">
        <f t="shared" si="149"/>
        <v>1</v>
      </c>
      <c r="L864" s="676"/>
      <c r="M864" s="3236">
        <f t="shared" si="150"/>
        <v>1</v>
      </c>
      <c r="N864" s="676"/>
      <c r="O864" s="3236">
        <f t="shared" si="151"/>
        <v>1</v>
      </c>
      <c r="P864" s="676"/>
      <c r="Q864" s="3236">
        <f t="shared" si="152"/>
        <v>1</v>
      </c>
      <c r="R864" s="3237">
        <f t="shared" ca="1" si="153"/>
        <v>5706</v>
      </c>
      <c r="S864" s="1090">
        <f t="shared" ca="1" si="154"/>
        <v>22</v>
      </c>
    </row>
    <row r="865" spans="1:19">
      <c r="A865" s="674" t="str">
        <f>Sheet2!E845</f>
        <v>L1-050</v>
      </c>
      <c r="B865" s="3235">
        <f>Sheet2!F845</f>
        <v>36.74</v>
      </c>
      <c r="C865" s="3236">
        <f t="shared" si="145"/>
        <v>0.99</v>
      </c>
      <c r="D865" s="676"/>
      <c r="E865" s="3236">
        <f t="shared" si="146"/>
        <v>1</v>
      </c>
      <c r="F865" s="676"/>
      <c r="G865" s="3236">
        <f t="shared" si="147"/>
        <v>1</v>
      </c>
      <c r="H865" s="676"/>
      <c r="I865" s="3236">
        <f t="shared" si="148"/>
        <v>1</v>
      </c>
      <c r="J865" s="676"/>
      <c r="K865" s="3236">
        <f t="shared" si="149"/>
        <v>1</v>
      </c>
      <c r="L865" s="676"/>
      <c r="M865" s="3236">
        <f t="shared" si="150"/>
        <v>1</v>
      </c>
      <c r="N865" s="676"/>
      <c r="O865" s="3236">
        <f t="shared" si="151"/>
        <v>1</v>
      </c>
      <c r="P865" s="676"/>
      <c r="Q865" s="3236">
        <f t="shared" si="152"/>
        <v>1</v>
      </c>
      <c r="R865" s="3237">
        <f t="shared" ca="1" si="153"/>
        <v>5706</v>
      </c>
      <c r="S865" s="1090">
        <f t="shared" ca="1" si="154"/>
        <v>21</v>
      </c>
    </row>
    <row r="866" spans="1:19">
      <c r="A866" s="674" t="str">
        <f>Sheet2!E846</f>
        <v>L1-051</v>
      </c>
      <c r="B866" s="3235">
        <f>Sheet2!F846</f>
        <v>36.74</v>
      </c>
      <c r="C866" s="3236">
        <f t="shared" si="145"/>
        <v>0.99</v>
      </c>
      <c r="D866" s="676"/>
      <c r="E866" s="3236">
        <f t="shared" si="146"/>
        <v>1</v>
      </c>
      <c r="F866" s="676"/>
      <c r="G866" s="3236">
        <f t="shared" si="147"/>
        <v>1</v>
      </c>
      <c r="H866" s="676"/>
      <c r="I866" s="3236">
        <f t="shared" si="148"/>
        <v>1</v>
      </c>
      <c r="J866" s="676"/>
      <c r="K866" s="3236">
        <f t="shared" si="149"/>
        <v>1</v>
      </c>
      <c r="L866" s="676"/>
      <c r="M866" s="3236">
        <f t="shared" si="150"/>
        <v>1</v>
      </c>
      <c r="N866" s="676"/>
      <c r="O866" s="3236">
        <f t="shared" si="151"/>
        <v>1</v>
      </c>
      <c r="P866" s="676"/>
      <c r="Q866" s="3236">
        <f t="shared" si="152"/>
        <v>1</v>
      </c>
      <c r="R866" s="3237">
        <f t="shared" ca="1" si="153"/>
        <v>5706</v>
      </c>
      <c r="S866" s="1090">
        <f t="shared" ca="1" si="154"/>
        <v>21</v>
      </c>
    </row>
    <row r="867" spans="1:19">
      <c r="A867" s="674" t="str">
        <f>Sheet2!E847</f>
        <v>L1-054</v>
      </c>
      <c r="B867" s="3235">
        <f>Sheet2!F847</f>
        <v>36.74</v>
      </c>
      <c r="C867" s="3236">
        <f t="shared" si="145"/>
        <v>0.99</v>
      </c>
      <c r="D867" s="676"/>
      <c r="E867" s="3236">
        <f t="shared" si="146"/>
        <v>1</v>
      </c>
      <c r="F867" s="676"/>
      <c r="G867" s="3236">
        <f t="shared" si="147"/>
        <v>1</v>
      </c>
      <c r="H867" s="676"/>
      <c r="I867" s="3236">
        <f t="shared" si="148"/>
        <v>1</v>
      </c>
      <c r="J867" s="676"/>
      <c r="K867" s="3236">
        <f t="shared" si="149"/>
        <v>1</v>
      </c>
      <c r="L867" s="676"/>
      <c r="M867" s="3236">
        <f t="shared" si="150"/>
        <v>1</v>
      </c>
      <c r="N867" s="676"/>
      <c r="O867" s="3236">
        <f t="shared" si="151"/>
        <v>1</v>
      </c>
      <c r="P867" s="676"/>
      <c r="Q867" s="3236">
        <f t="shared" si="152"/>
        <v>1</v>
      </c>
      <c r="R867" s="3237">
        <f t="shared" ca="1" si="153"/>
        <v>5706</v>
      </c>
      <c r="S867" s="1090">
        <f t="shared" ca="1" si="154"/>
        <v>21</v>
      </c>
    </row>
    <row r="868" spans="1:19">
      <c r="A868" s="674" t="str">
        <f>Sheet2!E848</f>
        <v>L1-055</v>
      </c>
      <c r="B868" s="3235">
        <f>Sheet2!F848</f>
        <v>36.74</v>
      </c>
      <c r="C868" s="3236">
        <f t="shared" si="145"/>
        <v>0.99</v>
      </c>
      <c r="D868" s="676"/>
      <c r="E868" s="3236">
        <f t="shared" si="146"/>
        <v>1</v>
      </c>
      <c r="F868" s="676"/>
      <c r="G868" s="3236">
        <f t="shared" si="147"/>
        <v>1</v>
      </c>
      <c r="H868" s="676"/>
      <c r="I868" s="3236">
        <f t="shared" si="148"/>
        <v>1</v>
      </c>
      <c r="J868" s="676"/>
      <c r="K868" s="3236">
        <f t="shared" si="149"/>
        <v>1</v>
      </c>
      <c r="L868" s="676"/>
      <c r="M868" s="3236">
        <f t="shared" si="150"/>
        <v>1</v>
      </c>
      <c r="N868" s="676"/>
      <c r="O868" s="3236">
        <f t="shared" si="151"/>
        <v>1</v>
      </c>
      <c r="P868" s="676"/>
      <c r="Q868" s="3236">
        <f t="shared" si="152"/>
        <v>1</v>
      </c>
      <c r="R868" s="3237">
        <f t="shared" ca="1" si="153"/>
        <v>5706</v>
      </c>
      <c r="S868" s="1090">
        <f t="shared" ca="1" si="154"/>
        <v>21</v>
      </c>
    </row>
    <row r="869" spans="1:19">
      <c r="A869" s="674" t="str">
        <f>Sheet2!E849</f>
        <v>L1-057</v>
      </c>
      <c r="B869" s="3235">
        <f>Sheet2!F849</f>
        <v>36.74</v>
      </c>
      <c r="C869" s="3236">
        <f t="shared" si="145"/>
        <v>0.99</v>
      </c>
      <c r="D869" s="676"/>
      <c r="E869" s="3236">
        <f t="shared" si="146"/>
        <v>1</v>
      </c>
      <c r="F869" s="676"/>
      <c r="G869" s="3236">
        <f t="shared" si="147"/>
        <v>1</v>
      </c>
      <c r="H869" s="676"/>
      <c r="I869" s="3236">
        <f t="shared" si="148"/>
        <v>1</v>
      </c>
      <c r="J869" s="676"/>
      <c r="K869" s="3236">
        <f t="shared" si="149"/>
        <v>1</v>
      </c>
      <c r="L869" s="676"/>
      <c r="M869" s="3236">
        <f t="shared" si="150"/>
        <v>1</v>
      </c>
      <c r="N869" s="676"/>
      <c r="O869" s="3236">
        <f t="shared" si="151"/>
        <v>1</v>
      </c>
      <c r="P869" s="676"/>
      <c r="Q869" s="3236">
        <f t="shared" si="152"/>
        <v>1</v>
      </c>
      <c r="R869" s="3237">
        <f t="shared" ca="1" si="153"/>
        <v>5706</v>
      </c>
      <c r="S869" s="1090">
        <f t="shared" ca="1" si="154"/>
        <v>21</v>
      </c>
    </row>
    <row r="870" spans="1:19">
      <c r="A870" s="674" t="str">
        <f>Sheet2!E850</f>
        <v>L1-059</v>
      </c>
      <c r="B870" s="3235">
        <f>Sheet2!F850</f>
        <v>36.74</v>
      </c>
      <c r="C870" s="3236">
        <f t="shared" si="145"/>
        <v>0.99</v>
      </c>
      <c r="D870" s="676"/>
      <c r="E870" s="3236">
        <f t="shared" si="146"/>
        <v>1</v>
      </c>
      <c r="F870" s="676"/>
      <c r="G870" s="3236">
        <f t="shared" si="147"/>
        <v>1</v>
      </c>
      <c r="H870" s="676"/>
      <c r="I870" s="3236">
        <f t="shared" si="148"/>
        <v>1</v>
      </c>
      <c r="J870" s="676"/>
      <c r="K870" s="3236">
        <f t="shared" si="149"/>
        <v>1</v>
      </c>
      <c r="L870" s="676"/>
      <c r="M870" s="3236">
        <f t="shared" si="150"/>
        <v>1</v>
      </c>
      <c r="N870" s="676"/>
      <c r="O870" s="3236">
        <f t="shared" si="151"/>
        <v>1</v>
      </c>
      <c r="P870" s="676"/>
      <c r="Q870" s="3236">
        <f t="shared" si="152"/>
        <v>1</v>
      </c>
      <c r="R870" s="3237">
        <f t="shared" ca="1" si="153"/>
        <v>5706</v>
      </c>
      <c r="S870" s="1090">
        <f t="shared" ca="1" si="154"/>
        <v>21</v>
      </c>
    </row>
    <row r="871" spans="1:19">
      <c r="A871" s="674" t="str">
        <f>Sheet2!E851</f>
        <v>L1-060</v>
      </c>
      <c r="B871" s="3235">
        <f>Sheet2!F851</f>
        <v>36.74</v>
      </c>
      <c r="C871" s="3236">
        <f t="shared" si="145"/>
        <v>0.99</v>
      </c>
      <c r="D871" s="676"/>
      <c r="E871" s="3236">
        <f t="shared" si="146"/>
        <v>1</v>
      </c>
      <c r="F871" s="676"/>
      <c r="G871" s="3236">
        <f t="shared" si="147"/>
        <v>1</v>
      </c>
      <c r="H871" s="676"/>
      <c r="I871" s="3236">
        <f t="shared" si="148"/>
        <v>1</v>
      </c>
      <c r="J871" s="676"/>
      <c r="K871" s="3236">
        <f t="shared" si="149"/>
        <v>1</v>
      </c>
      <c r="L871" s="676"/>
      <c r="M871" s="3236">
        <f t="shared" si="150"/>
        <v>1</v>
      </c>
      <c r="N871" s="676"/>
      <c r="O871" s="3236">
        <f t="shared" si="151"/>
        <v>1</v>
      </c>
      <c r="P871" s="676"/>
      <c r="Q871" s="3236">
        <f t="shared" si="152"/>
        <v>1</v>
      </c>
      <c r="R871" s="3237">
        <f t="shared" ca="1" si="153"/>
        <v>5706</v>
      </c>
      <c r="S871" s="1090">
        <f t="shared" ca="1" si="154"/>
        <v>21</v>
      </c>
    </row>
    <row r="872" spans="1:19">
      <c r="A872" s="674" t="str">
        <f>Sheet2!E852</f>
        <v>L1-061</v>
      </c>
      <c r="B872" s="3235">
        <f>Sheet2!F852</f>
        <v>36.74</v>
      </c>
      <c r="C872" s="3236">
        <f t="shared" si="145"/>
        <v>0.99</v>
      </c>
      <c r="D872" s="676"/>
      <c r="E872" s="3236">
        <f t="shared" si="146"/>
        <v>1</v>
      </c>
      <c r="F872" s="676"/>
      <c r="G872" s="3236">
        <f t="shared" si="147"/>
        <v>1</v>
      </c>
      <c r="H872" s="676"/>
      <c r="I872" s="3236">
        <f t="shared" si="148"/>
        <v>1</v>
      </c>
      <c r="J872" s="676"/>
      <c r="K872" s="3236">
        <f t="shared" si="149"/>
        <v>1</v>
      </c>
      <c r="L872" s="676"/>
      <c r="M872" s="3236">
        <f t="shared" si="150"/>
        <v>1</v>
      </c>
      <c r="N872" s="676"/>
      <c r="O872" s="3236">
        <f t="shared" si="151"/>
        <v>1</v>
      </c>
      <c r="P872" s="676"/>
      <c r="Q872" s="3236">
        <f t="shared" si="152"/>
        <v>1</v>
      </c>
      <c r="R872" s="3237">
        <f t="shared" ca="1" si="153"/>
        <v>5706</v>
      </c>
      <c r="S872" s="1090">
        <f t="shared" ca="1" si="154"/>
        <v>21</v>
      </c>
    </row>
    <row r="873" spans="1:19">
      <c r="A873" s="674" t="str">
        <f>Sheet2!E853</f>
        <v>L1-062</v>
      </c>
      <c r="B873" s="3235">
        <f>Sheet2!F853</f>
        <v>39.090000000000003</v>
      </c>
      <c r="C873" s="3236">
        <f t="shared" si="145"/>
        <v>0.99</v>
      </c>
      <c r="D873" s="676"/>
      <c r="E873" s="3236">
        <f t="shared" si="146"/>
        <v>1</v>
      </c>
      <c r="F873" s="676"/>
      <c r="G873" s="3236">
        <f t="shared" si="147"/>
        <v>1</v>
      </c>
      <c r="H873" s="676"/>
      <c r="I873" s="3236">
        <f t="shared" si="148"/>
        <v>1</v>
      </c>
      <c r="J873" s="676"/>
      <c r="K873" s="3236">
        <f t="shared" si="149"/>
        <v>1</v>
      </c>
      <c r="L873" s="676"/>
      <c r="M873" s="3236">
        <f t="shared" si="150"/>
        <v>1</v>
      </c>
      <c r="N873" s="676"/>
      <c r="O873" s="3236">
        <f t="shared" si="151"/>
        <v>1</v>
      </c>
      <c r="P873" s="676"/>
      <c r="Q873" s="3236">
        <f t="shared" si="152"/>
        <v>1</v>
      </c>
      <c r="R873" s="3237">
        <f t="shared" ca="1" si="153"/>
        <v>5706</v>
      </c>
      <c r="S873" s="1090">
        <f t="shared" ca="1" si="154"/>
        <v>22</v>
      </c>
    </row>
    <row r="874" spans="1:19">
      <c r="A874" s="674" t="str">
        <f>Sheet2!E854</f>
        <v>L1-063</v>
      </c>
      <c r="B874" s="3235">
        <f>Sheet2!F854</f>
        <v>39.090000000000003</v>
      </c>
      <c r="C874" s="3236">
        <f t="shared" si="145"/>
        <v>0.99</v>
      </c>
      <c r="D874" s="676"/>
      <c r="E874" s="3236">
        <f t="shared" si="146"/>
        <v>1</v>
      </c>
      <c r="F874" s="676"/>
      <c r="G874" s="3236">
        <f t="shared" si="147"/>
        <v>1</v>
      </c>
      <c r="H874" s="676"/>
      <c r="I874" s="3236">
        <f t="shared" si="148"/>
        <v>1</v>
      </c>
      <c r="J874" s="676"/>
      <c r="K874" s="3236">
        <f t="shared" si="149"/>
        <v>1</v>
      </c>
      <c r="L874" s="676"/>
      <c r="M874" s="3236">
        <f t="shared" si="150"/>
        <v>1</v>
      </c>
      <c r="N874" s="676"/>
      <c r="O874" s="3236">
        <f t="shared" si="151"/>
        <v>1</v>
      </c>
      <c r="P874" s="676"/>
      <c r="Q874" s="3236">
        <f t="shared" si="152"/>
        <v>1</v>
      </c>
      <c r="R874" s="3237">
        <f t="shared" ca="1" si="153"/>
        <v>5706</v>
      </c>
      <c r="S874" s="1090">
        <f t="shared" ca="1" si="154"/>
        <v>22</v>
      </c>
    </row>
    <row r="875" spans="1:19">
      <c r="A875" s="674" t="str">
        <f>Sheet2!E855</f>
        <v>L1-069</v>
      </c>
      <c r="B875" s="3235">
        <f>Sheet2!F855</f>
        <v>39.090000000000003</v>
      </c>
      <c r="C875" s="3236">
        <f t="shared" si="145"/>
        <v>0.99</v>
      </c>
      <c r="D875" s="676"/>
      <c r="E875" s="3236">
        <f t="shared" si="146"/>
        <v>1</v>
      </c>
      <c r="F875" s="676"/>
      <c r="G875" s="3236">
        <f t="shared" si="147"/>
        <v>1</v>
      </c>
      <c r="H875" s="676"/>
      <c r="I875" s="3236">
        <f t="shared" si="148"/>
        <v>1</v>
      </c>
      <c r="J875" s="676"/>
      <c r="K875" s="3236">
        <f t="shared" si="149"/>
        <v>1</v>
      </c>
      <c r="L875" s="676"/>
      <c r="M875" s="3236">
        <f t="shared" si="150"/>
        <v>1</v>
      </c>
      <c r="N875" s="676"/>
      <c r="O875" s="3236">
        <f t="shared" si="151"/>
        <v>1</v>
      </c>
      <c r="P875" s="676"/>
      <c r="Q875" s="3236">
        <f t="shared" si="152"/>
        <v>1</v>
      </c>
      <c r="R875" s="3237">
        <f t="shared" ca="1" si="153"/>
        <v>5706</v>
      </c>
      <c r="S875" s="1090">
        <f t="shared" ca="1" si="154"/>
        <v>22</v>
      </c>
    </row>
    <row r="876" spans="1:19">
      <c r="A876" s="674" t="str">
        <f>Sheet2!E856</f>
        <v>M1-001</v>
      </c>
      <c r="B876" s="3235">
        <f>Sheet2!F856</f>
        <v>39.090000000000003</v>
      </c>
      <c r="C876" s="3236">
        <f t="shared" si="145"/>
        <v>0.99</v>
      </c>
      <c r="D876" s="676"/>
      <c r="E876" s="3236">
        <f t="shared" si="146"/>
        <v>1</v>
      </c>
      <c r="F876" s="676"/>
      <c r="G876" s="3236">
        <f t="shared" si="147"/>
        <v>1</v>
      </c>
      <c r="H876" s="676"/>
      <c r="I876" s="3236">
        <f t="shared" si="148"/>
        <v>1</v>
      </c>
      <c r="J876" s="676"/>
      <c r="K876" s="3236">
        <f t="shared" si="149"/>
        <v>1</v>
      </c>
      <c r="L876" s="676"/>
      <c r="M876" s="3236">
        <f t="shared" si="150"/>
        <v>1</v>
      </c>
      <c r="N876" s="676"/>
      <c r="O876" s="3236">
        <f t="shared" si="151"/>
        <v>1</v>
      </c>
      <c r="P876" s="676"/>
      <c r="Q876" s="3236">
        <f t="shared" si="152"/>
        <v>1</v>
      </c>
      <c r="R876" s="3237">
        <f t="shared" ca="1" si="153"/>
        <v>5706</v>
      </c>
      <c r="S876" s="1090">
        <f t="shared" ca="1" si="154"/>
        <v>22</v>
      </c>
    </row>
    <row r="877" spans="1:19">
      <c r="A877" s="674" t="str">
        <f>Sheet2!E857</f>
        <v>M1-002</v>
      </c>
      <c r="B877" s="3235">
        <f>Sheet2!F857</f>
        <v>39.090000000000003</v>
      </c>
      <c r="C877" s="3236">
        <f t="shared" si="145"/>
        <v>0.99</v>
      </c>
      <c r="D877" s="676"/>
      <c r="E877" s="3236">
        <f t="shared" si="146"/>
        <v>1</v>
      </c>
      <c r="F877" s="676"/>
      <c r="G877" s="3236">
        <f t="shared" si="147"/>
        <v>1</v>
      </c>
      <c r="H877" s="676"/>
      <c r="I877" s="3236">
        <f t="shared" si="148"/>
        <v>1</v>
      </c>
      <c r="J877" s="676"/>
      <c r="K877" s="3236">
        <f t="shared" si="149"/>
        <v>1</v>
      </c>
      <c r="L877" s="676"/>
      <c r="M877" s="3236">
        <f t="shared" si="150"/>
        <v>1</v>
      </c>
      <c r="N877" s="676"/>
      <c r="O877" s="3236">
        <f t="shared" si="151"/>
        <v>1</v>
      </c>
      <c r="P877" s="676"/>
      <c r="Q877" s="3236">
        <f t="shared" si="152"/>
        <v>1</v>
      </c>
      <c r="R877" s="3237">
        <f t="shared" ca="1" si="153"/>
        <v>5706</v>
      </c>
      <c r="S877" s="1090">
        <f t="shared" ca="1" si="154"/>
        <v>22</v>
      </c>
    </row>
    <row r="878" spans="1:19">
      <c r="A878" s="674" t="str">
        <f>Sheet2!E858</f>
        <v>M1-003</v>
      </c>
      <c r="B878" s="3235">
        <f>Sheet2!F858</f>
        <v>32.83</v>
      </c>
      <c r="C878" s="3236">
        <f t="shared" si="145"/>
        <v>1</v>
      </c>
      <c r="D878" s="676"/>
      <c r="E878" s="3236">
        <f t="shared" si="146"/>
        <v>1</v>
      </c>
      <c r="F878" s="676"/>
      <c r="G878" s="3236">
        <f t="shared" si="147"/>
        <v>1</v>
      </c>
      <c r="H878" s="676"/>
      <c r="I878" s="3236">
        <f t="shared" si="148"/>
        <v>1</v>
      </c>
      <c r="J878" s="676"/>
      <c r="K878" s="3236">
        <f t="shared" si="149"/>
        <v>1</v>
      </c>
      <c r="L878" s="676"/>
      <c r="M878" s="3236">
        <f t="shared" si="150"/>
        <v>1</v>
      </c>
      <c r="N878" s="676"/>
      <c r="O878" s="3236">
        <f t="shared" si="151"/>
        <v>1</v>
      </c>
      <c r="P878" s="676"/>
      <c r="Q878" s="3236">
        <f t="shared" si="152"/>
        <v>1</v>
      </c>
      <c r="R878" s="3237">
        <f t="shared" ca="1" si="153"/>
        <v>5764</v>
      </c>
      <c r="S878" s="1090">
        <f t="shared" ca="1" si="154"/>
        <v>19</v>
      </c>
    </row>
    <row r="879" spans="1:19">
      <c r="A879" s="674" t="str">
        <f>Sheet2!E859</f>
        <v>M1-004</v>
      </c>
      <c r="B879" s="3235">
        <f>Sheet2!F859</f>
        <v>39.090000000000003</v>
      </c>
      <c r="C879" s="3236">
        <f t="shared" si="145"/>
        <v>0.99</v>
      </c>
      <c r="D879" s="676"/>
      <c r="E879" s="3236">
        <f t="shared" si="146"/>
        <v>1</v>
      </c>
      <c r="F879" s="676"/>
      <c r="G879" s="3236">
        <f t="shared" si="147"/>
        <v>1</v>
      </c>
      <c r="H879" s="676"/>
      <c r="I879" s="3236">
        <f t="shared" si="148"/>
        <v>1</v>
      </c>
      <c r="J879" s="676"/>
      <c r="K879" s="3236">
        <f t="shared" si="149"/>
        <v>1</v>
      </c>
      <c r="L879" s="676"/>
      <c r="M879" s="3236">
        <f t="shared" si="150"/>
        <v>1</v>
      </c>
      <c r="N879" s="676"/>
      <c r="O879" s="3236">
        <f t="shared" si="151"/>
        <v>1</v>
      </c>
      <c r="P879" s="676"/>
      <c r="Q879" s="3236">
        <f t="shared" si="152"/>
        <v>1</v>
      </c>
      <c r="R879" s="3237">
        <f t="shared" ca="1" si="153"/>
        <v>5706</v>
      </c>
      <c r="S879" s="1090">
        <f t="shared" ca="1" si="154"/>
        <v>22</v>
      </c>
    </row>
    <row r="880" spans="1:19">
      <c r="A880" s="674" t="str">
        <f>Sheet2!E860</f>
        <v>M1-005</v>
      </c>
      <c r="B880" s="3235">
        <f>Sheet2!F860</f>
        <v>37.520000000000003</v>
      </c>
      <c r="C880" s="3236">
        <f t="shared" si="145"/>
        <v>0.99</v>
      </c>
      <c r="D880" s="676"/>
      <c r="E880" s="3236">
        <f t="shared" si="146"/>
        <v>1</v>
      </c>
      <c r="F880" s="676"/>
      <c r="G880" s="3236">
        <f t="shared" si="147"/>
        <v>1</v>
      </c>
      <c r="H880" s="676"/>
      <c r="I880" s="3236">
        <f t="shared" si="148"/>
        <v>1</v>
      </c>
      <c r="J880" s="676"/>
      <c r="K880" s="3236">
        <f t="shared" si="149"/>
        <v>1</v>
      </c>
      <c r="L880" s="676"/>
      <c r="M880" s="3236">
        <f t="shared" si="150"/>
        <v>1</v>
      </c>
      <c r="N880" s="676"/>
      <c r="O880" s="3236">
        <f t="shared" si="151"/>
        <v>1</v>
      </c>
      <c r="P880" s="676"/>
      <c r="Q880" s="3236">
        <f t="shared" si="152"/>
        <v>1</v>
      </c>
      <c r="R880" s="3237">
        <f t="shared" ca="1" si="153"/>
        <v>5706</v>
      </c>
      <c r="S880" s="1090">
        <f t="shared" ca="1" si="154"/>
        <v>21</v>
      </c>
    </row>
    <row r="881" spans="1:19">
      <c r="A881" s="674" t="str">
        <f>Sheet2!E861</f>
        <v>M1-006</v>
      </c>
      <c r="B881" s="3235">
        <f>Sheet2!F861</f>
        <v>37.520000000000003</v>
      </c>
      <c r="C881" s="3236">
        <f t="shared" si="145"/>
        <v>0.99</v>
      </c>
      <c r="D881" s="676"/>
      <c r="E881" s="3236">
        <f t="shared" si="146"/>
        <v>1</v>
      </c>
      <c r="F881" s="676"/>
      <c r="G881" s="3236">
        <f t="shared" si="147"/>
        <v>1</v>
      </c>
      <c r="H881" s="676"/>
      <c r="I881" s="3236">
        <f t="shared" si="148"/>
        <v>1</v>
      </c>
      <c r="J881" s="676"/>
      <c r="K881" s="3236">
        <f t="shared" si="149"/>
        <v>1</v>
      </c>
      <c r="L881" s="676"/>
      <c r="M881" s="3236">
        <f t="shared" si="150"/>
        <v>1</v>
      </c>
      <c r="N881" s="676"/>
      <c r="O881" s="3236">
        <f t="shared" si="151"/>
        <v>1</v>
      </c>
      <c r="P881" s="676"/>
      <c r="Q881" s="3236">
        <f t="shared" si="152"/>
        <v>1</v>
      </c>
      <c r="R881" s="3237">
        <f t="shared" ca="1" si="153"/>
        <v>5706</v>
      </c>
      <c r="S881" s="1090">
        <f t="shared" ca="1" si="154"/>
        <v>21</v>
      </c>
    </row>
    <row r="882" spans="1:19">
      <c r="A882" s="674" t="str">
        <f>Sheet2!E862</f>
        <v>M1-007</v>
      </c>
      <c r="B882" s="3235">
        <f>Sheet2!F862</f>
        <v>37.520000000000003</v>
      </c>
      <c r="C882" s="3236">
        <f t="shared" si="145"/>
        <v>0.99</v>
      </c>
      <c r="D882" s="676"/>
      <c r="E882" s="3236">
        <f t="shared" si="146"/>
        <v>1</v>
      </c>
      <c r="F882" s="676"/>
      <c r="G882" s="3236">
        <f t="shared" si="147"/>
        <v>1</v>
      </c>
      <c r="H882" s="676"/>
      <c r="I882" s="3236">
        <f t="shared" si="148"/>
        <v>1</v>
      </c>
      <c r="J882" s="676"/>
      <c r="K882" s="3236">
        <f t="shared" si="149"/>
        <v>1</v>
      </c>
      <c r="L882" s="676"/>
      <c r="M882" s="3236">
        <f t="shared" si="150"/>
        <v>1</v>
      </c>
      <c r="N882" s="676"/>
      <c r="O882" s="3236">
        <f t="shared" si="151"/>
        <v>1</v>
      </c>
      <c r="P882" s="676"/>
      <c r="Q882" s="3236">
        <f t="shared" si="152"/>
        <v>1</v>
      </c>
      <c r="R882" s="3237">
        <f t="shared" ca="1" si="153"/>
        <v>5706</v>
      </c>
      <c r="S882" s="1090">
        <f t="shared" ca="1" si="154"/>
        <v>21</v>
      </c>
    </row>
    <row r="883" spans="1:19">
      <c r="A883" s="674" t="str">
        <f>Sheet2!E863</f>
        <v>M1-008</v>
      </c>
      <c r="B883" s="3235">
        <f>Sheet2!F863</f>
        <v>37.520000000000003</v>
      </c>
      <c r="C883" s="3236">
        <f t="shared" si="145"/>
        <v>0.99</v>
      </c>
      <c r="D883" s="676"/>
      <c r="E883" s="3236">
        <f t="shared" si="146"/>
        <v>1</v>
      </c>
      <c r="F883" s="676"/>
      <c r="G883" s="3236">
        <f t="shared" si="147"/>
        <v>1</v>
      </c>
      <c r="H883" s="676"/>
      <c r="I883" s="3236">
        <f t="shared" si="148"/>
        <v>1</v>
      </c>
      <c r="J883" s="676"/>
      <c r="K883" s="3236">
        <f t="shared" si="149"/>
        <v>1</v>
      </c>
      <c r="L883" s="676"/>
      <c r="M883" s="3236">
        <f t="shared" si="150"/>
        <v>1</v>
      </c>
      <c r="N883" s="676"/>
      <c r="O883" s="3236">
        <f t="shared" si="151"/>
        <v>1</v>
      </c>
      <c r="P883" s="676"/>
      <c r="Q883" s="3236">
        <f t="shared" si="152"/>
        <v>1</v>
      </c>
      <c r="R883" s="3237">
        <f t="shared" ca="1" si="153"/>
        <v>5706</v>
      </c>
      <c r="S883" s="1090">
        <f t="shared" ca="1" si="154"/>
        <v>21</v>
      </c>
    </row>
    <row r="884" spans="1:19">
      <c r="A884" s="674" t="str">
        <f>Sheet2!E864</f>
        <v>M1-009</v>
      </c>
      <c r="B884" s="3235">
        <f>Sheet2!F864</f>
        <v>37.520000000000003</v>
      </c>
      <c r="C884" s="3236">
        <f t="shared" si="145"/>
        <v>0.99</v>
      </c>
      <c r="D884" s="676"/>
      <c r="E884" s="3236">
        <f t="shared" si="146"/>
        <v>1</v>
      </c>
      <c r="F884" s="676"/>
      <c r="G884" s="3236">
        <f t="shared" si="147"/>
        <v>1</v>
      </c>
      <c r="H884" s="676"/>
      <c r="I884" s="3236">
        <f t="shared" si="148"/>
        <v>1</v>
      </c>
      <c r="J884" s="676"/>
      <c r="K884" s="3236">
        <f t="shared" si="149"/>
        <v>1</v>
      </c>
      <c r="L884" s="676"/>
      <c r="M884" s="3236">
        <f t="shared" si="150"/>
        <v>1</v>
      </c>
      <c r="N884" s="676"/>
      <c r="O884" s="3236">
        <f t="shared" si="151"/>
        <v>1</v>
      </c>
      <c r="P884" s="676"/>
      <c r="Q884" s="3236">
        <f t="shared" si="152"/>
        <v>1</v>
      </c>
      <c r="R884" s="3237">
        <f t="shared" ca="1" si="153"/>
        <v>5706</v>
      </c>
      <c r="S884" s="1090">
        <f t="shared" ca="1" si="154"/>
        <v>21</v>
      </c>
    </row>
    <row r="885" spans="1:19">
      <c r="A885" s="674" t="str">
        <f>Sheet2!E865</f>
        <v>M1-010</v>
      </c>
      <c r="B885" s="3235">
        <f>Sheet2!F865</f>
        <v>37.520000000000003</v>
      </c>
      <c r="C885" s="3236">
        <f t="shared" si="145"/>
        <v>0.99</v>
      </c>
      <c r="D885" s="676"/>
      <c r="E885" s="3236">
        <f t="shared" si="146"/>
        <v>1</v>
      </c>
      <c r="F885" s="676"/>
      <c r="G885" s="3236">
        <f t="shared" si="147"/>
        <v>1</v>
      </c>
      <c r="H885" s="676"/>
      <c r="I885" s="3236">
        <f t="shared" si="148"/>
        <v>1</v>
      </c>
      <c r="J885" s="676"/>
      <c r="K885" s="3236">
        <f t="shared" si="149"/>
        <v>1</v>
      </c>
      <c r="L885" s="676"/>
      <c r="M885" s="3236">
        <f t="shared" si="150"/>
        <v>1</v>
      </c>
      <c r="N885" s="676"/>
      <c r="O885" s="3236">
        <f t="shared" si="151"/>
        <v>1</v>
      </c>
      <c r="P885" s="676"/>
      <c r="Q885" s="3236">
        <f t="shared" si="152"/>
        <v>1</v>
      </c>
      <c r="R885" s="3237">
        <f t="shared" ca="1" si="153"/>
        <v>5706</v>
      </c>
      <c r="S885" s="1090">
        <f t="shared" ca="1" si="154"/>
        <v>21</v>
      </c>
    </row>
    <row r="886" spans="1:19">
      <c r="A886" s="674" t="str">
        <f>Sheet2!E866</f>
        <v>M1-011</v>
      </c>
      <c r="B886" s="3235">
        <f>Sheet2!F866</f>
        <v>32.270000000000003</v>
      </c>
      <c r="C886" s="3236">
        <f t="shared" si="145"/>
        <v>1</v>
      </c>
      <c r="D886" s="676"/>
      <c r="E886" s="3236">
        <f t="shared" si="146"/>
        <v>1</v>
      </c>
      <c r="F886" s="676"/>
      <c r="G886" s="3236">
        <f t="shared" si="147"/>
        <v>1</v>
      </c>
      <c r="H886" s="676"/>
      <c r="I886" s="3236">
        <f t="shared" si="148"/>
        <v>1</v>
      </c>
      <c r="J886" s="676"/>
      <c r="K886" s="3236">
        <f t="shared" si="149"/>
        <v>1</v>
      </c>
      <c r="L886" s="676"/>
      <c r="M886" s="3236">
        <f t="shared" si="150"/>
        <v>1</v>
      </c>
      <c r="N886" s="676"/>
      <c r="O886" s="3236">
        <f t="shared" si="151"/>
        <v>1</v>
      </c>
      <c r="P886" s="676"/>
      <c r="Q886" s="3236">
        <f t="shared" si="152"/>
        <v>1</v>
      </c>
      <c r="R886" s="3237">
        <f t="shared" ca="1" si="153"/>
        <v>5764</v>
      </c>
      <c r="S886" s="1090">
        <f t="shared" ca="1" si="154"/>
        <v>19</v>
      </c>
    </row>
    <row r="887" spans="1:19">
      <c r="A887" s="674" t="str">
        <f>Sheet2!E867</f>
        <v>M1-012</v>
      </c>
      <c r="B887" s="3235">
        <f>Sheet2!F867</f>
        <v>32.270000000000003</v>
      </c>
      <c r="C887" s="3236">
        <f t="shared" si="145"/>
        <v>1</v>
      </c>
      <c r="D887" s="676"/>
      <c r="E887" s="3236">
        <f t="shared" si="146"/>
        <v>1</v>
      </c>
      <c r="F887" s="676"/>
      <c r="G887" s="3236">
        <f t="shared" si="147"/>
        <v>1</v>
      </c>
      <c r="H887" s="676"/>
      <c r="I887" s="3236">
        <f t="shared" si="148"/>
        <v>1</v>
      </c>
      <c r="J887" s="676"/>
      <c r="K887" s="3236">
        <f t="shared" si="149"/>
        <v>1</v>
      </c>
      <c r="L887" s="676"/>
      <c r="M887" s="3236">
        <f t="shared" si="150"/>
        <v>1</v>
      </c>
      <c r="N887" s="676"/>
      <c r="O887" s="3236">
        <f t="shared" si="151"/>
        <v>1</v>
      </c>
      <c r="P887" s="676"/>
      <c r="Q887" s="3236">
        <f t="shared" si="152"/>
        <v>1</v>
      </c>
      <c r="R887" s="3237">
        <f t="shared" ca="1" si="153"/>
        <v>5764</v>
      </c>
      <c r="S887" s="1090">
        <f t="shared" ca="1" si="154"/>
        <v>19</v>
      </c>
    </row>
    <row r="888" spans="1:19">
      <c r="A888" s="674" t="str">
        <f>Sheet2!E868</f>
        <v>M1-013</v>
      </c>
      <c r="B888" s="3235">
        <f>Sheet2!F868</f>
        <v>32.270000000000003</v>
      </c>
      <c r="C888" s="3236">
        <f t="shared" si="145"/>
        <v>1</v>
      </c>
      <c r="D888" s="676"/>
      <c r="E888" s="3236">
        <f t="shared" si="146"/>
        <v>1</v>
      </c>
      <c r="F888" s="676"/>
      <c r="G888" s="3236">
        <f t="shared" si="147"/>
        <v>1</v>
      </c>
      <c r="H888" s="676"/>
      <c r="I888" s="3236">
        <f t="shared" si="148"/>
        <v>1</v>
      </c>
      <c r="J888" s="676"/>
      <c r="K888" s="3236">
        <f t="shared" si="149"/>
        <v>1</v>
      </c>
      <c r="L888" s="676"/>
      <c r="M888" s="3236">
        <f t="shared" si="150"/>
        <v>1</v>
      </c>
      <c r="N888" s="676"/>
      <c r="O888" s="3236">
        <f t="shared" si="151"/>
        <v>1</v>
      </c>
      <c r="P888" s="676"/>
      <c r="Q888" s="3236">
        <f t="shared" si="152"/>
        <v>1</v>
      </c>
      <c r="R888" s="3237">
        <f t="shared" ca="1" si="153"/>
        <v>5764</v>
      </c>
      <c r="S888" s="1090">
        <f t="shared" ca="1" si="154"/>
        <v>19</v>
      </c>
    </row>
    <row r="889" spans="1:19">
      <c r="A889" s="674" t="str">
        <f>Sheet2!E869</f>
        <v>M1-014</v>
      </c>
      <c r="B889" s="3235">
        <f>Sheet2!F869</f>
        <v>39.090000000000003</v>
      </c>
      <c r="C889" s="3236">
        <f t="shared" si="145"/>
        <v>0.99</v>
      </c>
      <c r="D889" s="676"/>
      <c r="E889" s="3236">
        <f t="shared" si="146"/>
        <v>1</v>
      </c>
      <c r="F889" s="676"/>
      <c r="G889" s="3236">
        <f t="shared" si="147"/>
        <v>1</v>
      </c>
      <c r="H889" s="676"/>
      <c r="I889" s="3236">
        <f t="shared" si="148"/>
        <v>1</v>
      </c>
      <c r="J889" s="676"/>
      <c r="K889" s="3236">
        <f t="shared" si="149"/>
        <v>1</v>
      </c>
      <c r="L889" s="676"/>
      <c r="M889" s="3236">
        <f t="shared" si="150"/>
        <v>1</v>
      </c>
      <c r="N889" s="676"/>
      <c r="O889" s="3236">
        <f t="shared" si="151"/>
        <v>1</v>
      </c>
      <c r="P889" s="676"/>
      <c r="Q889" s="3236">
        <f t="shared" si="152"/>
        <v>1</v>
      </c>
      <c r="R889" s="3237">
        <f t="shared" ca="1" si="153"/>
        <v>5706</v>
      </c>
      <c r="S889" s="1090">
        <f t="shared" ca="1" si="154"/>
        <v>22</v>
      </c>
    </row>
    <row r="890" spans="1:19">
      <c r="A890" s="674" t="str">
        <f>Sheet2!E870</f>
        <v>M1-016</v>
      </c>
      <c r="B890" s="3235">
        <f>Sheet2!F870</f>
        <v>38.31</v>
      </c>
      <c r="C890" s="3236">
        <f t="shared" si="145"/>
        <v>0.99</v>
      </c>
      <c r="D890" s="676"/>
      <c r="E890" s="3236">
        <f t="shared" si="146"/>
        <v>1</v>
      </c>
      <c r="F890" s="676"/>
      <c r="G890" s="3236">
        <f t="shared" si="147"/>
        <v>1</v>
      </c>
      <c r="H890" s="676"/>
      <c r="I890" s="3236">
        <f t="shared" si="148"/>
        <v>1</v>
      </c>
      <c r="J890" s="676"/>
      <c r="K890" s="3236">
        <f t="shared" si="149"/>
        <v>1</v>
      </c>
      <c r="L890" s="676"/>
      <c r="M890" s="3236">
        <f t="shared" si="150"/>
        <v>1</v>
      </c>
      <c r="N890" s="676"/>
      <c r="O890" s="3236">
        <f t="shared" si="151"/>
        <v>1</v>
      </c>
      <c r="P890" s="676"/>
      <c r="Q890" s="3236">
        <f t="shared" si="152"/>
        <v>1</v>
      </c>
      <c r="R890" s="3237">
        <f t="shared" ca="1" si="153"/>
        <v>5706</v>
      </c>
      <c r="S890" s="1090">
        <f t="shared" ca="1" si="154"/>
        <v>22</v>
      </c>
    </row>
    <row r="891" spans="1:19">
      <c r="A891" s="674" t="str">
        <f>Sheet2!E871</f>
        <v>M1-032</v>
      </c>
      <c r="B891" s="3235">
        <f>Sheet2!F871</f>
        <v>39.090000000000003</v>
      </c>
      <c r="C891" s="3236">
        <f t="shared" si="145"/>
        <v>0.99</v>
      </c>
      <c r="D891" s="676"/>
      <c r="E891" s="3236">
        <f t="shared" si="146"/>
        <v>1</v>
      </c>
      <c r="F891" s="676"/>
      <c r="G891" s="3236">
        <f t="shared" si="147"/>
        <v>1</v>
      </c>
      <c r="H891" s="676"/>
      <c r="I891" s="3236">
        <f t="shared" si="148"/>
        <v>1</v>
      </c>
      <c r="J891" s="676"/>
      <c r="K891" s="3236">
        <f t="shared" si="149"/>
        <v>1</v>
      </c>
      <c r="L891" s="676"/>
      <c r="M891" s="3236">
        <f t="shared" si="150"/>
        <v>1</v>
      </c>
      <c r="N891" s="676"/>
      <c r="O891" s="3236">
        <f t="shared" si="151"/>
        <v>1</v>
      </c>
      <c r="P891" s="676"/>
      <c r="Q891" s="3236">
        <f t="shared" si="152"/>
        <v>1</v>
      </c>
      <c r="R891" s="3237">
        <f t="shared" ca="1" si="153"/>
        <v>5706</v>
      </c>
      <c r="S891" s="1090">
        <f t="shared" ca="1" si="154"/>
        <v>22</v>
      </c>
    </row>
    <row r="892" spans="1:19">
      <c r="A892" s="674" t="str">
        <f>Sheet2!E872</f>
        <v>M1-033</v>
      </c>
      <c r="B892" s="3235">
        <f>Sheet2!F872</f>
        <v>39.090000000000003</v>
      </c>
      <c r="C892" s="3236">
        <f t="shared" si="145"/>
        <v>0.99</v>
      </c>
      <c r="D892" s="676"/>
      <c r="E892" s="3236">
        <f t="shared" si="146"/>
        <v>1</v>
      </c>
      <c r="F892" s="676"/>
      <c r="G892" s="3236">
        <f t="shared" si="147"/>
        <v>1</v>
      </c>
      <c r="H892" s="676"/>
      <c r="I892" s="3236">
        <f t="shared" si="148"/>
        <v>1</v>
      </c>
      <c r="J892" s="676"/>
      <c r="K892" s="3236">
        <f t="shared" si="149"/>
        <v>1</v>
      </c>
      <c r="L892" s="676"/>
      <c r="M892" s="3236">
        <f t="shared" si="150"/>
        <v>1</v>
      </c>
      <c r="N892" s="676"/>
      <c r="O892" s="3236">
        <f t="shared" si="151"/>
        <v>1</v>
      </c>
      <c r="P892" s="676"/>
      <c r="Q892" s="3236">
        <f t="shared" si="152"/>
        <v>1</v>
      </c>
      <c r="R892" s="3237">
        <f t="shared" ca="1" si="153"/>
        <v>5706</v>
      </c>
      <c r="S892" s="1090">
        <f t="shared" ca="1" si="154"/>
        <v>22</v>
      </c>
    </row>
    <row r="893" spans="1:19">
      <c r="A893" s="674" t="str">
        <f>Sheet2!E873</f>
        <v>M1-034</v>
      </c>
      <c r="B893" s="3235">
        <f>Sheet2!F873</f>
        <v>36.74</v>
      </c>
      <c r="C893" s="3236">
        <f t="shared" si="145"/>
        <v>0.99</v>
      </c>
      <c r="D893" s="676"/>
      <c r="E893" s="3236">
        <f t="shared" si="146"/>
        <v>1</v>
      </c>
      <c r="F893" s="676"/>
      <c r="G893" s="3236">
        <f t="shared" si="147"/>
        <v>1</v>
      </c>
      <c r="H893" s="676"/>
      <c r="I893" s="3236">
        <f t="shared" si="148"/>
        <v>1</v>
      </c>
      <c r="J893" s="676"/>
      <c r="K893" s="3236">
        <f t="shared" si="149"/>
        <v>1</v>
      </c>
      <c r="L893" s="676"/>
      <c r="M893" s="3236">
        <f t="shared" si="150"/>
        <v>1</v>
      </c>
      <c r="N893" s="676"/>
      <c r="O893" s="3236">
        <f t="shared" si="151"/>
        <v>1</v>
      </c>
      <c r="P893" s="676"/>
      <c r="Q893" s="3236">
        <f t="shared" si="152"/>
        <v>1</v>
      </c>
      <c r="R893" s="3237">
        <f t="shared" ca="1" si="153"/>
        <v>5706</v>
      </c>
      <c r="S893" s="1090">
        <f t="shared" ca="1" si="154"/>
        <v>21</v>
      </c>
    </row>
    <row r="894" spans="1:19">
      <c r="A894" s="674" t="str">
        <f>Sheet2!E874</f>
        <v>M1-035</v>
      </c>
      <c r="B894" s="3235">
        <f>Sheet2!F874</f>
        <v>36.74</v>
      </c>
      <c r="C894" s="3236">
        <f t="shared" si="145"/>
        <v>0.99</v>
      </c>
      <c r="D894" s="676"/>
      <c r="E894" s="3236">
        <f t="shared" si="146"/>
        <v>1</v>
      </c>
      <c r="F894" s="676"/>
      <c r="G894" s="3236">
        <f t="shared" si="147"/>
        <v>1</v>
      </c>
      <c r="H894" s="676"/>
      <c r="I894" s="3236">
        <f t="shared" si="148"/>
        <v>1</v>
      </c>
      <c r="J894" s="676"/>
      <c r="K894" s="3236">
        <f t="shared" si="149"/>
        <v>1</v>
      </c>
      <c r="L894" s="676"/>
      <c r="M894" s="3236">
        <f t="shared" si="150"/>
        <v>1</v>
      </c>
      <c r="N894" s="676"/>
      <c r="O894" s="3236">
        <f t="shared" si="151"/>
        <v>1</v>
      </c>
      <c r="P894" s="676"/>
      <c r="Q894" s="3236">
        <f t="shared" si="152"/>
        <v>1</v>
      </c>
      <c r="R894" s="3237">
        <f t="shared" ca="1" si="153"/>
        <v>5706</v>
      </c>
      <c r="S894" s="1090">
        <f t="shared" ca="1" si="154"/>
        <v>21</v>
      </c>
    </row>
    <row r="895" spans="1:19">
      <c r="A895" s="674" t="str">
        <f>Sheet2!E875</f>
        <v>M1-037</v>
      </c>
      <c r="B895" s="3235">
        <f>Sheet2!F875</f>
        <v>36.74</v>
      </c>
      <c r="C895" s="3236">
        <f t="shared" si="145"/>
        <v>0.99</v>
      </c>
      <c r="D895" s="676"/>
      <c r="E895" s="3236">
        <f t="shared" si="146"/>
        <v>1</v>
      </c>
      <c r="F895" s="676"/>
      <c r="G895" s="3236">
        <f t="shared" si="147"/>
        <v>1</v>
      </c>
      <c r="H895" s="676"/>
      <c r="I895" s="3236">
        <f t="shared" si="148"/>
        <v>1</v>
      </c>
      <c r="J895" s="676"/>
      <c r="K895" s="3236">
        <f t="shared" si="149"/>
        <v>1</v>
      </c>
      <c r="L895" s="676"/>
      <c r="M895" s="3236">
        <f t="shared" si="150"/>
        <v>1</v>
      </c>
      <c r="N895" s="676"/>
      <c r="O895" s="3236">
        <f t="shared" si="151"/>
        <v>1</v>
      </c>
      <c r="P895" s="676"/>
      <c r="Q895" s="3236">
        <f t="shared" si="152"/>
        <v>1</v>
      </c>
      <c r="R895" s="3237">
        <f t="shared" ca="1" si="153"/>
        <v>5706</v>
      </c>
      <c r="S895" s="1090">
        <f t="shared" ca="1" si="154"/>
        <v>21</v>
      </c>
    </row>
    <row r="896" spans="1:19">
      <c r="A896" s="674" t="str">
        <f>Sheet2!E876</f>
        <v>M1-038</v>
      </c>
      <c r="B896" s="3235">
        <f>Sheet2!F876</f>
        <v>36.74</v>
      </c>
      <c r="C896" s="3236">
        <f t="shared" si="145"/>
        <v>0.99</v>
      </c>
      <c r="D896" s="676"/>
      <c r="E896" s="3236">
        <f t="shared" si="146"/>
        <v>1</v>
      </c>
      <c r="F896" s="676"/>
      <c r="G896" s="3236">
        <f t="shared" si="147"/>
        <v>1</v>
      </c>
      <c r="H896" s="676"/>
      <c r="I896" s="3236">
        <f t="shared" si="148"/>
        <v>1</v>
      </c>
      <c r="J896" s="676"/>
      <c r="K896" s="3236">
        <f t="shared" si="149"/>
        <v>1</v>
      </c>
      <c r="L896" s="676"/>
      <c r="M896" s="3236">
        <f t="shared" si="150"/>
        <v>1</v>
      </c>
      <c r="N896" s="676"/>
      <c r="O896" s="3236">
        <f t="shared" si="151"/>
        <v>1</v>
      </c>
      <c r="P896" s="676"/>
      <c r="Q896" s="3236">
        <f t="shared" si="152"/>
        <v>1</v>
      </c>
      <c r="R896" s="3237">
        <f t="shared" ca="1" si="153"/>
        <v>5706</v>
      </c>
      <c r="S896" s="1090">
        <f t="shared" ca="1" si="154"/>
        <v>21</v>
      </c>
    </row>
    <row r="897" spans="1:19">
      <c r="A897" s="674" t="str">
        <f>Sheet2!E877</f>
        <v>M1-040</v>
      </c>
      <c r="B897" s="3235">
        <f>Sheet2!F877</f>
        <v>39.090000000000003</v>
      </c>
      <c r="C897" s="3236">
        <f t="shared" si="145"/>
        <v>0.99</v>
      </c>
      <c r="D897" s="676"/>
      <c r="E897" s="3236">
        <f t="shared" si="146"/>
        <v>1</v>
      </c>
      <c r="F897" s="676"/>
      <c r="G897" s="3236">
        <f t="shared" si="147"/>
        <v>1</v>
      </c>
      <c r="H897" s="676"/>
      <c r="I897" s="3236">
        <f t="shared" si="148"/>
        <v>1</v>
      </c>
      <c r="J897" s="676"/>
      <c r="K897" s="3236">
        <f t="shared" si="149"/>
        <v>1</v>
      </c>
      <c r="L897" s="676"/>
      <c r="M897" s="3236">
        <f t="shared" si="150"/>
        <v>1</v>
      </c>
      <c r="N897" s="676"/>
      <c r="O897" s="3236">
        <f t="shared" si="151"/>
        <v>1</v>
      </c>
      <c r="P897" s="676"/>
      <c r="Q897" s="3236">
        <f t="shared" si="152"/>
        <v>1</v>
      </c>
      <c r="R897" s="3237">
        <f t="shared" ca="1" si="153"/>
        <v>5706</v>
      </c>
      <c r="S897" s="1090">
        <f t="shared" ca="1" si="154"/>
        <v>22</v>
      </c>
    </row>
    <row r="898" spans="1:19">
      <c r="A898" s="674" t="str">
        <f>Sheet2!E878</f>
        <v>M1-041</v>
      </c>
      <c r="B898" s="3235">
        <f>Sheet2!F878</f>
        <v>39.090000000000003</v>
      </c>
      <c r="C898" s="3236">
        <f t="shared" si="145"/>
        <v>0.99</v>
      </c>
      <c r="D898" s="676"/>
      <c r="E898" s="3236">
        <f t="shared" si="146"/>
        <v>1</v>
      </c>
      <c r="F898" s="676"/>
      <c r="G898" s="3236">
        <f t="shared" si="147"/>
        <v>1</v>
      </c>
      <c r="H898" s="676"/>
      <c r="I898" s="3236">
        <f t="shared" si="148"/>
        <v>1</v>
      </c>
      <c r="J898" s="676"/>
      <c r="K898" s="3236">
        <f t="shared" si="149"/>
        <v>1</v>
      </c>
      <c r="L898" s="676"/>
      <c r="M898" s="3236">
        <f t="shared" si="150"/>
        <v>1</v>
      </c>
      <c r="N898" s="676"/>
      <c r="O898" s="3236">
        <f t="shared" si="151"/>
        <v>1</v>
      </c>
      <c r="P898" s="676"/>
      <c r="Q898" s="3236">
        <f t="shared" si="152"/>
        <v>1</v>
      </c>
      <c r="R898" s="3237">
        <f t="shared" ca="1" si="153"/>
        <v>5706</v>
      </c>
      <c r="S898" s="1090">
        <f t="shared" ca="1" si="154"/>
        <v>22</v>
      </c>
    </row>
    <row r="899" spans="1:19">
      <c r="A899" s="674" t="str">
        <f>Sheet2!E879</f>
        <v>M1-042</v>
      </c>
      <c r="B899" s="3235">
        <f>Sheet2!F879</f>
        <v>39.090000000000003</v>
      </c>
      <c r="C899" s="3236">
        <f t="shared" si="145"/>
        <v>0.99</v>
      </c>
      <c r="D899" s="676"/>
      <c r="E899" s="3236">
        <f t="shared" si="146"/>
        <v>1</v>
      </c>
      <c r="F899" s="676"/>
      <c r="G899" s="3236">
        <f t="shared" si="147"/>
        <v>1</v>
      </c>
      <c r="H899" s="676"/>
      <c r="I899" s="3236">
        <f t="shared" si="148"/>
        <v>1</v>
      </c>
      <c r="J899" s="676"/>
      <c r="K899" s="3236">
        <f t="shared" si="149"/>
        <v>1</v>
      </c>
      <c r="L899" s="676"/>
      <c r="M899" s="3236">
        <f t="shared" si="150"/>
        <v>1</v>
      </c>
      <c r="N899" s="676"/>
      <c r="O899" s="3236">
        <f t="shared" si="151"/>
        <v>1</v>
      </c>
      <c r="P899" s="676"/>
      <c r="Q899" s="3236">
        <f t="shared" si="152"/>
        <v>1</v>
      </c>
      <c r="R899" s="3237">
        <f t="shared" ca="1" si="153"/>
        <v>5706</v>
      </c>
      <c r="S899" s="1090">
        <f t="shared" ca="1" si="154"/>
        <v>22</v>
      </c>
    </row>
    <row r="900" spans="1:19">
      <c r="A900" s="674" t="str">
        <f>Sheet2!E880</f>
        <v>M1-043</v>
      </c>
      <c r="B900" s="3235">
        <f>Sheet2!F880</f>
        <v>39.090000000000003</v>
      </c>
      <c r="C900" s="3236">
        <f t="shared" si="145"/>
        <v>0.99</v>
      </c>
      <c r="D900" s="676"/>
      <c r="E900" s="3236">
        <f t="shared" si="146"/>
        <v>1</v>
      </c>
      <c r="F900" s="676"/>
      <c r="G900" s="3236">
        <f t="shared" si="147"/>
        <v>1</v>
      </c>
      <c r="H900" s="676"/>
      <c r="I900" s="3236">
        <f t="shared" si="148"/>
        <v>1</v>
      </c>
      <c r="J900" s="676"/>
      <c r="K900" s="3236">
        <f t="shared" si="149"/>
        <v>1</v>
      </c>
      <c r="L900" s="676"/>
      <c r="M900" s="3236">
        <f t="shared" si="150"/>
        <v>1</v>
      </c>
      <c r="N900" s="676"/>
      <c r="O900" s="3236">
        <f t="shared" si="151"/>
        <v>1</v>
      </c>
      <c r="P900" s="676"/>
      <c r="Q900" s="3236">
        <f t="shared" si="152"/>
        <v>1</v>
      </c>
      <c r="R900" s="3237">
        <f t="shared" ca="1" si="153"/>
        <v>5706</v>
      </c>
      <c r="S900" s="1090">
        <f t="shared" ca="1" si="154"/>
        <v>22</v>
      </c>
    </row>
    <row r="901" spans="1:19">
      <c r="A901" s="674" t="str">
        <f>Sheet2!E881</f>
        <v>M1-044</v>
      </c>
      <c r="B901" s="3235">
        <f>Sheet2!F881</f>
        <v>39.090000000000003</v>
      </c>
      <c r="C901" s="3236">
        <f t="shared" si="145"/>
        <v>0.99</v>
      </c>
      <c r="D901" s="676"/>
      <c r="E901" s="3236">
        <f t="shared" si="146"/>
        <v>1</v>
      </c>
      <c r="F901" s="676"/>
      <c r="G901" s="3236">
        <f t="shared" si="147"/>
        <v>1</v>
      </c>
      <c r="H901" s="676"/>
      <c r="I901" s="3236">
        <f t="shared" si="148"/>
        <v>1</v>
      </c>
      <c r="J901" s="676"/>
      <c r="K901" s="3236">
        <f t="shared" si="149"/>
        <v>1</v>
      </c>
      <c r="L901" s="676"/>
      <c r="M901" s="3236">
        <f t="shared" si="150"/>
        <v>1</v>
      </c>
      <c r="N901" s="676"/>
      <c r="O901" s="3236">
        <f t="shared" si="151"/>
        <v>1</v>
      </c>
      <c r="P901" s="676"/>
      <c r="Q901" s="3236">
        <f t="shared" si="152"/>
        <v>1</v>
      </c>
      <c r="R901" s="3237">
        <f t="shared" ca="1" si="153"/>
        <v>5706</v>
      </c>
      <c r="S901" s="1090">
        <f t="shared" ca="1" si="154"/>
        <v>22</v>
      </c>
    </row>
    <row r="902" spans="1:19">
      <c r="A902" s="674" t="str">
        <f>Sheet2!E882</f>
        <v>M1-045</v>
      </c>
      <c r="B902" s="3235">
        <f>Sheet2!F882</f>
        <v>39.090000000000003</v>
      </c>
      <c r="C902" s="3236">
        <f t="shared" si="145"/>
        <v>0.99</v>
      </c>
      <c r="D902" s="676"/>
      <c r="E902" s="3236">
        <f t="shared" si="146"/>
        <v>1</v>
      </c>
      <c r="F902" s="676"/>
      <c r="G902" s="3236">
        <f t="shared" si="147"/>
        <v>1</v>
      </c>
      <c r="H902" s="676"/>
      <c r="I902" s="3236">
        <f t="shared" si="148"/>
        <v>1</v>
      </c>
      <c r="J902" s="676"/>
      <c r="K902" s="3236">
        <f t="shared" si="149"/>
        <v>1</v>
      </c>
      <c r="L902" s="676"/>
      <c r="M902" s="3236">
        <f t="shared" si="150"/>
        <v>1</v>
      </c>
      <c r="N902" s="676"/>
      <c r="O902" s="3236">
        <f t="shared" si="151"/>
        <v>1</v>
      </c>
      <c r="P902" s="676"/>
      <c r="Q902" s="3236">
        <f t="shared" si="152"/>
        <v>1</v>
      </c>
      <c r="R902" s="3237">
        <f t="shared" ca="1" si="153"/>
        <v>5706</v>
      </c>
      <c r="S902" s="1090">
        <f t="shared" ca="1" si="154"/>
        <v>22</v>
      </c>
    </row>
    <row r="903" spans="1:19">
      <c r="A903" s="674" t="str">
        <f>Sheet2!E883</f>
        <v>M1-046</v>
      </c>
      <c r="B903" s="3235">
        <f>Sheet2!F883</f>
        <v>36.74</v>
      </c>
      <c r="C903" s="3236">
        <f t="shared" si="145"/>
        <v>0.99</v>
      </c>
      <c r="D903" s="676"/>
      <c r="E903" s="3236">
        <f t="shared" si="146"/>
        <v>1</v>
      </c>
      <c r="F903" s="676"/>
      <c r="G903" s="3236">
        <f t="shared" si="147"/>
        <v>1</v>
      </c>
      <c r="H903" s="676"/>
      <c r="I903" s="3236">
        <f t="shared" si="148"/>
        <v>1</v>
      </c>
      <c r="J903" s="676"/>
      <c r="K903" s="3236">
        <f t="shared" si="149"/>
        <v>1</v>
      </c>
      <c r="L903" s="676"/>
      <c r="M903" s="3236">
        <f t="shared" si="150"/>
        <v>1</v>
      </c>
      <c r="N903" s="676"/>
      <c r="O903" s="3236">
        <f t="shared" si="151"/>
        <v>1</v>
      </c>
      <c r="P903" s="676"/>
      <c r="Q903" s="3236">
        <f t="shared" si="152"/>
        <v>1</v>
      </c>
      <c r="R903" s="3237">
        <f t="shared" ca="1" si="153"/>
        <v>5706</v>
      </c>
      <c r="S903" s="1090">
        <f t="shared" ca="1" si="154"/>
        <v>21</v>
      </c>
    </row>
    <row r="904" spans="1:19">
      <c r="A904" s="674" t="str">
        <f>Sheet2!E884</f>
        <v>M1-047</v>
      </c>
      <c r="B904" s="3235">
        <f>Sheet2!F884</f>
        <v>36.74</v>
      </c>
      <c r="C904" s="3236">
        <f t="shared" si="145"/>
        <v>0.99</v>
      </c>
      <c r="D904" s="676"/>
      <c r="E904" s="3236">
        <f t="shared" si="146"/>
        <v>1</v>
      </c>
      <c r="F904" s="676"/>
      <c r="G904" s="3236">
        <f t="shared" si="147"/>
        <v>1</v>
      </c>
      <c r="H904" s="676"/>
      <c r="I904" s="3236">
        <f t="shared" si="148"/>
        <v>1</v>
      </c>
      <c r="J904" s="676"/>
      <c r="K904" s="3236">
        <f t="shared" si="149"/>
        <v>1</v>
      </c>
      <c r="L904" s="676"/>
      <c r="M904" s="3236">
        <f t="shared" si="150"/>
        <v>1</v>
      </c>
      <c r="N904" s="676"/>
      <c r="O904" s="3236">
        <f t="shared" si="151"/>
        <v>1</v>
      </c>
      <c r="P904" s="676"/>
      <c r="Q904" s="3236">
        <f t="shared" si="152"/>
        <v>1</v>
      </c>
      <c r="R904" s="3237">
        <f t="shared" ca="1" si="153"/>
        <v>5706</v>
      </c>
      <c r="S904" s="1090">
        <f t="shared" ca="1" si="154"/>
        <v>21</v>
      </c>
    </row>
    <row r="905" spans="1:19">
      <c r="A905" s="674" t="str">
        <f>Sheet2!E885</f>
        <v>M1-048</v>
      </c>
      <c r="B905" s="3235">
        <f>Sheet2!F885</f>
        <v>36.74</v>
      </c>
      <c r="C905" s="3236">
        <f t="shared" si="145"/>
        <v>0.99</v>
      </c>
      <c r="D905" s="676"/>
      <c r="E905" s="3236">
        <f t="shared" si="146"/>
        <v>1</v>
      </c>
      <c r="F905" s="676"/>
      <c r="G905" s="3236">
        <f t="shared" si="147"/>
        <v>1</v>
      </c>
      <c r="H905" s="676"/>
      <c r="I905" s="3236">
        <f t="shared" si="148"/>
        <v>1</v>
      </c>
      <c r="J905" s="676"/>
      <c r="K905" s="3236">
        <f t="shared" si="149"/>
        <v>1</v>
      </c>
      <c r="L905" s="676"/>
      <c r="M905" s="3236">
        <f t="shared" si="150"/>
        <v>1</v>
      </c>
      <c r="N905" s="676"/>
      <c r="O905" s="3236">
        <f t="shared" si="151"/>
        <v>1</v>
      </c>
      <c r="P905" s="676"/>
      <c r="Q905" s="3236">
        <f t="shared" si="152"/>
        <v>1</v>
      </c>
      <c r="R905" s="3237">
        <f t="shared" ca="1" si="153"/>
        <v>5706</v>
      </c>
      <c r="S905" s="1090">
        <f t="shared" ca="1" si="154"/>
        <v>21</v>
      </c>
    </row>
    <row r="906" spans="1:19">
      <c r="A906" s="674" t="str">
        <f>Sheet2!E886</f>
        <v>M1-049</v>
      </c>
      <c r="B906" s="3235">
        <f>Sheet2!F886</f>
        <v>36.74</v>
      </c>
      <c r="C906" s="3236">
        <f t="shared" si="145"/>
        <v>0.99</v>
      </c>
      <c r="D906" s="676"/>
      <c r="E906" s="3236">
        <f t="shared" si="146"/>
        <v>1</v>
      </c>
      <c r="F906" s="676"/>
      <c r="G906" s="3236">
        <f t="shared" si="147"/>
        <v>1</v>
      </c>
      <c r="H906" s="676"/>
      <c r="I906" s="3236">
        <f t="shared" si="148"/>
        <v>1</v>
      </c>
      <c r="J906" s="676"/>
      <c r="K906" s="3236">
        <f t="shared" si="149"/>
        <v>1</v>
      </c>
      <c r="L906" s="676"/>
      <c r="M906" s="3236">
        <f t="shared" si="150"/>
        <v>1</v>
      </c>
      <c r="N906" s="676"/>
      <c r="O906" s="3236">
        <f t="shared" si="151"/>
        <v>1</v>
      </c>
      <c r="P906" s="676"/>
      <c r="Q906" s="3236">
        <f t="shared" si="152"/>
        <v>1</v>
      </c>
      <c r="R906" s="3237">
        <f t="shared" ca="1" si="153"/>
        <v>5706</v>
      </c>
      <c r="S906" s="1090">
        <f t="shared" ca="1" si="154"/>
        <v>21</v>
      </c>
    </row>
    <row r="907" spans="1:19">
      <c r="A907" s="674" t="str">
        <f>Sheet2!E887</f>
        <v>M1-050</v>
      </c>
      <c r="B907" s="3235">
        <f>Sheet2!F887</f>
        <v>36.74</v>
      </c>
      <c r="C907" s="3236">
        <f t="shared" si="145"/>
        <v>0.99</v>
      </c>
      <c r="D907" s="676"/>
      <c r="E907" s="3236">
        <f t="shared" si="146"/>
        <v>1</v>
      </c>
      <c r="F907" s="676"/>
      <c r="G907" s="3236">
        <f t="shared" si="147"/>
        <v>1</v>
      </c>
      <c r="H907" s="676"/>
      <c r="I907" s="3236">
        <f t="shared" si="148"/>
        <v>1</v>
      </c>
      <c r="J907" s="676"/>
      <c r="K907" s="3236">
        <f t="shared" si="149"/>
        <v>1</v>
      </c>
      <c r="L907" s="676"/>
      <c r="M907" s="3236">
        <f t="shared" si="150"/>
        <v>1</v>
      </c>
      <c r="N907" s="676"/>
      <c r="O907" s="3236">
        <f t="shared" si="151"/>
        <v>1</v>
      </c>
      <c r="P907" s="676"/>
      <c r="Q907" s="3236">
        <f t="shared" si="152"/>
        <v>1</v>
      </c>
      <c r="R907" s="3237">
        <f t="shared" ca="1" si="153"/>
        <v>5706</v>
      </c>
      <c r="S907" s="1090">
        <f t="shared" ca="1" si="154"/>
        <v>21</v>
      </c>
    </row>
    <row r="908" spans="1:19">
      <c r="A908" s="674" t="str">
        <f>Sheet2!E888</f>
        <v>M1-051</v>
      </c>
      <c r="B908" s="3235">
        <f>Sheet2!F888</f>
        <v>36.74</v>
      </c>
      <c r="C908" s="3236">
        <f t="shared" si="145"/>
        <v>0.99</v>
      </c>
      <c r="D908" s="676"/>
      <c r="E908" s="3236">
        <f t="shared" si="146"/>
        <v>1</v>
      </c>
      <c r="F908" s="676"/>
      <c r="G908" s="3236">
        <f t="shared" si="147"/>
        <v>1</v>
      </c>
      <c r="H908" s="676"/>
      <c r="I908" s="3236">
        <f t="shared" si="148"/>
        <v>1</v>
      </c>
      <c r="J908" s="676"/>
      <c r="K908" s="3236">
        <f t="shared" si="149"/>
        <v>1</v>
      </c>
      <c r="L908" s="676"/>
      <c r="M908" s="3236">
        <f t="shared" si="150"/>
        <v>1</v>
      </c>
      <c r="N908" s="676"/>
      <c r="O908" s="3236">
        <f t="shared" si="151"/>
        <v>1</v>
      </c>
      <c r="P908" s="676"/>
      <c r="Q908" s="3236">
        <f t="shared" si="152"/>
        <v>1</v>
      </c>
      <c r="R908" s="3237">
        <f t="shared" ca="1" si="153"/>
        <v>5706</v>
      </c>
      <c r="S908" s="1090">
        <f t="shared" ca="1" si="154"/>
        <v>21</v>
      </c>
    </row>
    <row r="909" spans="1:19">
      <c r="A909" s="674" t="str">
        <f>Sheet2!E889</f>
        <v>M1-052</v>
      </c>
      <c r="B909" s="3235">
        <f>Sheet2!F889</f>
        <v>39.090000000000003</v>
      </c>
      <c r="C909" s="3236">
        <f t="shared" ref="C909:C972" si="155">IF(B909="",1,(LOOKUP(B909,$3:$3,$4:$4)-LOOKUP($B$24,$3:$3,$4:$4)+100)/100)</f>
        <v>0.99</v>
      </c>
      <c r="D909" s="676"/>
      <c r="E909" s="3236">
        <f t="shared" ref="E909:E972" si="156">(SUMIF($5:$5,D909,$6:$6)-SUMIF($5:$5,$D$24,$6:$6)+100)/100</f>
        <v>1</v>
      </c>
      <c r="F909" s="676"/>
      <c r="G909" s="3236">
        <f t="shared" ref="G909:G972" si="157">(SUMIF($7:$7,F909,$8:$8)-SUMIF($7:$7,$F$24,$8:$8)+100)/100</f>
        <v>1</v>
      </c>
      <c r="H909" s="676"/>
      <c r="I909" s="3236">
        <f t="shared" ref="I909:I972" si="158">(SUMIF($9:$9,H909,$10:$10)-SUMIF($9:$9,$H$24,$10:$10)+100)/100</f>
        <v>1</v>
      </c>
      <c r="J909" s="676"/>
      <c r="K909" s="3236">
        <f t="shared" ref="K909:K972" si="159">(SUMIF($11:$11,J909,$12:$12)-SUMIF($11:$11,$J$24,$12:$12)+100)/100</f>
        <v>1</v>
      </c>
      <c r="L909" s="676"/>
      <c r="M909" s="3236">
        <f t="shared" ref="M909:M972" si="160">(SUMIF($13:$13,L909,$14:$14)-SUMIF($13:$13,$L$24,$14:$14)+100)/100</f>
        <v>1</v>
      </c>
      <c r="N909" s="676"/>
      <c r="O909" s="3236">
        <f t="shared" ref="O909:O972" si="161">(SUMIF($15:$15,N909,$16:$16)-SUMIF($15:$15,$N$24,$16:$16)+100)/100</f>
        <v>1</v>
      </c>
      <c r="P909" s="676"/>
      <c r="Q909" s="3236">
        <f t="shared" ref="Q909:Q972" si="162">(SUMIF($17:$17,P909,$18:$18)-SUMIF($17:$17,$P$24,$18:$18)+100)/100</f>
        <v>1</v>
      </c>
      <c r="R909" s="3237">
        <f t="shared" ref="R909:R972" ca="1" si="163">IF(B909="",0,ROUND($R$24*C909*E909*G909*I909*K909*M909*O909*Q909,0))</f>
        <v>5706</v>
      </c>
      <c r="S909" s="1090">
        <f t="shared" ref="S909:S972" ca="1" si="164">ROUND(R909*B909/10000,0)</f>
        <v>22</v>
      </c>
    </row>
    <row r="910" spans="1:19">
      <c r="A910" s="674" t="str">
        <f>Sheet2!E890</f>
        <v>M1-053</v>
      </c>
      <c r="B910" s="3235">
        <f>Sheet2!F890</f>
        <v>39.090000000000003</v>
      </c>
      <c r="C910" s="3236">
        <f t="shared" si="155"/>
        <v>0.99</v>
      </c>
      <c r="D910" s="676"/>
      <c r="E910" s="3236">
        <f t="shared" si="156"/>
        <v>1</v>
      </c>
      <c r="F910" s="676"/>
      <c r="G910" s="3236">
        <f t="shared" si="157"/>
        <v>1</v>
      </c>
      <c r="H910" s="676"/>
      <c r="I910" s="3236">
        <f t="shared" si="158"/>
        <v>1</v>
      </c>
      <c r="J910" s="676"/>
      <c r="K910" s="3236">
        <f t="shared" si="159"/>
        <v>1</v>
      </c>
      <c r="L910" s="676"/>
      <c r="M910" s="3236">
        <f t="shared" si="160"/>
        <v>1</v>
      </c>
      <c r="N910" s="676"/>
      <c r="O910" s="3236">
        <f t="shared" si="161"/>
        <v>1</v>
      </c>
      <c r="P910" s="676"/>
      <c r="Q910" s="3236">
        <f t="shared" si="162"/>
        <v>1</v>
      </c>
      <c r="R910" s="3237">
        <f t="shared" ca="1" si="163"/>
        <v>5706</v>
      </c>
      <c r="S910" s="1090">
        <f t="shared" ca="1" si="164"/>
        <v>22</v>
      </c>
    </row>
    <row r="911" spans="1:19">
      <c r="A911" s="674" t="str">
        <f>Sheet2!E891</f>
        <v>M1-054</v>
      </c>
      <c r="B911" s="3235">
        <f>Sheet2!F891</f>
        <v>39.090000000000003</v>
      </c>
      <c r="C911" s="3236">
        <f t="shared" si="155"/>
        <v>0.99</v>
      </c>
      <c r="D911" s="676"/>
      <c r="E911" s="3236">
        <f t="shared" si="156"/>
        <v>1</v>
      </c>
      <c r="F911" s="676"/>
      <c r="G911" s="3236">
        <f t="shared" si="157"/>
        <v>1</v>
      </c>
      <c r="H911" s="676"/>
      <c r="I911" s="3236">
        <f t="shared" si="158"/>
        <v>1</v>
      </c>
      <c r="J911" s="676"/>
      <c r="K911" s="3236">
        <f t="shared" si="159"/>
        <v>1</v>
      </c>
      <c r="L911" s="676"/>
      <c r="M911" s="3236">
        <f t="shared" si="160"/>
        <v>1</v>
      </c>
      <c r="N911" s="676"/>
      <c r="O911" s="3236">
        <f t="shared" si="161"/>
        <v>1</v>
      </c>
      <c r="P911" s="676"/>
      <c r="Q911" s="3236">
        <f t="shared" si="162"/>
        <v>1</v>
      </c>
      <c r="R911" s="3237">
        <f t="shared" ca="1" si="163"/>
        <v>5706</v>
      </c>
      <c r="S911" s="1090">
        <f t="shared" ca="1" si="164"/>
        <v>22</v>
      </c>
    </row>
    <row r="912" spans="1:19">
      <c r="A912" s="674" t="str">
        <f>Sheet2!E892</f>
        <v>M1-055</v>
      </c>
      <c r="B912" s="3235">
        <f>Sheet2!F892</f>
        <v>39.090000000000003</v>
      </c>
      <c r="C912" s="3236">
        <f t="shared" si="155"/>
        <v>0.99</v>
      </c>
      <c r="D912" s="676"/>
      <c r="E912" s="3236">
        <f t="shared" si="156"/>
        <v>1</v>
      </c>
      <c r="F912" s="676"/>
      <c r="G912" s="3236">
        <f t="shared" si="157"/>
        <v>1</v>
      </c>
      <c r="H912" s="676"/>
      <c r="I912" s="3236">
        <f t="shared" si="158"/>
        <v>1</v>
      </c>
      <c r="J912" s="676"/>
      <c r="K912" s="3236">
        <f t="shared" si="159"/>
        <v>1</v>
      </c>
      <c r="L912" s="676"/>
      <c r="M912" s="3236">
        <f t="shared" si="160"/>
        <v>1</v>
      </c>
      <c r="N912" s="676"/>
      <c r="O912" s="3236">
        <f t="shared" si="161"/>
        <v>1</v>
      </c>
      <c r="P912" s="676"/>
      <c r="Q912" s="3236">
        <f t="shared" si="162"/>
        <v>1</v>
      </c>
      <c r="R912" s="3237">
        <f t="shared" ca="1" si="163"/>
        <v>5706</v>
      </c>
      <c r="S912" s="1090">
        <f t="shared" ca="1" si="164"/>
        <v>22</v>
      </c>
    </row>
    <row r="913" spans="1:19">
      <c r="A913" s="674" t="str">
        <f>Sheet2!E893</f>
        <v>M1-056</v>
      </c>
      <c r="B913" s="3235">
        <f>Sheet2!F893</f>
        <v>39.090000000000003</v>
      </c>
      <c r="C913" s="3236">
        <f t="shared" si="155"/>
        <v>0.99</v>
      </c>
      <c r="D913" s="676"/>
      <c r="E913" s="3236">
        <f t="shared" si="156"/>
        <v>1</v>
      </c>
      <c r="F913" s="676"/>
      <c r="G913" s="3236">
        <f t="shared" si="157"/>
        <v>1</v>
      </c>
      <c r="H913" s="676"/>
      <c r="I913" s="3236">
        <f t="shared" si="158"/>
        <v>1</v>
      </c>
      <c r="J913" s="676"/>
      <c r="K913" s="3236">
        <f t="shared" si="159"/>
        <v>1</v>
      </c>
      <c r="L913" s="676"/>
      <c r="M913" s="3236">
        <f t="shared" si="160"/>
        <v>1</v>
      </c>
      <c r="N913" s="676"/>
      <c r="O913" s="3236">
        <f t="shared" si="161"/>
        <v>1</v>
      </c>
      <c r="P913" s="676"/>
      <c r="Q913" s="3236">
        <f t="shared" si="162"/>
        <v>1</v>
      </c>
      <c r="R913" s="3237">
        <f t="shared" ca="1" si="163"/>
        <v>5706</v>
      </c>
      <c r="S913" s="1090">
        <f t="shared" ca="1" si="164"/>
        <v>22</v>
      </c>
    </row>
    <row r="914" spans="1:19">
      <c r="A914" s="674" t="str">
        <f>Sheet2!E894</f>
        <v>M1-057</v>
      </c>
      <c r="B914" s="3235">
        <f>Sheet2!F894</f>
        <v>39.090000000000003</v>
      </c>
      <c r="C914" s="3236">
        <f t="shared" si="155"/>
        <v>0.99</v>
      </c>
      <c r="D914" s="676"/>
      <c r="E914" s="3236">
        <f t="shared" si="156"/>
        <v>1</v>
      </c>
      <c r="F914" s="676"/>
      <c r="G914" s="3236">
        <f t="shared" si="157"/>
        <v>1</v>
      </c>
      <c r="H914" s="676"/>
      <c r="I914" s="3236">
        <f t="shared" si="158"/>
        <v>1</v>
      </c>
      <c r="J914" s="676"/>
      <c r="K914" s="3236">
        <f t="shared" si="159"/>
        <v>1</v>
      </c>
      <c r="L914" s="676"/>
      <c r="M914" s="3236">
        <f t="shared" si="160"/>
        <v>1</v>
      </c>
      <c r="N914" s="676"/>
      <c r="O914" s="3236">
        <f t="shared" si="161"/>
        <v>1</v>
      </c>
      <c r="P914" s="676"/>
      <c r="Q914" s="3236">
        <f t="shared" si="162"/>
        <v>1</v>
      </c>
      <c r="R914" s="3237">
        <f t="shared" ca="1" si="163"/>
        <v>5706</v>
      </c>
      <c r="S914" s="1090">
        <f t="shared" ca="1" si="164"/>
        <v>22</v>
      </c>
    </row>
    <row r="915" spans="1:19">
      <c r="A915" s="674" t="str">
        <f>Sheet2!E895</f>
        <v>M1-058</v>
      </c>
      <c r="B915" s="3235">
        <f>Sheet2!F895</f>
        <v>39.090000000000003</v>
      </c>
      <c r="C915" s="3236">
        <f t="shared" si="155"/>
        <v>0.99</v>
      </c>
      <c r="D915" s="676"/>
      <c r="E915" s="3236">
        <f t="shared" si="156"/>
        <v>1</v>
      </c>
      <c r="F915" s="676"/>
      <c r="G915" s="3236">
        <f t="shared" si="157"/>
        <v>1</v>
      </c>
      <c r="H915" s="676"/>
      <c r="I915" s="3236">
        <f t="shared" si="158"/>
        <v>1</v>
      </c>
      <c r="J915" s="676"/>
      <c r="K915" s="3236">
        <f t="shared" si="159"/>
        <v>1</v>
      </c>
      <c r="L915" s="676"/>
      <c r="M915" s="3236">
        <f t="shared" si="160"/>
        <v>1</v>
      </c>
      <c r="N915" s="676"/>
      <c r="O915" s="3236">
        <f t="shared" si="161"/>
        <v>1</v>
      </c>
      <c r="P915" s="676"/>
      <c r="Q915" s="3236">
        <f t="shared" si="162"/>
        <v>1</v>
      </c>
      <c r="R915" s="3237">
        <f t="shared" ca="1" si="163"/>
        <v>5706</v>
      </c>
      <c r="S915" s="1090">
        <f t="shared" ca="1" si="164"/>
        <v>22</v>
      </c>
    </row>
    <row r="916" spans="1:19">
      <c r="A916" s="674" t="str">
        <f>Sheet2!E896</f>
        <v>M1-059</v>
      </c>
      <c r="B916" s="3235">
        <f>Sheet2!F896</f>
        <v>39.090000000000003</v>
      </c>
      <c r="C916" s="3236">
        <f t="shared" si="155"/>
        <v>0.99</v>
      </c>
      <c r="D916" s="676"/>
      <c r="E916" s="3236">
        <f t="shared" si="156"/>
        <v>1</v>
      </c>
      <c r="F916" s="676"/>
      <c r="G916" s="3236">
        <f t="shared" si="157"/>
        <v>1</v>
      </c>
      <c r="H916" s="676"/>
      <c r="I916" s="3236">
        <f t="shared" si="158"/>
        <v>1</v>
      </c>
      <c r="J916" s="676"/>
      <c r="K916" s="3236">
        <f t="shared" si="159"/>
        <v>1</v>
      </c>
      <c r="L916" s="676"/>
      <c r="M916" s="3236">
        <f t="shared" si="160"/>
        <v>1</v>
      </c>
      <c r="N916" s="676"/>
      <c r="O916" s="3236">
        <f t="shared" si="161"/>
        <v>1</v>
      </c>
      <c r="P916" s="676"/>
      <c r="Q916" s="3236">
        <f t="shared" si="162"/>
        <v>1</v>
      </c>
      <c r="R916" s="3237">
        <f t="shared" ca="1" si="163"/>
        <v>5706</v>
      </c>
      <c r="S916" s="1090">
        <f t="shared" ca="1" si="164"/>
        <v>22</v>
      </c>
    </row>
    <row r="917" spans="1:19">
      <c r="A917" s="674" t="str">
        <f>Sheet2!E897</f>
        <v>M1-060</v>
      </c>
      <c r="B917" s="3235">
        <f>Sheet2!F897</f>
        <v>36.74</v>
      </c>
      <c r="C917" s="3236">
        <f t="shared" si="155"/>
        <v>0.99</v>
      </c>
      <c r="D917" s="676"/>
      <c r="E917" s="3236">
        <f t="shared" si="156"/>
        <v>1</v>
      </c>
      <c r="F917" s="676"/>
      <c r="G917" s="3236">
        <f t="shared" si="157"/>
        <v>1</v>
      </c>
      <c r="H917" s="676"/>
      <c r="I917" s="3236">
        <f t="shared" si="158"/>
        <v>1</v>
      </c>
      <c r="J917" s="676"/>
      <c r="K917" s="3236">
        <f t="shared" si="159"/>
        <v>1</v>
      </c>
      <c r="L917" s="676"/>
      <c r="M917" s="3236">
        <f t="shared" si="160"/>
        <v>1</v>
      </c>
      <c r="N917" s="676"/>
      <c r="O917" s="3236">
        <f t="shared" si="161"/>
        <v>1</v>
      </c>
      <c r="P917" s="676"/>
      <c r="Q917" s="3236">
        <f t="shared" si="162"/>
        <v>1</v>
      </c>
      <c r="R917" s="3237">
        <f t="shared" ca="1" si="163"/>
        <v>5706</v>
      </c>
      <c r="S917" s="1090">
        <f t="shared" ca="1" si="164"/>
        <v>21</v>
      </c>
    </row>
    <row r="918" spans="1:19">
      <c r="A918" s="674" t="str">
        <f>Sheet2!E898</f>
        <v>M1-061</v>
      </c>
      <c r="B918" s="3235">
        <f>Sheet2!F898</f>
        <v>36.74</v>
      </c>
      <c r="C918" s="3236">
        <f t="shared" si="155"/>
        <v>0.99</v>
      </c>
      <c r="D918" s="676"/>
      <c r="E918" s="3236">
        <f t="shared" si="156"/>
        <v>1</v>
      </c>
      <c r="F918" s="676"/>
      <c r="G918" s="3236">
        <f t="shared" si="157"/>
        <v>1</v>
      </c>
      <c r="H918" s="676"/>
      <c r="I918" s="3236">
        <f t="shared" si="158"/>
        <v>1</v>
      </c>
      <c r="J918" s="676"/>
      <c r="K918" s="3236">
        <f t="shared" si="159"/>
        <v>1</v>
      </c>
      <c r="L918" s="676"/>
      <c r="M918" s="3236">
        <f t="shared" si="160"/>
        <v>1</v>
      </c>
      <c r="N918" s="676"/>
      <c r="O918" s="3236">
        <f t="shared" si="161"/>
        <v>1</v>
      </c>
      <c r="P918" s="676"/>
      <c r="Q918" s="3236">
        <f t="shared" si="162"/>
        <v>1</v>
      </c>
      <c r="R918" s="3237">
        <f t="shared" ca="1" si="163"/>
        <v>5706</v>
      </c>
      <c r="S918" s="1090">
        <f t="shared" ca="1" si="164"/>
        <v>21</v>
      </c>
    </row>
    <row r="919" spans="1:19">
      <c r="A919" s="674" t="str">
        <f>Sheet2!E899</f>
        <v>M1-062</v>
      </c>
      <c r="B919" s="3235">
        <f>Sheet2!F899</f>
        <v>36.74</v>
      </c>
      <c r="C919" s="3236">
        <f t="shared" si="155"/>
        <v>0.99</v>
      </c>
      <c r="D919" s="676"/>
      <c r="E919" s="3236">
        <f t="shared" si="156"/>
        <v>1</v>
      </c>
      <c r="F919" s="676"/>
      <c r="G919" s="3236">
        <f t="shared" si="157"/>
        <v>1</v>
      </c>
      <c r="H919" s="676"/>
      <c r="I919" s="3236">
        <f t="shared" si="158"/>
        <v>1</v>
      </c>
      <c r="J919" s="676"/>
      <c r="K919" s="3236">
        <f t="shared" si="159"/>
        <v>1</v>
      </c>
      <c r="L919" s="676"/>
      <c r="M919" s="3236">
        <f t="shared" si="160"/>
        <v>1</v>
      </c>
      <c r="N919" s="676"/>
      <c r="O919" s="3236">
        <f t="shared" si="161"/>
        <v>1</v>
      </c>
      <c r="P919" s="676"/>
      <c r="Q919" s="3236">
        <f t="shared" si="162"/>
        <v>1</v>
      </c>
      <c r="R919" s="3237">
        <f t="shared" ca="1" si="163"/>
        <v>5706</v>
      </c>
      <c r="S919" s="1090">
        <f t="shared" ca="1" si="164"/>
        <v>21</v>
      </c>
    </row>
    <row r="920" spans="1:19">
      <c r="A920" s="674" t="str">
        <f>Sheet2!E900</f>
        <v>M1-063</v>
      </c>
      <c r="B920" s="3235">
        <f>Sheet2!F900</f>
        <v>37.520000000000003</v>
      </c>
      <c r="C920" s="3236">
        <f t="shared" si="155"/>
        <v>0.99</v>
      </c>
      <c r="D920" s="676"/>
      <c r="E920" s="3236">
        <f t="shared" si="156"/>
        <v>1</v>
      </c>
      <c r="F920" s="676"/>
      <c r="G920" s="3236">
        <f t="shared" si="157"/>
        <v>1</v>
      </c>
      <c r="H920" s="676"/>
      <c r="I920" s="3236">
        <f t="shared" si="158"/>
        <v>1</v>
      </c>
      <c r="J920" s="676"/>
      <c r="K920" s="3236">
        <f t="shared" si="159"/>
        <v>1</v>
      </c>
      <c r="L920" s="676"/>
      <c r="M920" s="3236">
        <f t="shared" si="160"/>
        <v>1</v>
      </c>
      <c r="N920" s="676"/>
      <c r="O920" s="3236">
        <f t="shared" si="161"/>
        <v>1</v>
      </c>
      <c r="P920" s="676"/>
      <c r="Q920" s="3236">
        <f t="shared" si="162"/>
        <v>1</v>
      </c>
      <c r="R920" s="3237">
        <f t="shared" ca="1" si="163"/>
        <v>5706</v>
      </c>
      <c r="S920" s="1090">
        <f t="shared" ca="1" si="164"/>
        <v>21</v>
      </c>
    </row>
    <row r="921" spans="1:19">
      <c r="A921" s="674" t="str">
        <f>Sheet2!E901</f>
        <v>M1-064</v>
      </c>
      <c r="B921" s="3235">
        <f>Sheet2!F901</f>
        <v>37.520000000000003</v>
      </c>
      <c r="C921" s="3236">
        <f t="shared" si="155"/>
        <v>0.99</v>
      </c>
      <c r="D921" s="676"/>
      <c r="E921" s="3236">
        <f t="shared" si="156"/>
        <v>1</v>
      </c>
      <c r="F921" s="676"/>
      <c r="G921" s="3236">
        <f t="shared" si="157"/>
        <v>1</v>
      </c>
      <c r="H921" s="676"/>
      <c r="I921" s="3236">
        <f t="shared" si="158"/>
        <v>1</v>
      </c>
      <c r="J921" s="676"/>
      <c r="K921" s="3236">
        <f t="shared" si="159"/>
        <v>1</v>
      </c>
      <c r="L921" s="676"/>
      <c r="M921" s="3236">
        <f t="shared" si="160"/>
        <v>1</v>
      </c>
      <c r="N921" s="676"/>
      <c r="O921" s="3236">
        <f t="shared" si="161"/>
        <v>1</v>
      </c>
      <c r="P921" s="676"/>
      <c r="Q921" s="3236">
        <f t="shared" si="162"/>
        <v>1</v>
      </c>
      <c r="R921" s="3237">
        <f t="shared" ca="1" si="163"/>
        <v>5706</v>
      </c>
      <c r="S921" s="1090">
        <f t="shared" ca="1" si="164"/>
        <v>21</v>
      </c>
    </row>
    <row r="922" spans="1:19">
      <c r="A922" s="674" t="str">
        <f>Sheet2!E902</f>
        <v>M1-065</v>
      </c>
      <c r="B922" s="3235">
        <f>Sheet2!F902</f>
        <v>39.090000000000003</v>
      </c>
      <c r="C922" s="3236">
        <f t="shared" si="155"/>
        <v>0.99</v>
      </c>
      <c r="D922" s="676"/>
      <c r="E922" s="3236">
        <f t="shared" si="156"/>
        <v>1</v>
      </c>
      <c r="F922" s="676"/>
      <c r="G922" s="3236">
        <f t="shared" si="157"/>
        <v>1</v>
      </c>
      <c r="H922" s="676"/>
      <c r="I922" s="3236">
        <f t="shared" si="158"/>
        <v>1</v>
      </c>
      <c r="J922" s="676"/>
      <c r="K922" s="3236">
        <f t="shared" si="159"/>
        <v>1</v>
      </c>
      <c r="L922" s="676"/>
      <c r="M922" s="3236">
        <f t="shared" si="160"/>
        <v>1</v>
      </c>
      <c r="N922" s="676"/>
      <c r="O922" s="3236">
        <f t="shared" si="161"/>
        <v>1</v>
      </c>
      <c r="P922" s="676"/>
      <c r="Q922" s="3236">
        <f t="shared" si="162"/>
        <v>1</v>
      </c>
      <c r="R922" s="3237">
        <f t="shared" ca="1" si="163"/>
        <v>5706</v>
      </c>
      <c r="S922" s="1090">
        <f t="shared" ca="1" si="164"/>
        <v>22</v>
      </c>
    </row>
    <row r="923" spans="1:19">
      <c r="A923" s="674" t="str">
        <f>Sheet2!E903</f>
        <v>M1-066</v>
      </c>
      <c r="B923" s="3235">
        <f>Sheet2!F903</f>
        <v>39.090000000000003</v>
      </c>
      <c r="C923" s="3236">
        <f t="shared" si="155"/>
        <v>0.99</v>
      </c>
      <c r="D923" s="676"/>
      <c r="E923" s="3236">
        <f t="shared" si="156"/>
        <v>1</v>
      </c>
      <c r="F923" s="676"/>
      <c r="G923" s="3236">
        <f t="shared" si="157"/>
        <v>1</v>
      </c>
      <c r="H923" s="676"/>
      <c r="I923" s="3236">
        <f t="shared" si="158"/>
        <v>1</v>
      </c>
      <c r="J923" s="676"/>
      <c r="K923" s="3236">
        <f t="shared" si="159"/>
        <v>1</v>
      </c>
      <c r="L923" s="676"/>
      <c r="M923" s="3236">
        <f t="shared" si="160"/>
        <v>1</v>
      </c>
      <c r="N923" s="676"/>
      <c r="O923" s="3236">
        <f t="shared" si="161"/>
        <v>1</v>
      </c>
      <c r="P923" s="676"/>
      <c r="Q923" s="3236">
        <f t="shared" si="162"/>
        <v>1</v>
      </c>
      <c r="R923" s="3237">
        <f t="shared" ca="1" si="163"/>
        <v>5706</v>
      </c>
      <c r="S923" s="1090">
        <f t="shared" ca="1" si="164"/>
        <v>22</v>
      </c>
    </row>
    <row r="924" spans="1:19">
      <c r="A924" s="674"/>
      <c r="B924" s="57"/>
      <c r="C924" s="3236">
        <f t="shared" si="155"/>
        <v>1</v>
      </c>
      <c r="D924" s="676"/>
      <c r="E924" s="3236">
        <f t="shared" si="156"/>
        <v>1</v>
      </c>
      <c r="F924" s="676"/>
      <c r="G924" s="3236">
        <f t="shared" si="157"/>
        <v>1</v>
      </c>
      <c r="H924" s="676"/>
      <c r="I924" s="3236">
        <f t="shared" si="158"/>
        <v>1</v>
      </c>
      <c r="J924" s="676"/>
      <c r="K924" s="3236">
        <f t="shared" si="159"/>
        <v>1</v>
      </c>
      <c r="L924" s="676"/>
      <c r="M924" s="3236">
        <f t="shared" si="160"/>
        <v>1</v>
      </c>
      <c r="N924" s="676"/>
      <c r="O924" s="3236">
        <f t="shared" si="161"/>
        <v>1</v>
      </c>
      <c r="P924" s="676"/>
      <c r="Q924" s="3236">
        <f t="shared" si="162"/>
        <v>1</v>
      </c>
      <c r="R924" s="3237">
        <f t="shared" si="163"/>
        <v>0</v>
      </c>
      <c r="S924" s="1090">
        <f t="shared" si="164"/>
        <v>0</v>
      </c>
    </row>
    <row r="925" spans="1:19">
      <c r="A925" s="674">
        <f>Sheet2!E905</f>
        <v>0</v>
      </c>
      <c r="B925" s="57"/>
      <c r="C925" s="3236">
        <f t="shared" si="155"/>
        <v>1</v>
      </c>
      <c r="D925" s="676"/>
      <c r="E925" s="3236">
        <f t="shared" si="156"/>
        <v>1</v>
      </c>
      <c r="F925" s="676"/>
      <c r="G925" s="3236">
        <f t="shared" si="157"/>
        <v>1</v>
      </c>
      <c r="H925" s="676"/>
      <c r="I925" s="3236">
        <f t="shared" si="158"/>
        <v>1</v>
      </c>
      <c r="J925" s="676"/>
      <c r="K925" s="3236">
        <f t="shared" si="159"/>
        <v>1</v>
      </c>
      <c r="L925" s="676"/>
      <c r="M925" s="3236">
        <f t="shared" si="160"/>
        <v>1</v>
      </c>
      <c r="N925" s="676"/>
      <c r="O925" s="3236">
        <f t="shared" si="161"/>
        <v>1</v>
      </c>
      <c r="P925" s="676"/>
      <c r="Q925" s="3236">
        <f t="shared" si="162"/>
        <v>1</v>
      </c>
      <c r="R925" s="3237">
        <f t="shared" si="163"/>
        <v>0</v>
      </c>
      <c r="S925" s="1090">
        <f t="shared" si="164"/>
        <v>0</v>
      </c>
    </row>
    <row r="926" spans="1:19">
      <c r="A926" s="674">
        <f>Sheet2!E906</f>
        <v>0</v>
      </c>
      <c r="B926" s="57"/>
      <c r="C926" s="3236">
        <f t="shared" si="155"/>
        <v>1</v>
      </c>
      <c r="D926" s="676"/>
      <c r="E926" s="3236">
        <f t="shared" si="156"/>
        <v>1</v>
      </c>
      <c r="F926" s="676"/>
      <c r="G926" s="3236">
        <f t="shared" si="157"/>
        <v>1</v>
      </c>
      <c r="H926" s="676"/>
      <c r="I926" s="3236">
        <f t="shared" si="158"/>
        <v>1</v>
      </c>
      <c r="J926" s="676"/>
      <c r="K926" s="3236">
        <f t="shared" si="159"/>
        <v>1</v>
      </c>
      <c r="L926" s="676"/>
      <c r="M926" s="3236">
        <f t="shared" si="160"/>
        <v>1</v>
      </c>
      <c r="N926" s="676"/>
      <c r="O926" s="3236">
        <f t="shared" si="161"/>
        <v>1</v>
      </c>
      <c r="P926" s="676"/>
      <c r="Q926" s="3236">
        <f t="shared" si="162"/>
        <v>1</v>
      </c>
      <c r="R926" s="3237">
        <f t="shared" si="163"/>
        <v>0</v>
      </c>
      <c r="S926" s="1090">
        <f t="shared" si="164"/>
        <v>0</v>
      </c>
    </row>
    <row r="927" spans="1:19">
      <c r="A927" s="674">
        <f>Sheet2!E907</f>
        <v>0</v>
      </c>
      <c r="B927" s="57"/>
      <c r="C927" s="3236">
        <f t="shared" si="155"/>
        <v>1</v>
      </c>
      <c r="D927" s="676"/>
      <c r="E927" s="3236">
        <f t="shared" si="156"/>
        <v>1</v>
      </c>
      <c r="F927" s="676"/>
      <c r="G927" s="3236">
        <f t="shared" si="157"/>
        <v>1</v>
      </c>
      <c r="H927" s="676"/>
      <c r="I927" s="3236">
        <f t="shared" si="158"/>
        <v>1</v>
      </c>
      <c r="J927" s="676"/>
      <c r="K927" s="3236">
        <f t="shared" si="159"/>
        <v>1</v>
      </c>
      <c r="L927" s="676"/>
      <c r="M927" s="3236">
        <f t="shared" si="160"/>
        <v>1</v>
      </c>
      <c r="N927" s="676"/>
      <c r="O927" s="3236">
        <f t="shared" si="161"/>
        <v>1</v>
      </c>
      <c r="P927" s="676"/>
      <c r="Q927" s="3236">
        <f t="shared" si="162"/>
        <v>1</v>
      </c>
      <c r="R927" s="3237">
        <f t="shared" si="163"/>
        <v>0</v>
      </c>
      <c r="S927" s="1090">
        <f t="shared" si="164"/>
        <v>0</v>
      </c>
    </row>
    <row r="928" spans="1:19">
      <c r="A928" s="674">
        <f>Sheet2!E908</f>
        <v>0</v>
      </c>
      <c r="B928" s="57"/>
      <c r="C928" s="3236">
        <f t="shared" si="155"/>
        <v>1</v>
      </c>
      <c r="D928" s="676"/>
      <c r="E928" s="3236">
        <f t="shared" si="156"/>
        <v>1</v>
      </c>
      <c r="F928" s="676"/>
      <c r="G928" s="3236">
        <f t="shared" si="157"/>
        <v>1</v>
      </c>
      <c r="H928" s="676"/>
      <c r="I928" s="3236">
        <f t="shared" si="158"/>
        <v>1</v>
      </c>
      <c r="J928" s="676"/>
      <c r="K928" s="3236">
        <f t="shared" si="159"/>
        <v>1</v>
      </c>
      <c r="L928" s="676"/>
      <c r="M928" s="3236">
        <f t="shared" si="160"/>
        <v>1</v>
      </c>
      <c r="N928" s="676"/>
      <c r="O928" s="3236">
        <f t="shared" si="161"/>
        <v>1</v>
      </c>
      <c r="P928" s="676"/>
      <c r="Q928" s="3236">
        <f t="shared" si="162"/>
        <v>1</v>
      </c>
      <c r="R928" s="3237">
        <f t="shared" si="163"/>
        <v>0</v>
      </c>
      <c r="S928" s="1090">
        <f t="shared" si="164"/>
        <v>0</v>
      </c>
    </row>
    <row r="929" spans="1:19">
      <c r="A929" s="674">
        <f>Sheet2!E909</f>
        <v>0</v>
      </c>
      <c r="B929" s="57"/>
      <c r="C929" s="3236">
        <f t="shared" si="155"/>
        <v>1</v>
      </c>
      <c r="D929" s="676"/>
      <c r="E929" s="3236">
        <f t="shared" si="156"/>
        <v>1</v>
      </c>
      <c r="F929" s="676"/>
      <c r="G929" s="3236">
        <f t="shared" si="157"/>
        <v>1</v>
      </c>
      <c r="H929" s="676"/>
      <c r="I929" s="3236">
        <f t="shared" si="158"/>
        <v>1</v>
      </c>
      <c r="J929" s="676"/>
      <c r="K929" s="3236">
        <f t="shared" si="159"/>
        <v>1</v>
      </c>
      <c r="L929" s="676"/>
      <c r="M929" s="3236">
        <f t="shared" si="160"/>
        <v>1</v>
      </c>
      <c r="N929" s="676"/>
      <c r="O929" s="3236">
        <f t="shared" si="161"/>
        <v>1</v>
      </c>
      <c r="P929" s="676"/>
      <c r="Q929" s="3236">
        <f t="shared" si="162"/>
        <v>1</v>
      </c>
      <c r="R929" s="3237">
        <f t="shared" si="163"/>
        <v>0</v>
      </c>
      <c r="S929" s="1090">
        <f t="shared" si="164"/>
        <v>0</v>
      </c>
    </row>
    <row r="930" spans="1:19">
      <c r="A930" s="674"/>
      <c r="B930" s="57"/>
      <c r="C930" s="3236">
        <f t="shared" si="155"/>
        <v>1</v>
      </c>
      <c r="D930" s="676"/>
      <c r="E930" s="3236">
        <f t="shared" si="156"/>
        <v>1</v>
      </c>
      <c r="F930" s="676"/>
      <c r="G930" s="3236">
        <f t="shared" si="157"/>
        <v>1</v>
      </c>
      <c r="H930" s="676"/>
      <c r="I930" s="3236">
        <f t="shared" si="158"/>
        <v>1</v>
      </c>
      <c r="J930" s="676"/>
      <c r="K930" s="3236">
        <f t="shared" si="159"/>
        <v>1</v>
      </c>
      <c r="L930" s="676"/>
      <c r="M930" s="3236">
        <f t="shared" si="160"/>
        <v>1</v>
      </c>
      <c r="N930" s="676"/>
      <c r="O930" s="3236">
        <f t="shared" si="161"/>
        <v>1</v>
      </c>
      <c r="P930" s="676"/>
      <c r="Q930" s="3236">
        <f t="shared" si="162"/>
        <v>1</v>
      </c>
      <c r="R930" s="3237">
        <f t="shared" si="163"/>
        <v>0</v>
      </c>
      <c r="S930" s="1090">
        <f t="shared" si="164"/>
        <v>0</v>
      </c>
    </row>
    <row r="931" spans="1:19">
      <c r="A931" s="674">
        <f>Sheet2!E911</f>
        <v>0</v>
      </c>
      <c r="B931" s="57"/>
      <c r="C931" s="3236">
        <f t="shared" si="155"/>
        <v>1</v>
      </c>
      <c r="D931" s="676"/>
      <c r="E931" s="3236">
        <f t="shared" si="156"/>
        <v>1</v>
      </c>
      <c r="F931" s="676"/>
      <c r="G931" s="3236">
        <f t="shared" si="157"/>
        <v>1</v>
      </c>
      <c r="H931" s="676"/>
      <c r="I931" s="3236">
        <f t="shared" si="158"/>
        <v>1</v>
      </c>
      <c r="J931" s="676"/>
      <c r="K931" s="3236">
        <f t="shared" si="159"/>
        <v>1</v>
      </c>
      <c r="L931" s="676"/>
      <c r="M931" s="3236">
        <f t="shared" si="160"/>
        <v>1</v>
      </c>
      <c r="N931" s="676"/>
      <c r="O931" s="3236">
        <f t="shared" si="161"/>
        <v>1</v>
      </c>
      <c r="P931" s="676"/>
      <c r="Q931" s="3236">
        <f t="shared" si="162"/>
        <v>1</v>
      </c>
      <c r="R931" s="3237">
        <f t="shared" si="163"/>
        <v>0</v>
      </c>
      <c r="S931" s="1090">
        <f t="shared" si="164"/>
        <v>0</v>
      </c>
    </row>
    <row r="932" spans="1:19">
      <c r="A932" s="674">
        <f>Sheet2!E912</f>
        <v>0</v>
      </c>
      <c r="B932" s="57"/>
      <c r="C932" s="3236">
        <f t="shared" si="155"/>
        <v>1</v>
      </c>
      <c r="D932" s="676"/>
      <c r="E932" s="3236">
        <f t="shared" si="156"/>
        <v>1</v>
      </c>
      <c r="F932" s="676"/>
      <c r="G932" s="3236">
        <f t="shared" si="157"/>
        <v>1</v>
      </c>
      <c r="H932" s="676"/>
      <c r="I932" s="3236">
        <f t="shared" si="158"/>
        <v>1</v>
      </c>
      <c r="J932" s="676"/>
      <c r="K932" s="3236">
        <f t="shared" si="159"/>
        <v>1</v>
      </c>
      <c r="L932" s="676"/>
      <c r="M932" s="3236">
        <f t="shared" si="160"/>
        <v>1</v>
      </c>
      <c r="N932" s="676"/>
      <c r="O932" s="3236">
        <f t="shared" si="161"/>
        <v>1</v>
      </c>
      <c r="P932" s="676"/>
      <c r="Q932" s="3236">
        <f t="shared" si="162"/>
        <v>1</v>
      </c>
      <c r="R932" s="3237">
        <f t="shared" si="163"/>
        <v>0</v>
      </c>
      <c r="S932" s="1090">
        <f t="shared" si="164"/>
        <v>0</v>
      </c>
    </row>
    <row r="933" spans="1:19">
      <c r="A933" s="674">
        <f>Sheet2!E913</f>
        <v>0</v>
      </c>
      <c r="B933" s="57"/>
      <c r="C933" s="3236">
        <f t="shared" si="155"/>
        <v>1</v>
      </c>
      <c r="D933" s="676"/>
      <c r="E933" s="3236">
        <f t="shared" si="156"/>
        <v>1</v>
      </c>
      <c r="F933" s="676"/>
      <c r="G933" s="3236">
        <f t="shared" si="157"/>
        <v>1</v>
      </c>
      <c r="H933" s="676"/>
      <c r="I933" s="3236">
        <f t="shared" si="158"/>
        <v>1</v>
      </c>
      <c r="J933" s="676"/>
      <c r="K933" s="3236">
        <f t="shared" si="159"/>
        <v>1</v>
      </c>
      <c r="L933" s="676"/>
      <c r="M933" s="3236">
        <f t="shared" si="160"/>
        <v>1</v>
      </c>
      <c r="N933" s="676"/>
      <c r="O933" s="3236">
        <f t="shared" si="161"/>
        <v>1</v>
      </c>
      <c r="P933" s="676"/>
      <c r="Q933" s="3236">
        <f t="shared" si="162"/>
        <v>1</v>
      </c>
      <c r="R933" s="3237">
        <f t="shared" si="163"/>
        <v>0</v>
      </c>
      <c r="S933" s="1090">
        <f t="shared" si="164"/>
        <v>0</v>
      </c>
    </row>
    <row r="934" spans="1:19">
      <c r="A934" s="674">
        <f>Sheet2!E914</f>
        <v>0</v>
      </c>
      <c r="B934" s="57"/>
      <c r="C934" s="3236">
        <f t="shared" si="155"/>
        <v>1</v>
      </c>
      <c r="D934" s="676"/>
      <c r="E934" s="3236">
        <f t="shared" si="156"/>
        <v>1</v>
      </c>
      <c r="F934" s="676"/>
      <c r="G934" s="3236">
        <f t="shared" si="157"/>
        <v>1</v>
      </c>
      <c r="H934" s="676"/>
      <c r="I934" s="3236">
        <f t="shared" si="158"/>
        <v>1</v>
      </c>
      <c r="J934" s="676"/>
      <c r="K934" s="3236">
        <f t="shared" si="159"/>
        <v>1</v>
      </c>
      <c r="L934" s="676"/>
      <c r="M934" s="3236">
        <f t="shared" si="160"/>
        <v>1</v>
      </c>
      <c r="N934" s="676"/>
      <c r="O934" s="3236">
        <f t="shared" si="161"/>
        <v>1</v>
      </c>
      <c r="P934" s="676"/>
      <c r="Q934" s="3236">
        <f t="shared" si="162"/>
        <v>1</v>
      </c>
      <c r="R934" s="3237">
        <f t="shared" si="163"/>
        <v>0</v>
      </c>
      <c r="S934" s="1090">
        <f t="shared" si="164"/>
        <v>0</v>
      </c>
    </row>
    <row r="935" spans="1:19">
      <c r="A935" s="674">
        <f>Sheet2!E915</f>
        <v>0</v>
      </c>
      <c r="B935" s="57"/>
      <c r="C935" s="3236">
        <f t="shared" si="155"/>
        <v>1</v>
      </c>
      <c r="D935" s="676"/>
      <c r="E935" s="3236">
        <f t="shared" si="156"/>
        <v>1</v>
      </c>
      <c r="F935" s="676"/>
      <c r="G935" s="3236">
        <f t="shared" si="157"/>
        <v>1</v>
      </c>
      <c r="H935" s="676"/>
      <c r="I935" s="3236">
        <f t="shared" si="158"/>
        <v>1</v>
      </c>
      <c r="J935" s="676"/>
      <c r="K935" s="3236">
        <f t="shared" si="159"/>
        <v>1</v>
      </c>
      <c r="L935" s="676"/>
      <c r="M935" s="3236">
        <f t="shared" si="160"/>
        <v>1</v>
      </c>
      <c r="N935" s="676"/>
      <c r="O935" s="3236">
        <f t="shared" si="161"/>
        <v>1</v>
      </c>
      <c r="P935" s="676"/>
      <c r="Q935" s="3236">
        <f t="shared" si="162"/>
        <v>1</v>
      </c>
      <c r="R935" s="3237">
        <f t="shared" si="163"/>
        <v>0</v>
      </c>
      <c r="S935" s="1090">
        <f t="shared" si="164"/>
        <v>0</v>
      </c>
    </row>
    <row r="936" spans="1:19">
      <c r="A936" s="674">
        <f>Sheet2!E916</f>
        <v>0</v>
      </c>
      <c r="B936" s="57"/>
      <c r="C936" s="3236">
        <f t="shared" si="155"/>
        <v>1</v>
      </c>
      <c r="D936" s="676"/>
      <c r="E936" s="3236">
        <f t="shared" si="156"/>
        <v>1</v>
      </c>
      <c r="F936" s="676"/>
      <c r="G936" s="3236">
        <f t="shared" si="157"/>
        <v>1</v>
      </c>
      <c r="H936" s="676"/>
      <c r="I936" s="3236">
        <f t="shared" si="158"/>
        <v>1</v>
      </c>
      <c r="J936" s="676"/>
      <c r="K936" s="3236">
        <f t="shared" si="159"/>
        <v>1</v>
      </c>
      <c r="L936" s="676"/>
      <c r="M936" s="3236">
        <f t="shared" si="160"/>
        <v>1</v>
      </c>
      <c r="N936" s="676"/>
      <c r="O936" s="3236">
        <f t="shared" si="161"/>
        <v>1</v>
      </c>
      <c r="P936" s="676"/>
      <c r="Q936" s="3236">
        <f t="shared" si="162"/>
        <v>1</v>
      </c>
      <c r="R936" s="3237">
        <f t="shared" si="163"/>
        <v>0</v>
      </c>
      <c r="S936" s="1090">
        <f t="shared" si="164"/>
        <v>0</v>
      </c>
    </row>
    <row r="937" spans="1:19">
      <c r="A937" s="674">
        <f>Sheet2!E917</f>
        <v>0</v>
      </c>
      <c r="B937" s="57"/>
      <c r="C937" s="3236">
        <f t="shared" si="155"/>
        <v>1</v>
      </c>
      <c r="D937" s="676"/>
      <c r="E937" s="3236">
        <f t="shared" si="156"/>
        <v>1</v>
      </c>
      <c r="F937" s="676"/>
      <c r="G937" s="3236">
        <f t="shared" si="157"/>
        <v>1</v>
      </c>
      <c r="H937" s="676"/>
      <c r="I937" s="3236">
        <f t="shared" si="158"/>
        <v>1</v>
      </c>
      <c r="J937" s="676"/>
      <c r="K937" s="3236">
        <f t="shared" si="159"/>
        <v>1</v>
      </c>
      <c r="L937" s="676"/>
      <c r="M937" s="3236">
        <f t="shared" si="160"/>
        <v>1</v>
      </c>
      <c r="N937" s="676"/>
      <c r="O937" s="3236">
        <f t="shared" si="161"/>
        <v>1</v>
      </c>
      <c r="P937" s="676"/>
      <c r="Q937" s="3236">
        <f t="shared" si="162"/>
        <v>1</v>
      </c>
      <c r="R937" s="3237">
        <f t="shared" si="163"/>
        <v>0</v>
      </c>
      <c r="S937" s="1090">
        <f t="shared" si="164"/>
        <v>0</v>
      </c>
    </row>
    <row r="938" spans="1:19">
      <c r="A938" s="674">
        <f>Sheet2!E918</f>
        <v>0</v>
      </c>
      <c r="B938" s="57"/>
      <c r="C938" s="3236">
        <f t="shared" si="155"/>
        <v>1</v>
      </c>
      <c r="D938" s="676"/>
      <c r="E938" s="3236">
        <f t="shared" si="156"/>
        <v>1</v>
      </c>
      <c r="F938" s="676"/>
      <c r="G938" s="3236">
        <f t="shared" si="157"/>
        <v>1</v>
      </c>
      <c r="H938" s="676"/>
      <c r="I938" s="3236">
        <f t="shared" si="158"/>
        <v>1</v>
      </c>
      <c r="J938" s="676"/>
      <c r="K938" s="3236">
        <f t="shared" si="159"/>
        <v>1</v>
      </c>
      <c r="L938" s="676"/>
      <c r="M938" s="3236">
        <f t="shared" si="160"/>
        <v>1</v>
      </c>
      <c r="N938" s="676"/>
      <c r="O938" s="3236">
        <f t="shared" si="161"/>
        <v>1</v>
      </c>
      <c r="P938" s="676"/>
      <c r="Q938" s="3236">
        <f t="shared" si="162"/>
        <v>1</v>
      </c>
      <c r="R938" s="3237">
        <f t="shared" si="163"/>
        <v>0</v>
      </c>
      <c r="S938" s="1090">
        <f t="shared" si="164"/>
        <v>0</v>
      </c>
    </row>
    <row r="939" spans="1:19">
      <c r="A939" s="674">
        <f>Sheet2!E919</f>
        <v>0</v>
      </c>
      <c r="B939" s="57"/>
      <c r="C939" s="3236">
        <f t="shared" si="155"/>
        <v>1</v>
      </c>
      <c r="D939" s="676"/>
      <c r="E939" s="3236">
        <f t="shared" si="156"/>
        <v>1</v>
      </c>
      <c r="F939" s="676"/>
      <c r="G939" s="3236">
        <f t="shared" si="157"/>
        <v>1</v>
      </c>
      <c r="H939" s="676"/>
      <c r="I939" s="3236">
        <f t="shared" si="158"/>
        <v>1</v>
      </c>
      <c r="J939" s="676"/>
      <c r="K939" s="3236">
        <f t="shared" si="159"/>
        <v>1</v>
      </c>
      <c r="L939" s="676"/>
      <c r="M939" s="3236">
        <f t="shared" si="160"/>
        <v>1</v>
      </c>
      <c r="N939" s="676"/>
      <c r="O939" s="3236">
        <f t="shared" si="161"/>
        <v>1</v>
      </c>
      <c r="P939" s="676"/>
      <c r="Q939" s="3236">
        <f t="shared" si="162"/>
        <v>1</v>
      </c>
      <c r="R939" s="3237">
        <f t="shared" si="163"/>
        <v>0</v>
      </c>
      <c r="S939" s="1090">
        <f t="shared" si="164"/>
        <v>0</v>
      </c>
    </row>
    <row r="940" spans="1:19">
      <c r="A940" s="674">
        <f>Sheet2!E920</f>
        <v>0</v>
      </c>
      <c r="B940" s="57"/>
      <c r="C940" s="3236">
        <f t="shared" si="155"/>
        <v>1</v>
      </c>
      <c r="D940" s="676"/>
      <c r="E940" s="3236">
        <f t="shared" si="156"/>
        <v>1</v>
      </c>
      <c r="F940" s="676"/>
      <c r="G940" s="3236">
        <f t="shared" si="157"/>
        <v>1</v>
      </c>
      <c r="H940" s="676"/>
      <c r="I940" s="3236">
        <f t="shared" si="158"/>
        <v>1</v>
      </c>
      <c r="J940" s="676"/>
      <c r="K940" s="3236">
        <f t="shared" si="159"/>
        <v>1</v>
      </c>
      <c r="L940" s="676"/>
      <c r="M940" s="3236">
        <f t="shared" si="160"/>
        <v>1</v>
      </c>
      <c r="N940" s="676"/>
      <c r="O940" s="3236">
        <f t="shared" si="161"/>
        <v>1</v>
      </c>
      <c r="P940" s="676"/>
      <c r="Q940" s="3236">
        <f t="shared" si="162"/>
        <v>1</v>
      </c>
      <c r="R940" s="3237">
        <f t="shared" si="163"/>
        <v>0</v>
      </c>
      <c r="S940" s="1090">
        <f t="shared" si="164"/>
        <v>0</v>
      </c>
    </row>
    <row r="941" spans="1:19">
      <c r="A941" s="674"/>
      <c r="B941" s="57"/>
      <c r="C941" s="3236">
        <f t="shared" si="155"/>
        <v>1</v>
      </c>
      <c r="D941" s="676"/>
      <c r="E941" s="3236">
        <f t="shared" si="156"/>
        <v>1</v>
      </c>
      <c r="F941" s="676"/>
      <c r="G941" s="3236">
        <f t="shared" si="157"/>
        <v>1</v>
      </c>
      <c r="H941" s="676"/>
      <c r="I941" s="3236">
        <f t="shared" si="158"/>
        <v>1</v>
      </c>
      <c r="J941" s="676"/>
      <c r="K941" s="3236">
        <f t="shared" si="159"/>
        <v>1</v>
      </c>
      <c r="L941" s="676"/>
      <c r="M941" s="3236">
        <f t="shared" si="160"/>
        <v>1</v>
      </c>
      <c r="N941" s="676"/>
      <c r="O941" s="3236">
        <f t="shared" si="161"/>
        <v>1</v>
      </c>
      <c r="P941" s="676"/>
      <c r="Q941" s="3236">
        <f t="shared" si="162"/>
        <v>1</v>
      </c>
      <c r="R941" s="3237">
        <f t="shared" si="163"/>
        <v>0</v>
      </c>
      <c r="S941" s="1090">
        <f t="shared" si="164"/>
        <v>0</v>
      </c>
    </row>
    <row r="942" spans="1:19">
      <c r="A942" s="674"/>
      <c r="B942" s="57"/>
      <c r="C942" s="3236">
        <f t="shared" si="155"/>
        <v>1</v>
      </c>
      <c r="D942" s="676"/>
      <c r="E942" s="3236">
        <f t="shared" si="156"/>
        <v>1</v>
      </c>
      <c r="F942" s="676"/>
      <c r="G942" s="3236">
        <f t="shared" si="157"/>
        <v>1</v>
      </c>
      <c r="H942" s="676"/>
      <c r="I942" s="3236">
        <f t="shared" si="158"/>
        <v>1</v>
      </c>
      <c r="J942" s="676"/>
      <c r="K942" s="3236">
        <f t="shared" si="159"/>
        <v>1</v>
      </c>
      <c r="L942" s="676"/>
      <c r="M942" s="3236">
        <f t="shared" si="160"/>
        <v>1</v>
      </c>
      <c r="N942" s="676"/>
      <c r="O942" s="3236">
        <f t="shared" si="161"/>
        <v>1</v>
      </c>
      <c r="P942" s="676"/>
      <c r="Q942" s="3236">
        <f t="shared" si="162"/>
        <v>1</v>
      </c>
      <c r="R942" s="3237">
        <f t="shared" si="163"/>
        <v>0</v>
      </c>
      <c r="S942" s="1090">
        <f t="shared" si="164"/>
        <v>0</v>
      </c>
    </row>
    <row r="943" spans="1:19">
      <c r="A943" s="674"/>
      <c r="B943" s="57"/>
      <c r="C943" s="3236">
        <f t="shared" si="155"/>
        <v>1</v>
      </c>
      <c r="D943" s="676"/>
      <c r="E943" s="3236">
        <f t="shared" si="156"/>
        <v>1</v>
      </c>
      <c r="F943" s="676"/>
      <c r="G943" s="3236">
        <f t="shared" si="157"/>
        <v>1</v>
      </c>
      <c r="H943" s="676"/>
      <c r="I943" s="3236">
        <f t="shared" si="158"/>
        <v>1</v>
      </c>
      <c r="J943" s="676"/>
      <c r="K943" s="3236">
        <f t="shared" si="159"/>
        <v>1</v>
      </c>
      <c r="L943" s="676"/>
      <c r="M943" s="3236">
        <f t="shared" si="160"/>
        <v>1</v>
      </c>
      <c r="N943" s="676"/>
      <c r="O943" s="3236">
        <f t="shared" si="161"/>
        <v>1</v>
      </c>
      <c r="P943" s="676"/>
      <c r="Q943" s="3236">
        <f t="shared" si="162"/>
        <v>1</v>
      </c>
      <c r="R943" s="3237">
        <f t="shared" si="163"/>
        <v>0</v>
      </c>
      <c r="S943" s="1090">
        <f t="shared" si="164"/>
        <v>0</v>
      </c>
    </row>
    <row r="944" spans="1:19">
      <c r="A944" s="674">
        <f>Sheet2!E924</f>
        <v>0</v>
      </c>
      <c r="B944" s="57"/>
      <c r="C944" s="3236">
        <f t="shared" si="155"/>
        <v>1</v>
      </c>
      <c r="D944" s="676"/>
      <c r="E944" s="3236">
        <f t="shared" si="156"/>
        <v>1</v>
      </c>
      <c r="F944" s="676"/>
      <c r="G944" s="3236">
        <f t="shared" si="157"/>
        <v>1</v>
      </c>
      <c r="H944" s="676"/>
      <c r="I944" s="3236">
        <f t="shared" si="158"/>
        <v>1</v>
      </c>
      <c r="J944" s="676"/>
      <c r="K944" s="3236">
        <f t="shared" si="159"/>
        <v>1</v>
      </c>
      <c r="L944" s="676"/>
      <c r="M944" s="3236">
        <f t="shared" si="160"/>
        <v>1</v>
      </c>
      <c r="N944" s="676"/>
      <c r="O944" s="3236">
        <f t="shared" si="161"/>
        <v>1</v>
      </c>
      <c r="P944" s="676"/>
      <c r="Q944" s="3236">
        <f t="shared" si="162"/>
        <v>1</v>
      </c>
      <c r="R944" s="3237">
        <f t="shared" si="163"/>
        <v>0</v>
      </c>
      <c r="S944" s="1090">
        <f t="shared" si="164"/>
        <v>0</v>
      </c>
    </row>
    <row r="945" spans="1:19">
      <c r="A945" s="674">
        <f>Sheet2!E925</f>
        <v>0</v>
      </c>
      <c r="B945" s="57"/>
      <c r="C945" s="3236">
        <f t="shared" si="155"/>
        <v>1</v>
      </c>
      <c r="D945" s="676"/>
      <c r="E945" s="3236">
        <f t="shared" si="156"/>
        <v>1</v>
      </c>
      <c r="F945" s="676"/>
      <c r="G945" s="3236">
        <f t="shared" si="157"/>
        <v>1</v>
      </c>
      <c r="H945" s="676"/>
      <c r="I945" s="3236">
        <f t="shared" si="158"/>
        <v>1</v>
      </c>
      <c r="J945" s="676"/>
      <c r="K945" s="3236">
        <f t="shared" si="159"/>
        <v>1</v>
      </c>
      <c r="L945" s="676"/>
      <c r="M945" s="3236">
        <f t="shared" si="160"/>
        <v>1</v>
      </c>
      <c r="N945" s="676"/>
      <c r="O945" s="3236">
        <f t="shared" si="161"/>
        <v>1</v>
      </c>
      <c r="P945" s="676"/>
      <c r="Q945" s="3236">
        <f t="shared" si="162"/>
        <v>1</v>
      </c>
      <c r="R945" s="3237">
        <f t="shared" si="163"/>
        <v>0</v>
      </c>
      <c r="S945" s="1090">
        <f t="shared" si="164"/>
        <v>0</v>
      </c>
    </row>
    <row r="946" spans="1:19">
      <c r="A946" s="674">
        <f>Sheet2!E926</f>
        <v>0</v>
      </c>
      <c r="B946" s="57"/>
      <c r="C946" s="3236">
        <f t="shared" si="155"/>
        <v>1</v>
      </c>
      <c r="D946" s="676"/>
      <c r="E946" s="3236">
        <f t="shared" si="156"/>
        <v>1</v>
      </c>
      <c r="F946" s="676"/>
      <c r="G946" s="3236">
        <f t="shared" si="157"/>
        <v>1</v>
      </c>
      <c r="H946" s="676"/>
      <c r="I946" s="3236">
        <f t="shared" si="158"/>
        <v>1</v>
      </c>
      <c r="J946" s="676"/>
      <c r="K946" s="3236">
        <f t="shared" si="159"/>
        <v>1</v>
      </c>
      <c r="L946" s="676"/>
      <c r="M946" s="3236">
        <f t="shared" si="160"/>
        <v>1</v>
      </c>
      <c r="N946" s="676"/>
      <c r="O946" s="3236">
        <f t="shared" si="161"/>
        <v>1</v>
      </c>
      <c r="P946" s="676"/>
      <c r="Q946" s="3236">
        <f t="shared" si="162"/>
        <v>1</v>
      </c>
      <c r="R946" s="3237">
        <f t="shared" si="163"/>
        <v>0</v>
      </c>
      <c r="S946" s="1090">
        <f t="shared" si="164"/>
        <v>0</v>
      </c>
    </row>
    <row r="947" spans="1:19">
      <c r="A947" s="674">
        <f>Sheet2!E927</f>
        <v>0</v>
      </c>
      <c r="B947" s="57"/>
      <c r="C947" s="3236">
        <f t="shared" si="155"/>
        <v>1</v>
      </c>
      <c r="D947" s="676"/>
      <c r="E947" s="3236">
        <f t="shared" si="156"/>
        <v>1</v>
      </c>
      <c r="F947" s="676"/>
      <c r="G947" s="3236">
        <f t="shared" si="157"/>
        <v>1</v>
      </c>
      <c r="H947" s="676"/>
      <c r="I947" s="3236">
        <f t="shared" si="158"/>
        <v>1</v>
      </c>
      <c r="J947" s="676"/>
      <c r="K947" s="3236">
        <f t="shared" si="159"/>
        <v>1</v>
      </c>
      <c r="L947" s="676"/>
      <c r="M947" s="3236">
        <f t="shared" si="160"/>
        <v>1</v>
      </c>
      <c r="N947" s="676"/>
      <c r="O947" s="3236">
        <f t="shared" si="161"/>
        <v>1</v>
      </c>
      <c r="P947" s="676"/>
      <c r="Q947" s="3236">
        <f t="shared" si="162"/>
        <v>1</v>
      </c>
      <c r="R947" s="3237">
        <f t="shared" si="163"/>
        <v>0</v>
      </c>
      <c r="S947" s="1090">
        <f t="shared" si="164"/>
        <v>0</v>
      </c>
    </row>
    <row r="948" spans="1:19">
      <c r="A948" s="674">
        <f>Sheet2!E928</f>
        <v>0</v>
      </c>
      <c r="B948" s="57"/>
      <c r="C948" s="3236">
        <f t="shared" si="155"/>
        <v>1</v>
      </c>
      <c r="D948" s="676"/>
      <c r="E948" s="3236">
        <f t="shared" si="156"/>
        <v>1</v>
      </c>
      <c r="F948" s="676"/>
      <c r="G948" s="3236">
        <f t="shared" si="157"/>
        <v>1</v>
      </c>
      <c r="H948" s="676"/>
      <c r="I948" s="3236">
        <f t="shared" si="158"/>
        <v>1</v>
      </c>
      <c r="J948" s="676"/>
      <c r="K948" s="3236">
        <f t="shared" si="159"/>
        <v>1</v>
      </c>
      <c r="L948" s="676"/>
      <c r="M948" s="3236">
        <f t="shared" si="160"/>
        <v>1</v>
      </c>
      <c r="N948" s="676"/>
      <c r="O948" s="3236">
        <f t="shared" si="161"/>
        <v>1</v>
      </c>
      <c r="P948" s="676"/>
      <c r="Q948" s="3236">
        <f t="shared" si="162"/>
        <v>1</v>
      </c>
      <c r="R948" s="3237">
        <f t="shared" si="163"/>
        <v>0</v>
      </c>
      <c r="S948" s="1090">
        <f t="shared" si="164"/>
        <v>0</v>
      </c>
    </row>
    <row r="949" spans="1:19">
      <c r="A949" s="674">
        <f>Sheet2!E929</f>
        <v>0</v>
      </c>
      <c r="B949" s="57"/>
      <c r="C949" s="3236">
        <f t="shared" si="155"/>
        <v>1</v>
      </c>
      <c r="D949" s="676"/>
      <c r="E949" s="3236">
        <f t="shared" si="156"/>
        <v>1</v>
      </c>
      <c r="F949" s="676"/>
      <c r="G949" s="3236">
        <f t="shared" si="157"/>
        <v>1</v>
      </c>
      <c r="H949" s="676"/>
      <c r="I949" s="3236">
        <f t="shared" si="158"/>
        <v>1</v>
      </c>
      <c r="J949" s="676"/>
      <c r="K949" s="3236">
        <f t="shared" si="159"/>
        <v>1</v>
      </c>
      <c r="L949" s="676"/>
      <c r="M949" s="3236">
        <f t="shared" si="160"/>
        <v>1</v>
      </c>
      <c r="N949" s="676"/>
      <c r="O949" s="3236">
        <f t="shared" si="161"/>
        <v>1</v>
      </c>
      <c r="P949" s="676"/>
      <c r="Q949" s="3236">
        <f t="shared" si="162"/>
        <v>1</v>
      </c>
      <c r="R949" s="3237">
        <f t="shared" si="163"/>
        <v>0</v>
      </c>
      <c r="S949" s="1090">
        <f t="shared" si="164"/>
        <v>0</v>
      </c>
    </row>
    <row r="950" spans="1:19">
      <c r="A950" s="674">
        <f>Sheet2!E930</f>
        <v>0</v>
      </c>
      <c r="B950" s="57"/>
      <c r="C950" s="3236">
        <f t="shared" si="155"/>
        <v>1</v>
      </c>
      <c r="D950" s="676"/>
      <c r="E950" s="3236">
        <f t="shared" si="156"/>
        <v>1</v>
      </c>
      <c r="F950" s="676"/>
      <c r="G950" s="3236">
        <f t="shared" si="157"/>
        <v>1</v>
      </c>
      <c r="H950" s="676"/>
      <c r="I950" s="3236">
        <f t="shared" si="158"/>
        <v>1</v>
      </c>
      <c r="J950" s="676"/>
      <c r="K950" s="3236">
        <f t="shared" si="159"/>
        <v>1</v>
      </c>
      <c r="L950" s="676"/>
      <c r="M950" s="3236">
        <f t="shared" si="160"/>
        <v>1</v>
      </c>
      <c r="N950" s="676"/>
      <c r="O950" s="3236">
        <f t="shared" si="161"/>
        <v>1</v>
      </c>
      <c r="P950" s="676"/>
      <c r="Q950" s="3236">
        <f t="shared" si="162"/>
        <v>1</v>
      </c>
      <c r="R950" s="3237">
        <f t="shared" si="163"/>
        <v>0</v>
      </c>
      <c r="S950" s="1090">
        <f t="shared" si="164"/>
        <v>0</v>
      </c>
    </row>
    <row r="951" spans="1:19">
      <c r="A951" s="674">
        <f>Sheet2!E931</f>
        <v>0</v>
      </c>
      <c r="B951" s="57"/>
      <c r="C951" s="3236">
        <f t="shared" si="155"/>
        <v>1</v>
      </c>
      <c r="D951" s="676"/>
      <c r="E951" s="3236">
        <f t="shared" si="156"/>
        <v>1</v>
      </c>
      <c r="F951" s="676"/>
      <c r="G951" s="3236">
        <f t="shared" si="157"/>
        <v>1</v>
      </c>
      <c r="H951" s="676"/>
      <c r="I951" s="3236">
        <f t="shared" si="158"/>
        <v>1</v>
      </c>
      <c r="J951" s="676"/>
      <c r="K951" s="3236">
        <f t="shared" si="159"/>
        <v>1</v>
      </c>
      <c r="L951" s="676"/>
      <c r="M951" s="3236">
        <f t="shared" si="160"/>
        <v>1</v>
      </c>
      <c r="N951" s="676"/>
      <c r="O951" s="3236">
        <f t="shared" si="161"/>
        <v>1</v>
      </c>
      <c r="P951" s="676"/>
      <c r="Q951" s="3236">
        <f t="shared" si="162"/>
        <v>1</v>
      </c>
      <c r="R951" s="3237">
        <f t="shared" si="163"/>
        <v>0</v>
      </c>
      <c r="S951" s="1090">
        <f t="shared" si="164"/>
        <v>0</v>
      </c>
    </row>
    <row r="952" spans="1:19">
      <c r="A952" s="674">
        <f>Sheet2!E932</f>
        <v>0</v>
      </c>
      <c r="B952" s="57"/>
      <c r="C952" s="3236">
        <f t="shared" si="155"/>
        <v>1</v>
      </c>
      <c r="D952" s="676"/>
      <c r="E952" s="3236">
        <f t="shared" si="156"/>
        <v>1</v>
      </c>
      <c r="F952" s="676"/>
      <c r="G952" s="3236">
        <f t="shared" si="157"/>
        <v>1</v>
      </c>
      <c r="H952" s="676"/>
      <c r="I952" s="3236">
        <f t="shared" si="158"/>
        <v>1</v>
      </c>
      <c r="J952" s="676"/>
      <c r="K952" s="3236">
        <f t="shared" si="159"/>
        <v>1</v>
      </c>
      <c r="L952" s="676"/>
      <c r="M952" s="3236">
        <f t="shared" si="160"/>
        <v>1</v>
      </c>
      <c r="N952" s="676"/>
      <c r="O952" s="3236">
        <f t="shared" si="161"/>
        <v>1</v>
      </c>
      <c r="P952" s="676"/>
      <c r="Q952" s="3236">
        <f t="shared" si="162"/>
        <v>1</v>
      </c>
      <c r="R952" s="3237">
        <f t="shared" si="163"/>
        <v>0</v>
      </c>
      <c r="S952" s="1090">
        <f t="shared" si="164"/>
        <v>0</v>
      </c>
    </row>
    <row r="953" spans="1:19">
      <c r="A953" s="674">
        <f>Sheet2!E933</f>
        <v>0</v>
      </c>
      <c r="B953" s="57"/>
      <c r="C953" s="3236">
        <f t="shared" si="155"/>
        <v>1</v>
      </c>
      <c r="D953" s="676"/>
      <c r="E953" s="3236">
        <f t="shared" si="156"/>
        <v>1</v>
      </c>
      <c r="F953" s="676"/>
      <c r="G953" s="3236">
        <f t="shared" si="157"/>
        <v>1</v>
      </c>
      <c r="H953" s="676"/>
      <c r="I953" s="3236">
        <f t="shared" si="158"/>
        <v>1</v>
      </c>
      <c r="J953" s="676"/>
      <c r="K953" s="3236">
        <f t="shared" si="159"/>
        <v>1</v>
      </c>
      <c r="L953" s="676"/>
      <c r="M953" s="3236">
        <f t="shared" si="160"/>
        <v>1</v>
      </c>
      <c r="N953" s="676"/>
      <c r="O953" s="3236">
        <f t="shared" si="161"/>
        <v>1</v>
      </c>
      <c r="P953" s="676"/>
      <c r="Q953" s="3236">
        <f t="shared" si="162"/>
        <v>1</v>
      </c>
      <c r="R953" s="3237">
        <f t="shared" si="163"/>
        <v>0</v>
      </c>
      <c r="S953" s="1090">
        <f t="shared" si="164"/>
        <v>0</v>
      </c>
    </row>
    <row r="954" spans="1:19">
      <c r="A954" s="674">
        <f>Sheet2!E934</f>
        <v>0</v>
      </c>
      <c r="B954" s="57"/>
      <c r="C954" s="3236">
        <f t="shared" si="155"/>
        <v>1</v>
      </c>
      <c r="D954" s="676"/>
      <c r="E954" s="3236">
        <f t="shared" si="156"/>
        <v>1</v>
      </c>
      <c r="F954" s="676"/>
      <c r="G954" s="3236">
        <f t="shared" si="157"/>
        <v>1</v>
      </c>
      <c r="H954" s="676"/>
      <c r="I954" s="3236">
        <f t="shared" si="158"/>
        <v>1</v>
      </c>
      <c r="J954" s="676"/>
      <c r="K954" s="3236">
        <f t="shared" si="159"/>
        <v>1</v>
      </c>
      <c r="L954" s="676"/>
      <c r="M954" s="3236">
        <f t="shared" si="160"/>
        <v>1</v>
      </c>
      <c r="N954" s="676"/>
      <c r="O954" s="3236">
        <f t="shared" si="161"/>
        <v>1</v>
      </c>
      <c r="P954" s="676"/>
      <c r="Q954" s="3236">
        <f t="shared" si="162"/>
        <v>1</v>
      </c>
      <c r="R954" s="3237">
        <f t="shared" si="163"/>
        <v>0</v>
      </c>
      <c r="S954" s="1090">
        <f t="shared" si="164"/>
        <v>0</v>
      </c>
    </row>
    <row r="955" spans="1:19">
      <c r="A955" s="674">
        <f>Sheet2!E935</f>
        <v>0</v>
      </c>
      <c r="B955" s="57"/>
      <c r="C955" s="3236">
        <f t="shared" si="155"/>
        <v>1</v>
      </c>
      <c r="D955" s="676"/>
      <c r="E955" s="3236">
        <f t="shared" si="156"/>
        <v>1</v>
      </c>
      <c r="F955" s="676"/>
      <c r="G955" s="3236">
        <f t="shared" si="157"/>
        <v>1</v>
      </c>
      <c r="H955" s="676"/>
      <c r="I955" s="3236">
        <f t="shared" si="158"/>
        <v>1</v>
      </c>
      <c r="J955" s="676"/>
      <c r="K955" s="3236">
        <f t="shared" si="159"/>
        <v>1</v>
      </c>
      <c r="L955" s="676"/>
      <c r="M955" s="3236">
        <f t="shared" si="160"/>
        <v>1</v>
      </c>
      <c r="N955" s="676"/>
      <c r="O955" s="3236">
        <f t="shared" si="161"/>
        <v>1</v>
      </c>
      <c r="P955" s="676"/>
      <c r="Q955" s="3236">
        <f t="shared" si="162"/>
        <v>1</v>
      </c>
      <c r="R955" s="3237">
        <f t="shared" si="163"/>
        <v>0</v>
      </c>
      <c r="S955" s="1090">
        <f t="shared" si="164"/>
        <v>0</v>
      </c>
    </row>
    <row r="956" spans="1:19">
      <c r="A956" s="674">
        <f>Sheet2!E936</f>
        <v>0</v>
      </c>
      <c r="B956" s="57"/>
      <c r="C956" s="3236">
        <f t="shared" si="155"/>
        <v>1</v>
      </c>
      <c r="D956" s="676"/>
      <c r="E956" s="3236">
        <f t="shared" si="156"/>
        <v>1</v>
      </c>
      <c r="F956" s="676"/>
      <c r="G956" s="3236">
        <f t="shared" si="157"/>
        <v>1</v>
      </c>
      <c r="H956" s="676"/>
      <c r="I956" s="3236">
        <f t="shared" si="158"/>
        <v>1</v>
      </c>
      <c r="J956" s="676"/>
      <c r="K956" s="3236">
        <f t="shared" si="159"/>
        <v>1</v>
      </c>
      <c r="L956" s="676"/>
      <c r="M956" s="3236">
        <f t="shared" si="160"/>
        <v>1</v>
      </c>
      <c r="N956" s="676"/>
      <c r="O956" s="3236">
        <f t="shared" si="161"/>
        <v>1</v>
      </c>
      <c r="P956" s="676"/>
      <c r="Q956" s="3236">
        <f t="shared" si="162"/>
        <v>1</v>
      </c>
      <c r="R956" s="3237">
        <f t="shared" si="163"/>
        <v>0</v>
      </c>
      <c r="S956" s="1090">
        <f t="shared" si="164"/>
        <v>0</v>
      </c>
    </row>
    <row r="957" spans="1:19">
      <c r="A957" s="674">
        <f>Sheet2!E937</f>
        <v>0</v>
      </c>
      <c r="B957" s="57"/>
      <c r="C957" s="3236">
        <f t="shared" si="155"/>
        <v>1</v>
      </c>
      <c r="D957" s="676"/>
      <c r="E957" s="3236">
        <f t="shared" si="156"/>
        <v>1</v>
      </c>
      <c r="F957" s="676"/>
      <c r="G957" s="3236">
        <f t="shared" si="157"/>
        <v>1</v>
      </c>
      <c r="H957" s="676"/>
      <c r="I957" s="3236">
        <f t="shared" si="158"/>
        <v>1</v>
      </c>
      <c r="J957" s="676"/>
      <c r="K957" s="3236">
        <f t="shared" si="159"/>
        <v>1</v>
      </c>
      <c r="L957" s="676"/>
      <c r="M957" s="3236">
        <f t="shared" si="160"/>
        <v>1</v>
      </c>
      <c r="N957" s="676"/>
      <c r="O957" s="3236">
        <f t="shared" si="161"/>
        <v>1</v>
      </c>
      <c r="P957" s="676"/>
      <c r="Q957" s="3236">
        <f t="shared" si="162"/>
        <v>1</v>
      </c>
      <c r="R957" s="3237">
        <f t="shared" si="163"/>
        <v>0</v>
      </c>
      <c r="S957" s="1090">
        <f t="shared" si="164"/>
        <v>0</v>
      </c>
    </row>
    <row r="958" spans="1:19">
      <c r="A958" s="674">
        <f>Sheet2!E938</f>
        <v>0</v>
      </c>
      <c r="B958" s="57"/>
      <c r="C958" s="3236">
        <f t="shared" si="155"/>
        <v>1</v>
      </c>
      <c r="D958" s="676"/>
      <c r="E958" s="3236">
        <f t="shared" si="156"/>
        <v>1</v>
      </c>
      <c r="F958" s="676"/>
      <c r="G958" s="3236">
        <f t="shared" si="157"/>
        <v>1</v>
      </c>
      <c r="H958" s="676"/>
      <c r="I958" s="3236">
        <f t="shared" si="158"/>
        <v>1</v>
      </c>
      <c r="J958" s="676"/>
      <c r="K958" s="3236">
        <f t="shared" si="159"/>
        <v>1</v>
      </c>
      <c r="L958" s="676"/>
      <c r="M958" s="3236">
        <f t="shared" si="160"/>
        <v>1</v>
      </c>
      <c r="N958" s="676"/>
      <c r="O958" s="3236">
        <f t="shared" si="161"/>
        <v>1</v>
      </c>
      <c r="P958" s="676"/>
      <c r="Q958" s="3236">
        <f t="shared" si="162"/>
        <v>1</v>
      </c>
      <c r="R958" s="3237">
        <f t="shared" si="163"/>
        <v>0</v>
      </c>
      <c r="S958" s="1090">
        <f t="shared" si="164"/>
        <v>0</v>
      </c>
    </row>
    <row r="959" spans="1:19">
      <c r="A959" s="674">
        <f>Sheet2!E939</f>
        <v>0</v>
      </c>
      <c r="B959" s="57"/>
      <c r="C959" s="3236">
        <f t="shared" si="155"/>
        <v>1</v>
      </c>
      <c r="D959" s="676"/>
      <c r="E959" s="3236">
        <f t="shared" si="156"/>
        <v>1</v>
      </c>
      <c r="F959" s="676"/>
      <c r="G959" s="3236">
        <f t="shared" si="157"/>
        <v>1</v>
      </c>
      <c r="H959" s="676"/>
      <c r="I959" s="3236">
        <f t="shared" si="158"/>
        <v>1</v>
      </c>
      <c r="J959" s="676"/>
      <c r="K959" s="3236">
        <f t="shared" si="159"/>
        <v>1</v>
      </c>
      <c r="L959" s="676"/>
      <c r="M959" s="3236">
        <f t="shared" si="160"/>
        <v>1</v>
      </c>
      <c r="N959" s="676"/>
      <c r="O959" s="3236">
        <f t="shared" si="161"/>
        <v>1</v>
      </c>
      <c r="P959" s="676"/>
      <c r="Q959" s="3236">
        <f t="shared" si="162"/>
        <v>1</v>
      </c>
      <c r="R959" s="3237">
        <f t="shared" si="163"/>
        <v>0</v>
      </c>
      <c r="S959" s="1090">
        <f t="shared" si="164"/>
        <v>0</v>
      </c>
    </row>
    <row r="960" spans="1:19">
      <c r="A960" s="674">
        <f>Sheet2!E940</f>
        <v>0</v>
      </c>
      <c r="B960" s="57"/>
      <c r="C960" s="3236">
        <f t="shared" si="155"/>
        <v>1</v>
      </c>
      <c r="D960" s="676"/>
      <c r="E960" s="3236">
        <f t="shared" si="156"/>
        <v>1</v>
      </c>
      <c r="F960" s="676"/>
      <c r="G960" s="3236">
        <f t="shared" si="157"/>
        <v>1</v>
      </c>
      <c r="H960" s="676"/>
      <c r="I960" s="3236">
        <f t="shared" si="158"/>
        <v>1</v>
      </c>
      <c r="J960" s="676"/>
      <c r="K960" s="3236">
        <f t="shared" si="159"/>
        <v>1</v>
      </c>
      <c r="L960" s="676"/>
      <c r="M960" s="3236">
        <f t="shared" si="160"/>
        <v>1</v>
      </c>
      <c r="N960" s="676"/>
      <c r="O960" s="3236">
        <f t="shared" si="161"/>
        <v>1</v>
      </c>
      <c r="P960" s="676"/>
      <c r="Q960" s="3236">
        <f t="shared" si="162"/>
        <v>1</v>
      </c>
      <c r="R960" s="3237">
        <f t="shared" si="163"/>
        <v>0</v>
      </c>
      <c r="S960" s="1090">
        <f t="shared" si="164"/>
        <v>0</v>
      </c>
    </row>
    <row r="961" spans="1:19">
      <c r="A961" s="674">
        <f>Sheet2!E941</f>
        <v>0</v>
      </c>
      <c r="B961" s="57"/>
      <c r="C961" s="3236">
        <f t="shared" si="155"/>
        <v>1</v>
      </c>
      <c r="D961" s="676"/>
      <c r="E961" s="3236">
        <f t="shared" si="156"/>
        <v>1</v>
      </c>
      <c r="F961" s="676"/>
      <c r="G961" s="3236">
        <f t="shared" si="157"/>
        <v>1</v>
      </c>
      <c r="H961" s="676"/>
      <c r="I961" s="3236">
        <f t="shared" si="158"/>
        <v>1</v>
      </c>
      <c r="J961" s="676"/>
      <c r="K961" s="3236">
        <f t="shared" si="159"/>
        <v>1</v>
      </c>
      <c r="L961" s="676"/>
      <c r="M961" s="3236">
        <f t="shared" si="160"/>
        <v>1</v>
      </c>
      <c r="N961" s="676"/>
      <c r="O961" s="3236">
        <f t="shared" si="161"/>
        <v>1</v>
      </c>
      <c r="P961" s="676"/>
      <c r="Q961" s="3236">
        <f t="shared" si="162"/>
        <v>1</v>
      </c>
      <c r="R961" s="3237">
        <f t="shared" si="163"/>
        <v>0</v>
      </c>
      <c r="S961" s="1090">
        <f t="shared" si="164"/>
        <v>0</v>
      </c>
    </row>
    <row r="962" spans="1:19">
      <c r="A962" s="674">
        <f>Sheet2!E942</f>
        <v>0</v>
      </c>
      <c r="B962" s="57"/>
      <c r="C962" s="3236">
        <f t="shared" si="155"/>
        <v>1</v>
      </c>
      <c r="D962" s="676"/>
      <c r="E962" s="3236">
        <f t="shared" si="156"/>
        <v>1</v>
      </c>
      <c r="F962" s="676"/>
      <c r="G962" s="3236">
        <f t="shared" si="157"/>
        <v>1</v>
      </c>
      <c r="H962" s="676"/>
      <c r="I962" s="3236">
        <f t="shared" si="158"/>
        <v>1</v>
      </c>
      <c r="J962" s="676"/>
      <c r="K962" s="3236">
        <f t="shared" si="159"/>
        <v>1</v>
      </c>
      <c r="L962" s="676"/>
      <c r="M962" s="3236">
        <f t="shared" si="160"/>
        <v>1</v>
      </c>
      <c r="N962" s="676"/>
      <c r="O962" s="3236">
        <f t="shared" si="161"/>
        <v>1</v>
      </c>
      <c r="P962" s="676"/>
      <c r="Q962" s="3236">
        <f t="shared" si="162"/>
        <v>1</v>
      </c>
      <c r="R962" s="3237">
        <f t="shared" si="163"/>
        <v>0</v>
      </c>
      <c r="S962" s="1090">
        <f t="shared" si="164"/>
        <v>0</v>
      </c>
    </row>
    <row r="963" spans="1:19">
      <c r="A963" s="674">
        <f>Sheet2!E943</f>
        <v>0</v>
      </c>
      <c r="B963" s="57"/>
      <c r="C963" s="3236">
        <f t="shared" si="155"/>
        <v>1</v>
      </c>
      <c r="D963" s="676"/>
      <c r="E963" s="3236">
        <f t="shared" si="156"/>
        <v>1</v>
      </c>
      <c r="F963" s="676"/>
      <c r="G963" s="3236">
        <f t="shared" si="157"/>
        <v>1</v>
      </c>
      <c r="H963" s="676"/>
      <c r="I963" s="3236">
        <f t="shared" si="158"/>
        <v>1</v>
      </c>
      <c r="J963" s="676"/>
      <c r="K963" s="3236">
        <f t="shared" si="159"/>
        <v>1</v>
      </c>
      <c r="L963" s="676"/>
      <c r="M963" s="3236">
        <f t="shared" si="160"/>
        <v>1</v>
      </c>
      <c r="N963" s="676"/>
      <c r="O963" s="3236">
        <f t="shared" si="161"/>
        <v>1</v>
      </c>
      <c r="P963" s="676"/>
      <c r="Q963" s="3236">
        <f t="shared" si="162"/>
        <v>1</v>
      </c>
      <c r="R963" s="3237">
        <f t="shared" si="163"/>
        <v>0</v>
      </c>
      <c r="S963" s="1090">
        <f t="shared" si="164"/>
        <v>0</v>
      </c>
    </row>
    <row r="964" spans="1:19">
      <c r="A964" s="674">
        <f>Sheet2!E944</f>
        <v>0</v>
      </c>
      <c r="B964" s="57"/>
      <c r="C964" s="3236">
        <f t="shared" si="155"/>
        <v>1</v>
      </c>
      <c r="D964" s="676"/>
      <c r="E964" s="3236">
        <f t="shared" si="156"/>
        <v>1</v>
      </c>
      <c r="F964" s="676"/>
      <c r="G964" s="3236">
        <f t="shared" si="157"/>
        <v>1</v>
      </c>
      <c r="H964" s="676"/>
      <c r="I964" s="3236">
        <f t="shared" si="158"/>
        <v>1</v>
      </c>
      <c r="J964" s="676"/>
      <c r="K964" s="3236">
        <f t="shared" si="159"/>
        <v>1</v>
      </c>
      <c r="L964" s="676"/>
      <c r="M964" s="3236">
        <f t="shared" si="160"/>
        <v>1</v>
      </c>
      <c r="N964" s="676"/>
      <c r="O964" s="3236">
        <f t="shared" si="161"/>
        <v>1</v>
      </c>
      <c r="P964" s="676"/>
      <c r="Q964" s="3236">
        <f t="shared" si="162"/>
        <v>1</v>
      </c>
      <c r="R964" s="3237">
        <f t="shared" si="163"/>
        <v>0</v>
      </c>
      <c r="S964" s="1090">
        <f t="shared" si="164"/>
        <v>0</v>
      </c>
    </row>
    <row r="965" spans="1:19">
      <c r="A965" s="674">
        <f>Sheet2!E945</f>
        <v>0</v>
      </c>
      <c r="B965" s="57"/>
      <c r="C965" s="3236">
        <f t="shared" si="155"/>
        <v>1</v>
      </c>
      <c r="D965" s="676"/>
      <c r="E965" s="3236">
        <f t="shared" si="156"/>
        <v>1</v>
      </c>
      <c r="F965" s="676"/>
      <c r="G965" s="3236">
        <f t="shared" si="157"/>
        <v>1</v>
      </c>
      <c r="H965" s="676"/>
      <c r="I965" s="3236">
        <f t="shared" si="158"/>
        <v>1</v>
      </c>
      <c r="J965" s="676"/>
      <c r="K965" s="3236">
        <f t="shared" si="159"/>
        <v>1</v>
      </c>
      <c r="L965" s="676"/>
      <c r="M965" s="3236">
        <f t="shared" si="160"/>
        <v>1</v>
      </c>
      <c r="N965" s="676"/>
      <c r="O965" s="3236">
        <f t="shared" si="161"/>
        <v>1</v>
      </c>
      <c r="P965" s="676"/>
      <c r="Q965" s="3236">
        <f t="shared" si="162"/>
        <v>1</v>
      </c>
      <c r="R965" s="3237">
        <f t="shared" si="163"/>
        <v>0</v>
      </c>
      <c r="S965" s="1090">
        <f t="shared" si="164"/>
        <v>0</v>
      </c>
    </row>
    <row r="966" spans="1:19">
      <c r="A966" s="674">
        <f>Sheet2!E946</f>
        <v>0</v>
      </c>
      <c r="B966" s="57"/>
      <c r="C966" s="3236">
        <f t="shared" si="155"/>
        <v>1</v>
      </c>
      <c r="D966" s="676"/>
      <c r="E966" s="3236">
        <f t="shared" si="156"/>
        <v>1</v>
      </c>
      <c r="F966" s="676"/>
      <c r="G966" s="3236">
        <f t="shared" si="157"/>
        <v>1</v>
      </c>
      <c r="H966" s="676"/>
      <c r="I966" s="3236">
        <f t="shared" si="158"/>
        <v>1</v>
      </c>
      <c r="J966" s="676"/>
      <c r="K966" s="3236">
        <f t="shared" si="159"/>
        <v>1</v>
      </c>
      <c r="L966" s="676"/>
      <c r="M966" s="3236">
        <f t="shared" si="160"/>
        <v>1</v>
      </c>
      <c r="N966" s="676"/>
      <c r="O966" s="3236">
        <f t="shared" si="161"/>
        <v>1</v>
      </c>
      <c r="P966" s="676"/>
      <c r="Q966" s="3236">
        <f t="shared" si="162"/>
        <v>1</v>
      </c>
      <c r="R966" s="3237">
        <f t="shared" si="163"/>
        <v>0</v>
      </c>
      <c r="S966" s="1090">
        <f t="shared" si="164"/>
        <v>0</v>
      </c>
    </row>
    <row r="967" spans="1:19">
      <c r="A967" s="674">
        <f>Sheet2!E947</f>
        <v>0</v>
      </c>
      <c r="B967" s="57"/>
      <c r="C967" s="3236">
        <f t="shared" si="155"/>
        <v>1</v>
      </c>
      <c r="D967" s="676"/>
      <c r="E967" s="3236">
        <f t="shared" si="156"/>
        <v>1</v>
      </c>
      <c r="F967" s="676"/>
      <c r="G967" s="3236">
        <f t="shared" si="157"/>
        <v>1</v>
      </c>
      <c r="H967" s="676"/>
      <c r="I967" s="3236">
        <f t="shared" si="158"/>
        <v>1</v>
      </c>
      <c r="J967" s="676"/>
      <c r="K967" s="3236">
        <f t="shared" si="159"/>
        <v>1</v>
      </c>
      <c r="L967" s="676"/>
      <c r="M967" s="3236">
        <f t="shared" si="160"/>
        <v>1</v>
      </c>
      <c r="N967" s="676"/>
      <c r="O967" s="3236">
        <f t="shared" si="161"/>
        <v>1</v>
      </c>
      <c r="P967" s="676"/>
      <c r="Q967" s="3236">
        <f t="shared" si="162"/>
        <v>1</v>
      </c>
      <c r="R967" s="3237">
        <f t="shared" si="163"/>
        <v>0</v>
      </c>
      <c r="S967" s="1090">
        <f t="shared" si="164"/>
        <v>0</v>
      </c>
    </row>
    <row r="968" spans="1:19">
      <c r="A968" s="674">
        <f>Sheet2!E948</f>
        <v>0</v>
      </c>
      <c r="B968" s="57"/>
      <c r="C968" s="3236">
        <f t="shared" si="155"/>
        <v>1</v>
      </c>
      <c r="D968" s="676"/>
      <c r="E968" s="3236">
        <f t="shared" si="156"/>
        <v>1</v>
      </c>
      <c r="F968" s="676"/>
      <c r="G968" s="3236">
        <f t="shared" si="157"/>
        <v>1</v>
      </c>
      <c r="H968" s="676"/>
      <c r="I968" s="3236">
        <f t="shared" si="158"/>
        <v>1</v>
      </c>
      <c r="J968" s="676"/>
      <c r="K968" s="3236">
        <f t="shared" si="159"/>
        <v>1</v>
      </c>
      <c r="L968" s="676"/>
      <c r="M968" s="3236">
        <f t="shared" si="160"/>
        <v>1</v>
      </c>
      <c r="N968" s="676"/>
      <c r="O968" s="3236">
        <f t="shared" si="161"/>
        <v>1</v>
      </c>
      <c r="P968" s="676"/>
      <c r="Q968" s="3236">
        <f t="shared" si="162"/>
        <v>1</v>
      </c>
      <c r="R968" s="3237">
        <f t="shared" si="163"/>
        <v>0</v>
      </c>
      <c r="S968" s="1090">
        <f t="shared" si="164"/>
        <v>0</v>
      </c>
    </row>
    <row r="969" spans="1:19">
      <c r="A969" s="674">
        <f>Sheet2!E949</f>
        <v>0</v>
      </c>
      <c r="B969" s="57"/>
      <c r="C969" s="3236">
        <f t="shared" si="155"/>
        <v>1</v>
      </c>
      <c r="D969" s="676"/>
      <c r="E969" s="3236">
        <f t="shared" si="156"/>
        <v>1</v>
      </c>
      <c r="F969" s="676"/>
      <c r="G969" s="3236">
        <f t="shared" si="157"/>
        <v>1</v>
      </c>
      <c r="H969" s="676"/>
      <c r="I969" s="3236">
        <f t="shared" si="158"/>
        <v>1</v>
      </c>
      <c r="J969" s="676"/>
      <c r="K969" s="3236">
        <f t="shared" si="159"/>
        <v>1</v>
      </c>
      <c r="L969" s="676"/>
      <c r="M969" s="3236">
        <f t="shared" si="160"/>
        <v>1</v>
      </c>
      <c r="N969" s="676"/>
      <c r="O969" s="3236">
        <f t="shared" si="161"/>
        <v>1</v>
      </c>
      <c r="P969" s="676"/>
      <c r="Q969" s="3236">
        <f t="shared" si="162"/>
        <v>1</v>
      </c>
      <c r="R969" s="3237">
        <f t="shared" si="163"/>
        <v>0</v>
      </c>
      <c r="S969" s="1090">
        <f t="shared" si="164"/>
        <v>0</v>
      </c>
    </row>
    <row r="970" spans="1:19">
      <c r="A970" s="674">
        <f>Sheet2!E950</f>
        <v>0</v>
      </c>
      <c r="B970" s="57"/>
      <c r="C970" s="3236">
        <f t="shared" si="155"/>
        <v>1</v>
      </c>
      <c r="D970" s="676"/>
      <c r="E970" s="3236">
        <f t="shared" si="156"/>
        <v>1</v>
      </c>
      <c r="F970" s="676"/>
      <c r="G970" s="3236">
        <f t="shared" si="157"/>
        <v>1</v>
      </c>
      <c r="H970" s="676"/>
      <c r="I970" s="3236">
        <f t="shared" si="158"/>
        <v>1</v>
      </c>
      <c r="J970" s="676"/>
      <c r="K970" s="3236">
        <f t="shared" si="159"/>
        <v>1</v>
      </c>
      <c r="L970" s="676"/>
      <c r="M970" s="3236">
        <f t="shared" si="160"/>
        <v>1</v>
      </c>
      <c r="N970" s="676"/>
      <c r="O970" s="3236">
        <f t="shared" si="161"/>
        <v>1</v>
      </c>
      <c r="P970" s="676"/>
      <c r="Q970" s="3236">
        <f t="shared" si="162"/>
        <v>1</v>
      </c>
      <c r="R970" s="3237">
        <f t="shared" si="163"/>
        <v>0</v>
      </c>
      <c r="S970" s="1090">
        <f t="shared" si="164"/>
        <v>0</v>
      </c>
    </row>
    <row r="971" spans="1:19">
      <c r="A971" s="674">
        <f>Sheet2!E951</f>
        <v>0</v>
      </c>
      <c r="B971" s="57"/>
      <c r="C971" s="3236">
        <f t="shared" si="155"/>
        <v>1</v>
      </c>
      <c r="D971" s="676"/>
      <c r="E971" s="3236">
        <f t="shared" si="156"/>
        <v>1</v>
      </c>
      <c r="F971" s="676"/>
      <c r="G971" s="3236">
        <f t="shared" si="157"/>
        <v>1</v>
      </c>
      <c r="H971" s="676"/>
      <c r="I971" s="3236">
        <f t="shared" si="158"/>
        <v>1</v>
      </c>
      <c r="J971" s="676"/>
      <c r="K971" s="3236">
        <f t="shared" si="159"/>
        <v>1</v>
      </c>
      <c r="L971" s="676"/>
      <c r="M971" s="3236">
        <f t="shared" si="160"/>
        <v>1</v>
      </c>
      <c r="N971" s="676"/>
      <c r="O971" s="3236">
        <f t="shared" si="161"/>
        <v>1</v>
      </c>
      <c r="P971" s="676"/>
      <c r="Q971" s="3236">
        <f t="shared" si="162"/>
        <v>1</v>
      </c>
      <c r="R971" s="3237">
        <f t="shared" si="163"/>
        <v>0</v>
      </c>
      <c r="S971" s="1090">
        <f t="shared" si="164"/>
        <v>0</v>
      </c>
    </row>
    <row r="972" spans="1:19">
      <c r="A972" s="674">
        <f>Sheet2!E952</f>
        <v>0</v>
      </c>
      <c r="B972" s="57"/>
      <c r="C972" s="3236">
        <f t="shared" si="155"/>
        <v>1</v>
      </c>
      <c r="D972" s="676"/>
      <c r="E972" s="3236">
        <f t="shared" si="156"/>
        <v>1</v>
      </c>
      <c r="F972" s="676"/>
      <c r="G972" s="3236">
        <f t="shared" si="157"/>
        <v>1</v>
      </c>
      <c r="H972" s="676"/>
      <c r="I972" s="3236">
        <f t="shared" si="158"/>
        <v>1</v>
      </c>
      <c r="J972" s="676"/>
      <c r="K972" s="3236">
        <f t="shared" si="159"/>
        <v>1</v>
      </c>
      <c r="L972" s="676"/>
      <c r="M972" s="3236">
        <f t="shared" si="160"/>
        <v>1</v>
      </c>
      <c r="N972" s="676"/>
      <c r="O972" s="3236">
        <f t="shared" si="161"/>
        <v>1</v>
      </c>
      <c r="P972" s="676"/>
      <c r="Q972" s="3236">
        <f t="shared" si="162"/>
        <v>1</v>
      </c>
      <c r="R972" s="3237">
        <f t="shared" si="163"/>
        <v>0</v>
      </c>
      <c r="S972" s="1090">
        <f t="shared" si="164"/>
        <v>0</v>
      </c>
    </row>
    <row r="973" spans="1:19">
      <c r="A973" s="674">
        <f>Sheet2!E953</f>
        <v>0</v>
      </c>
      <c r="B973" s="57"/>
      <c r="C973" s="3236">
        <f t="shared" ref="C973:C1036" si="165">IF(B973="",1,(LOOKUP(B973,$3:$3,$4:$4)-LOOKUP($B$24,$3:$3,$4:$4)+100)/100)</f>
        <v>1</v>
      </c>
      <c r="D973" s="676"/>
      <c r="E973" s="3236">
        <f t="shared" ref="E973:E1036" si="166">(SUMIF($5:$5,D973,$6:$6)-SUMIF($5:$5,$D$24,$6:$6)+100)/100</f>
        <v>1</v>
      </c>
      <c r="F973" s="676"/>
      <c r="G973" s="3236">
        <f t="shared" ref="G973:G1036" si="167">(SUMIF($7:$7,F973,$8:$8)-SUMIF($7:$7,$F$24,$8:$8)+100)/100</f>
        <v>1</v>
      </c>
      <c r="H973" s="676"/>
      <c r="I973" s="3236">
        <f t="shared" ref="I973:I1036" si="168">(SUMIF($9:$9,H973,$10:$10)-SUMIF($9:$9,$H$24,$10:$10)+100)/100</f>
        <v>1</v>
      </c>
      <c r="J973" s="676"/>
      <c r="K973" s="3236">
        <f t="shared" ref="K973:K1036" si="169">(SUMIF($11:$11,J973,$12:$12)-SUMIF($11:$11,$J$24,$12:$12)+100)/100</f>
        <v>1</v>
      </c>
      <c r="L973" s="676"/>
      <c r="M973" s="3236">
        <f t="shared" ref="M973:M1036" si="170">(SUMIF($13:$13,L973,$14:$14)-SUMIF($13:$13,$L$24,$14:$14)+100)/100</f>
        <v>1</v>
      </c>
      <c r="N973" s="676"/>
      <c r="O973" s="3236">
        <f t="shared" ref="O973:O1036" si="171">(SUMIF($15:$15,N973,$16:$16)-SUMIF($15:$15,$N$24,$16:$16)+100)/100</f>
        <v>1</v>
      </c>
      <c r="P973" s="676"/>
      <c r="Q973" s="3236">
        <f t="shared" ref="Q973:Q1036" si="172">(SUMIF($17:$17,P973,$18:$18)-SUMIF($17:$17,$P$24,$18:$18)+100)/100</f>
        <v>1</v>
      </c>
      <c r="R973" s="3237">
        <f t="shared" ref="R973:R1036" si="173">IF(B973="",0,ROUND($R$24*C973*E973*G973*I973*K973*M973*O973*Q973,0))</f>
        <v>0</v>
      </c>
      <c r="S973" s="1090">
        <f t="shared" ref="S973:S1036" si="174">ROUND(R973*B973/10000,0)</f>
        <v>0</v>
      </c>
    </row>
    <row r="974" spans="1:19">
      <c r="A974" s="674">
        <f>Sheet2!E954</f>
        <v>0</v>
      </c>
      <c r="B974" s="57"/>
      <c r="C974" s="3236">
        <f t="shared" si="165"/>
        <v>1</v>
      </c>
      <c r="D974" s="676"/>
      <c r="E974" s="3236">
        <f t="shared" si="166"/>
        <v>1</v>
      </c>
      <c r="F974" s="676"/>
      <c r="G974" s="3236">
        <f t="shared" si="167"/>
        <v>1</v>
      </c>
      <c r="H974" s="676"/>
      <c r="I974" s="3236">
        <f t="shared" si="168"/>
        <v>1</v>
      </c>
      <c r="J974" s="676"/>
      <c r="K974" s="3236">
        <f t="shared" si="169"/>
        <v>1</v>
      </c>
      <c r="L974" s="676"/>
      <c r="M974" s="3236">
        <f t="shared" si="170"/>
        <v>1</v>
      </c>
      <c r="N974" s="676"/>
      <c r="O974" s="3236">
        <f t="shared" si="171"/>
        <v>1</v>
      </c>
      <c r="P974" s="676"/>
      <c r="Q974" s="3236">
        <f t="shared" si="172"/>
        <v>1</v>
      </c>
      <c r="R974" s="3237">
        <f t="shared" si="173"/>
        <v>0</v>
      </c>
      <c r="S974" s="1090">
        <f t="shared" si="174"/>
        <v>0</v>
      </c>
    </row>
    <row r="975" spans="1:19">
      <c r="A975" s="674">
        <f>Sheet2!E955</f>
        <v>0</v>
      </c>
      <c r="B975" s="57"/>
      <c r="C975" s="3236">
        <f t="shared" si="165"/>
        <v>1</v>
      </c>
      <c r="D975" s="676"/>
      <c r="E975" s="3236">
        <f t="shared" si="166"/>
        <v>1</v>
      </c>
      <c r="F975" s="676"/>
      <c r="G975" s="3236">
        <f t="shared" si="167"/>
        <v>1</v>
      </c>
      <c r="H975" s="676"/>
      <c r="I975" s="3236">
        <f t="shared" si="168"/>
        <v>1</v>
      </c>
      <c r="J975" s="676"/>
      <c r="K975" s="3236">
        <f t="shared" si="169"/>
        <v>1</v>
      </c>
      <c r="L975" s="676"/>
      <c r="M975" s="3236">
        <f t="shared" si="170"/>
        <v>1</v>
      </c>
      <c r="N975" s="676"/>
      <c r="O975" s="3236">
        <f t="shared" si="171"/>
        <v>1</v>
      </c>
      <c r="P975" s="676"/>
      <c r="Q975" s="3236">
        <f t="shared" si="172"/>
        <v>1</v>
      </c>
      <c r="R975" s="3237">
        <f t="shared" si="173"/>
        <v>0</v>
      </c>
      <c r="S975" s="1090">
        <f t="shared" si="174"/>
        <v>0</v>
      </c>
    </row>
    <row r="976" spans="1:19">
      <c r="A976" s="674">
        <f>Sheet2!E956</f>
        <v>0</v>
      </c>
      <c r="B976" s="57"/>
      <c r="C976" s="3236">
        <f t="shared" si="165"/>
        <v>1</v>
      </c>
      <c r="D976" s="676"/>
      <c r="E976" s="3236">
        <f t="shared" si="166"/>
        <v>1</v>
      </c>
      <c r="F976" s="676"/>
      <c r="G976" s="3236">
        <f t="shared" si="167"/>
        <v>1</v>
      </c>
      <c r="H976" s="676"/>
      <c r="I976" s="3236">
        <f t="shared" si="168"/>
        <v>1</v>
      </c>
      <c r="J976" s="676"/>
      <c r="K976" s="3236">
        <f t="shared" si="169"/>
        <v>1</v>
      </c>
      <c r="L976" s="676"/>
      <c r="M976" s="3236">
        <f t="shared" si="170"/>
        <v>1</v>
      </c>
      <c r="N976" s="676"/>
      <c r="O976" s="3236">
        <f t="shared" si="171"/>
        <v>1</v>
      </c>
      <c r="P976" s="676"/>
      <c r="Q976" s="3236">
        <f t="shared" si="172"/>
        <v>1</v>
      </c>
      <c r="R976" s="3237">
        <f t="shared" si="173"/>
        <v>0</v>
      </c>
      <c r="S976" s="1090">
        <f t="shared" si="174"/>
        <v>0</v>
      </c>
    </row>
    <row r="977" spans="1:19">
      <c r="A977" s="674">
        <f>Sheet2!E957</f>
        <v>0</v>
      </c>
      <c r="B977" s="57"/>
      <c r="C977" s="3236">
        <f t="shared" si="165"/>
        <v>1</v>
      </c>
      <c r="D977" s="676"/>
      <c r="E977" s="3236">
        <f t="shared" si="166"/>
        <v>1</v>
      </c>
      <c r="F977" s="676"/>
      <c r="G977" s="3236">
        <f t="shared" si="167"/>
        <v>1</v>
      </c>
      <c r="H977" s="676"/>
      <c r="I977" s="3236">
        <f t="shared" si="168"/>
        <v>1</v>
      </c>
      <c r="J977" s="676"/>
      <c r="K977" s="3236">
        <f t="shared" si="169"/>
        <v>1</v>
      </c>
      <c r="L977" s="676"/>
      <c r="M977" s="3236">
        <f t="shared" si="170"/>
        <v>1</v>
      </c>
      <c r="N977" s="676"/>
      <c r="O977" s="3236">
        <f t="shared" si="171"/>
        <v>1</v>
      </c>
      <c r="P977" s="676"/>
      <c r="Q977" s="3236">
        <f t="shared" si="172"/>
        <v>1</v>
      </c>
      <c r="R977" s="3237">
        <f t="shared" si="173"/>
        <v>0</v>
      </c>
      <c r="S977" s="1090">
        <f t="shared" si="174"/>
        <v>0</v>
      </c>
    </row>
    <row r="978" spans="1:19">
      <c r="A978" s="674">
        <f>Sheet2!E958</f>
        <v>0</v>
      </c>
      <c r="B978" s="57"/>
      <c r="C978" s="3236">
        <f t="shared" si="165"/>
        <v>1</v>
      </c>
      <c r="D978" s="676"/>
      <c r="E978" s="3236">
        <f t="shared" si="166"/>
        <v>1</v>
      </c>
      <c r="F978" s="676"/>
      <c r="G978" s="3236">
        <f t="shared" si="167"/>
        <v>1</v>
      </c>
      <c r="H978" s="676"/>
      <c r="I978" s="3236">
        <f t="shared" si="168"/>
        <v>1</v>
      </c>
      <c r="J978" s="676"/>
      <c r="K978" s="3236">
        <f t="shared" si="169"/>
        <v>1</v>
      </c>
      <c r="L978" s="676"/>
      <c r="M978" s="3236">
        <f t="shared" si="170"/>
        <v>1</v>
      </c>
      <c r="N978" s="676"/>
      <c r="O978" s="3236">
        <f t="shared" si="171"/>
        <v>1</v>
      </c>
      <c r="P978" s="676"/>
      <c r="Q978" s="3236">
        <f t="shared" si="172"/>
        <v>1</v>
      </c>
      <c r="R978" s="3237">
        <f t="shared" si="173"/>
        <v>0</v>
      </c>
      <c r="S978" s="1090">
        <f t="shared" si="174"/>
        <v>0</v>
      </c>
    </row>
    <row r="979" spans="1:19">
      <c r="A979" s="674">
        <f>Sheet2!E959</f>
        <v>0</v>
      </c>
      <c r="B979" s="57"/>
      <c r="C979" s="3236">
        <f t="shared" si="165"/>
        <v>1</v>
      </c>
      <c r="D979" s="676"/>
      <c r="E979" s="3236">
        <f t="shared" si="166"/>
        <v>1</v>
      </c>
      <c r="F979" s="676"/>
      <c r="G979" s="3236">
        <f t="shared" si="167"/>
        <v>1</v>
      </c>
      <c r="H979" s="676"/>
      <c r="I979" s="3236">
        <f t="shared" si="168"/>
        <v>1</v>
      </c>
      <c r="J979" s="676"/>
      <c r="K979" s="3236">
        <f t="shared" si="169"/>
        <v>1</v>
      </c>
      <c r="L979" s="676"/>
      <c r="M979" s="3236">
        <f t="shared" si="170"/>
        <v>1</v>
      </c>
      <c r="N979" s="676"/>
      <c r="O979" s="3236">
        <f t="shared" si="171"/>
        <v>1</v>
      </c>
      <c r="P979" s="676"/>
      <c r="Q979" s="3236">
        <f t="shared" si="172"/>
        <v>1</v>
      </c>
      <c r="R979" s="3237">
        <f t="shared" si="173"/>
        <v>0</v>
      </c>
      <c r="S979" s="1090">
        <f t="shared" si="174"/>
        <v>0</v>
      </c>
    </row>
    <row r="980" spans="1:19">
      <c r="A980" s="674">
        <f>Sheet2!E960</f>
        <v>0</v>
      </c>
      <c r="B980" s="57"/>
      <c r="C980" s="3236">
        <f t="shared" si="165"/>
        <v>1</v>
      </c>
      <c r="D980" s="676"/>
      <c r="E980" s="3236">
        <f t="shared" si="166"/>
        <v>1</v>
      </c>
      <c r="F980" s="676"/>
      <c r="G980" s="3236">
        <f t="shared" si="167"/>
        <v>1</v>
      </c>
      <c r="H980" s="676"/>
      <c r="I980" s="3236">
        <f t="shared" si="168"/>
        <v>1</v>
      </c>
      <c r="J980" s="676"/>
      <c r="K980" s="3236">
        <f t="shared" si="169"/>
        <v>1</v>
      </c>
      <c r="L980" s="676"/>
      <c r="M980" s="3236">
        <f t="shared" si="170"/>
        <v>1</v>
      </c>
      <c r="N980" s="676"/>
      <c r="O980" s="3236">
        <f t="shared" si="171"/>
        <v>1</v>
      </c>
      <c r="P980" s="676"/>
      <c r="Q980" s="3236">
        <f t="shared" si="172"/>
        <v>1</v>
      </c>
      <c r="R980" s="3237">
        <f t="shared" si="173"/>
        <v>0</v>
      </c>
      <c r="S980" s="1090">
        <f t="shared" si="174"/>
        <v>0</v>
      </c>
    </row>
    <row r="981" spans="1:19">
      <c r="A981" s="674">
        <f>Sheet2!E961</f>
        <v>0</v>
      </c>
      <c r="B981" s="57"/>
      <c r="C981" s="3236">
        <f t="shared" si="165"/>
        <v>1</v>
      </c>
      <c r="D981" s="676"/>
      <c r="E981" s="3236">
        <f t="shared" si="166"/>
        <v>1</v>
      </c>
      <c r="F981" s="676"/>
      <c r="G981" s="3236">
        <f t="shared" si="167"/>
        <v>1</v>
      </c>
      <c r="H981" s="676"/>
      <c r="I981" s="3236">
        <f t="shared" si="168"/>
        <v>1</v>
      </c>
      <c r="J981" s="676"/>
      <c r="K981" s="3236">
        <f t="shared" si="169"/>
        <v>1</v>
      </c>
      <c r="L981" s="676"/>
      <c r="M981" s="3236">
        <f t="shared" si="170"/>
        <v>1</v>
      </c>
      <c r="N981" s="676"/>
      <c r="O981" s="3236">
        <f t="shared" si="171"/>
        <v>1</v>
      </c>
      <c r="P981" s="676"/>
      <c r="Q981" s="3236">
        <f t="shared" si="172"/>
        <v>1</v>
      </c>
      <c r="R981" s="3237">
        <f t="shared" si="173"/>
        <v>0</v>
      </c>
      <c r="S981" s="1090">
        <f t="shared" si="174"/>
        <v>0</v>
      </c>
    </row>
    <row r="982" spans="1:19">
      <c r="A982" s="674">
        <f>Sheet2!E962</f>
        <v>0</v>
      </c>
      <c r="B982" s="57"/>
      <c r="C982" s="3236">
        <f t="shared" si="165"/>
        <v>1</v>
      </c>
      <c r="D982" s="676"/>
      <c r="E982" s="3236">
        <f t="shared" si="166"/>
        <v>1</v>
      </c>
      <c r="F982" s="676"/>
      <c r="G982" s="3236">
        <f t="shared" si="167"/>
        <v>1</v>
      </c>
      <c r="H982" s="676"/>
      <c r="I982" s="3236">
        <f t="shared" si="168"/>
        <v>1</v>
      </c>
      <c r="J982" s="676"/>
      <c r="K982" s="3236">
        <f t="shared" si="169"/>
        <v>1</v>
      </c>
      <c r="L982" s="676"/>
      <c r="M982" s="3236">
        <f t="shared" si="170"/>
        <v>1</v>
      </c>
      <c r="N982" s="676"/>
      <c r="O982" s="3236">
        <f t="shared" si="171"/>
        <v>1</v>
      </c>
      <c r="P982" s="676"/>
      <c r="Q982" s="3236">
        <f t="shared" si="172"/>
        <v>1</v>
      </c>
      <c r="R982" s="3237">
        <f t="shared" si="173"/>
        <v>0</v>
      </c>
      <c r="S982" s="1090">
        <f t="shared" si="174"/>
        <v>0</v>
      </c>
    </row>
    <row r="983" spans="1:19">
      <c r="A983" s="674">
        <f>Sheet2!E963</f>
        <v>0</v>
      </c>
      <c r="B983" s="57"/>
      <c r="C983" s="3236">
        <f t="shared" si="165"/>
        <v>1</v>
      </c>
      <c r="D983" s="676"/>
      <c r="E983" s="3236">
        <f t="shared" si="166"/>
        <v>1</v>
      </c>
      <c r="F983" s="676"/>
      <c r="G983" s="3236">
        <f t="shared" si="167"/>
        <v>1</v>
      </c>
      <c r="H983" s="676"/>
      <c r="I983" s="3236">
        <f t="shared" si="168"/>
        <v>1</v>
      </c>
      <c r="J983" s="676"/>
      <c r="K983" s="3236">
        <f t="shared" si="169"/>
        <v>1</v>
      </c>
      <c r="L983" s="676"/>
      <c r="M983" s="3236">
        <f t="shared" si="170"/>
        <v>1</v>
      </c>
      <c r="N983" s="676"/>
      <c r="O983" s="3236">
        <f t="shared" si="171"/>
        <v>1</v>
      </c>
      <c r="P983" s="676"/>
      <c r="Q983" s="3236">
        <f t="shared" si="172"/>
        <v>1</v>
      </c>
      <c r="R983" s="3237">
        <f t="shared" si="173"/>
        <v>0</v>
      </c>
      <c r="S983" s="1090">
        <f t="shared" si="174"/>
        <v>0</v>
      </c>
    </row>
    <row r="984" spans="1:19">
      <c r="A984" s="674">
        <f>Sheet2!E964</f>
        <v>0</v>
      </c>
      <c r="B984" s="57"/>
      <c r="C984" s="3236">
        <f t="shared" si="165"/>
        <v>1</v>
      </c>
      <c r="D984" s="676"/>
      <c r="E984" s="3236">
        <f t="shared" si="166"/>
        <v>1</v>
      </c>
      <c r="F984" s="676"/>
      <c r="G984" s="3236">
        <f t="shared" si="167"/>
        <v>1</v>
      </c>
      <c r="H984" s="676"/>
      <c r="I984" s="3236">
        <f t="shared" si="168"/>
        <v>1</v>
      </c>
      <c r="J984" s="676"/>
      <c r="K984" s="3236">
        <f t="shared" si="169"/>
        <v>1</v>
      </c>
      <c r="L984" s="676"/>
      <c r="M984" s="3236">
        <f t="shared" si="170"/>
        <v>1</v>
      </c>
      <c r="N984" s="676"/>
      <c r="O984" s="3236">
        <f t="shared" si="171"/>
        <v>1</v>
      </c>
      <c r="P984" s="676"/>
      <c r="Q984" s="3236">
        <f t="shared" si="172"/>
        <v>1</v>
      </c>
      <c r="R984" s="3237">
        <f t="shared" si="173"/>
        <v>0</v>
      </c>
      <c r="S984" s="1090">
        <f t="shared" si="174"/>
        <v>0</v>
      </c>
    </row>
    <row r="985" spans="1:19">
      <c r="A985" s="674">
        <f>Sheet2!E965</f>
        <v>0</v>
      </c>
      <c r="B985" s="57"/>
      <c r="C985" s="3236">
        <f t="shared" si="165"/>
        <v>1</v>
      </c>
      <c r="D985" s="676"/>
      <c r="E985" s="3236">
        <f t="shared" si="166"/>
        <v>1</v>
      </c>
      <c r="F985" s="676"/>
      <c r="G985" s="3236">
        <f t="shared" si="167"/>
        <v>1</v>
      </c>
      <c r="H985" s="676"/>
      <c r="I985" s="3236">
        <f t="shared" si="168"/>
        <v>1</v>
      </c>
      <c r="J985" s="676"/>
      <c r="K985" s="3236">
        <f t="shared" si="169"/>
        <v>1</v>
      </c>
      <c r="L985" s="676"/>
      <c r="M985" s="3236">
        <f t="shared" si="170"/>
        <v>1</v>
      </c>
      <c r="N985" s="676"/>
      <c r="O985" s="3236">
        <f t="shared" si="171"/>
        <v>1</v>
      </c>
      <c r="P985" s="676"/>
      <c r="Q985" s="3236">
        <f t="shared" si="172"/>
        <v>1</v>
      </c>
      <c r="R985" s="3237">
        <f t="shared" si="173"/>
        <v>0</v>
      </c>
      <c r="S985" s="1090">
        <f t="shared" si="174"/>
        <v>0</v>
      </c>
    </row>
    <row r="986" spans="1:19">
      <c r="A986" s="674">
        <f>Sheet2!E966</f>
        <v>0</v>
      </c>
      <c r="B986" s="57"/>
      <c r="C986" s="3236">
        <f t="shared" si="165"/>
        <v>1</v>
      </c>
      <c r="D986" s="676"/>
      <c r="E986" s="3236">
        <f t="shared" si="166"/>
        <v>1</v>
      </c>
      <c r="F986" s="676"/>
      <c r="G986" s="3236">
        <f t="shared" si="167"/>
        <v>1</v>
      </c>
      <c r="H986" s="676"/>
      <c r="I986" s="3236">
        <f t="shared" si="168"/>
        <v>1</v>
      </c>
      <c r="J986" s="676"/>
      <c r="K986" s="3236">
        <f t="shared" si="169"/>
        <v>1</v>
      </c>
      <c r="L986" s="676"/>
      <c r="M986" s="3236">
        <f t="shared" si="170"/>
        <v>1</v>
      </c>
      <c r="N986" s="676"/>
      <c r="O986" s="3236">
        <f t="shared" si="171"/>
        <v>1</v>
      </c>
      <c r="P986" s="676"/>
      <c r="Q986" s="3236">
        <f t="shared" si="172"/>
        <v>1</v>
      </c>
      <c r="R986" s="3237">
        <f t="shared" si="173"/>
        <v>0</v>
      </c>
      <c r="S986" s="1090">
        <f t="shared" si="174"/>
        <v>0</v>
      </c>
    </row>
    <row r="987" spans="1:19">
      <c r="A987" s="674">
        <f>Sheet2!E967</f>
        <v>0</v>
      </c>
      <c r="B987" s="57"/>
      <c r="C987" s="3236">
        <f t="shared" si="165"/>
        <v>1</v>
      </c>
      <c r="D987" s="676"/>
      <c r="E987" s="3236">
        <f t="shared" si="166"/>
        <v>1</v>
      </c>
      <c r="F987" s="676"/>
      <c r="G987" s="3236">
        <f t="shared" si="167"/>
        <v>1</v>
      </c>
      <c r="H987" s="676"/>
      <c r="I987" s="3236">
        <f t="shared" si="168"/>
        <v>1</v>
      </c>
      <c r="J987" s="676"/>
      <c r="K987" s="3236">
        <f t="shared" si="169"/>
        <v>1</v>
      </c>
      <c r="L987" s="676"/>
      <c r="M987" s="3236">
        <f t="shared" si="170"/>
        <v>1</v>
      </c>
      <c r="N987" s="676"/>
      <c r="O987" s="3236">
        <f t="shared" si="171"/>
        <v>1</v>
      </c>
      <c r="P987" s="676"/>
      <c r="Q987" s="3236">
        <f t="shared" si="172"/>
        <v>1</v>
      </c>
      <c r="R987" s="3237">
        <f t="shared" si="173"/>
        <v>0</v>
      </c>
      <c r="S987" s="1090">
        <f t="shared" si="174"/>
        <v>0</v>
      </c>
    </row>
    <row r="988" spans="1:19">
      <c r="A988" s="674">
        <f>Sheet2!E968</f>
        <v>0</v>
      </c>
      <c r="B988" s="57"/>
      <c r="C988" s="3236">
        <f t="shared" si="165"/>
        <v>1</v>
      </c>
      <c r="D988" s="676"/>
      <c r="E988" s="3236">
        <f t="shared" si="166"/>
        <v>1</v>
      </c>
      <c r="F988" s="676"/>
      <c r="G988" s="3236">
        <f t="shared" si="167"/>
        <v>1</v>
      </c>
      <c r="H988" s="676"/>
      <c r="I988" s="3236">
        <f t="shared" si="168"/>
        <v>1</v>
      </c>
      <c r="J988" s="676"/>
      <c r="K988" s="3236">
        <f t="shared" si="169"/>
        <v>1</v>
      </c>
      <c r="L988" s="676"/>
      <c r="M988" s="3236">
        <f t="shared" si="170"/>
        <v>1</v>
      </c>
      <c r="N988" s="676"/>
      <c r="O988" s="3236">
        <f t="shared" si="171"/>
        <v>1</v>
      </c>
      <c r="P988" s="676"/>
      <c r="Q988" s="3236">
        <f t="shared" si="172"/>
        <v>1</v>
      </c>
      <c r="R988" s="3237">
        <f t="shared" si="173"/>
        <v>0</v>
      </c>
      <c r="S988" s="1090">
        <f t="shared" si="174"/>
        <v>0</v>
      </c>
    </row>
    <row r="989" spans="1:19">
      <c r="A989" s="674">
        <f>Sheet2!E969</f>
        <v>0</v>
      </c>
      <c r="B989" s="57"/>
      <c r="C989" s="3236">
        <f t="shared" si="165"/>
        <v>1</v>
      </c>
      <c r="D989" s="676"/>
      <c r="E989" s="3236">
        <f t="shared" si="166"/>
        <v>1</v>
      </c>
      <c r="F989" s="676"/>
      <c r="G989" s="3236">
        <f t="shared" si="167"/>
        <v>1</v>
      </c>
      <c r="H989" s="676"/>
      <c r="I989" s="3236">
        <f t="shared" si="168"/>
        <v>1</v>
      </c>
      <c r="J989" s="676"/>
      <c r="K989" s="3236">
        <f t="shared" si="169"/>
        <v>1</v>
      </c>
      <c r="L989" s="676"/>
      <c r="M989" s="3236">
        <f t="shared" si="170"/>
        <v>1</v>
      </c>
      <c r="N989" s="676"/>
      <c r="O989" s="3236">
        <f t="shared" si="171"/>
        <v>1</v>
      </c>
      <c r="P989" s="676"/>
      <c r="Q989" s="3236">
        <f t="shared" si="172"/>
        <v>1</v>
      </c>
      <c r="R989" s="3237">
        <f t="shared" si="173"/>
        <v>0</v>
      </c>
      <c r="S989" s="1090">
        <f t="shared" si="174"/>
        <v>0</v>
      </c>
    </row>
    <row r="990" spans="1:19">
      <c r="A990" s="674">
        <f>Sheet2!E970</f>
        <v>0</v>
      </c>
      <c r="B990" s="57"/>
      <c r="C990" s="3236">
        <f t="shared" si="165"/>
        <v>1</v>
      </c>
      <c r="D990" s="676"/>
      <c r="E990" s="3236">
        <f t="shared" si="166"/>
        <v>1</v>
      </c>
      <c r="F990" s="676"/>
      <c r="G990" s="3236">
        <f t="shared" si="167"/>
        <v>1</v>
      </c>
      <c r="H990" s="676"/>
      <c r="I990" s="3236">
        <f t="shared" si="168"/>
        <v>1</v>
      </c>
      <c r="J990" s="676"/>
      <c r="K990" s="3236">
        <f t="shared" si="169"/>
        <v>1</v>
      </c>
      <c r="L990" s="676"/>
      <c r="M990" s="3236">
        <f t="shared" si="170"/>
        <v>1</v>
      </c>
      <c r="N990" s="676"/>
      <c r="O990" s="3236">
        <f t="shared" si="171"/>
        <v>1</v>
      </c>
      <c r="P990" s="676"/>
      <c r="Q990" s="3236">
        <f t="shared" si="172"/>
        <v>1</v>
      </c>
      <c r="R990" s="3237">
        <f t="shared" si="173"/>
        <v>0</v>
      </c>
      <c r="S990" s="1090">
        <f t="shared" si="174"/>
        <v>0</v>
      </c>
    </row>
    <row r="991" spans="1:19">
      <c r="A991" s="674">
        <f>Sheet2!E971</f>
        <v>0</v>
      </c>
      <c r="B991" s="57"/>
      <c r="C991" s="3236">
        <f t="shared" si="165"/>
        <v>1</v>
      </c>
      <c r="D991" s="676"/>
      <c r="E991" s="3236">
        <f t="shared" si="166"/>
        <v>1</v>
      </c>
      <c r="F991" s="676"/>
      <c r="G991" s="3236">
        <f t="shared" si="167"/>
        <v>1</v>
      </c>
      <c r="H991" s="676"/>
      <c r="I991" s="3236">
        <f t="shared" si="168"/>
        <v>1</v>
      </c>
      <c r="J991" s="676"/>
      <c r="K991" s="3236">
        <f t="shared" si="169"/>
        <v>1</v>
      </c>
      <c r="L991" s="676"/>
      <c r="M991" s="3236">
        <f t="shared" si="170"/>
        <v>1</v>
      </c>
      <c r="N991" s="676"/>
      <c r="O991" s="3236">
        <f t="shared" si="171"/>
        <v>1</v>
      </c>
      <c r="P991" s="676"/>
      <c r="Q991" s="3236">
        <f t="shared" si="172"/>
        <v>1</v>
      </c>
      <c r="R991" s="3237">
        <f t="shared" si="173"/>
        <v>0</v>
      </c>
      <c r="S991" s="1090">
        <f t="shared" si="174"/>
        <v>0</v>
      </c>
    </row>
    <row r="992" spans="1:19">
      <c r="A992" s="674">
        <f>Sheet2!E972</f>
        <v>0</v>
      </c>
      <c r="B992" s="57"/>
      <c r="C992" s="3236">
        <f t="shared" si="165"/>
        <v>1</v>
      </c>
      <c r="D992" s="676"/>
      <c r="E992" s="3236">
        <f t="shared" si="166"/>
        <v>1</v>
      </c>
      <c r="F992" s="676"/>
      <c r="G992" s="3236">
        <f t="shared" si="167"/>
        <v>1</v>
      </c>
      <c r="H992" s="676"/>
      <c r="I992" s="3236">
        <f t="shared" si="168"/>
        <v>1</v>
      </c>
      <c r="J992" s="676"/>
      <c r="K992" s="3236">
        <f t="shared" si="169"/>
        <v>1</v>
      </c>
      <c r="L992" s="676"/>
      <c r="M992" s="3236">
        <f t="shared" si="170"/>
        <v>1</v>
      </c>
      <c r="N992" s="676"/>
      <c r="O992" s="3236">
        <f t="shared" si="171"/>
        <v>1</v>
      </c>
      <c r="P992" s="676"/>
      <c r="Q992" s="3236">
        <f t="shared" si="172"/>
        <v>1</v>
      </c>
      <c r="R992" s="3237">
        <f t="shared" si="173"/>
        <v>0</v>
      </c>
      <c r="S992" s="1090">
        <f t="shared" si="174"/>
        <v>0</v>
      </c>
    </row>
    <row r="993" spans="1:19">
      <c r="A993" s="674">
        <f>Sheet2!E973</f>
        <v>0</v>
      </c>
      <c r="B993" s="57"/>
      <c r="C993" s="3236">
        <f t="shared" si="165"/>
        <v>1</v>
      </c>
      <c r="D993" s="676"/>
      <c r="E993" s="3236">
        <f t="shared" si="166"/>
        <v>1</v>
      </c>
      <c r="F993" s="676"/>
      <c r="G993" s="3236">
        <f t="shared" si="167"/>
        <v>1</v>
      </c>
      <c r="H993" s="676"/>
      <c r="I993" s="3236">
        <f t="shared" si="168"/>
        <v>1</v>
      </c>
      <c r="J993" s="676"/>
      <c r="K993" s="3236">
        <f t="shared" si="169"/>
        <v>1</v>
      </c>
      <c r="L993" s="676"/>
      <c r="M993" s="3236">
        <f t="shared" si="170"/>
        <v>1</v>
      </c>
      <c r="N993" s="676"/>
      <c r="O993" s="3236">
        <f t="shared" si="171"/>
        <v>1</v>
      </c>
      <c r="P993" s="676"/>
      <c r="Q993" s="3236">
        <f t="shared" si="172"/>
        <v>1</v>
      </c>
      <c r="R993" s="3237">
        <f t="shared" si="173"/>
        <v>0</v>
      </c>
      <c r="S993" s="1090">
        <f t="shared" si="174"/>
        <v>0</v>
      </c>
    </row>
    <row r="994" spans="1:19">
      <c r="A994" s="674">
        <f>Sheet2!E974</f>
        <v>0</v>
      </c>
      <c r="B994" s="57"/>
      <c r="C994" s="3236">
        <f t="shared" si="165"/>
        <v>1</v>
      </c>
      <c r="D994" s="676"/>
      <c r="E994" s="3236">
        <f t="shared" si="166"/>
        <v>1</v>
      </c>
      <c r="F994" s="676"/>
      <c r="G994" s="3236">
        <f t="shared" si="167"/>
        <v>1</v>
      </c>
      <c r="H994" s="676"/>
      <c r="I994" s="3236">
        <f t="shared" si="168"/>
        <v>1</v>
      </c>
      <c r="J994" s="676"/>
      <c r="K994" s="3236">
        <f t="shared" si="169"/>
        <v>1</v>
      </c>
      <c r="L994" s="676"/>
      <c r="M994" s="3236">
        <f t="shared" si="170"/>
        <v>1</v>
      </c>
      <c r="N994" s="676"/>
      <c r="O994" s="3236">
        <f t="shared" si="171"/>
        <v>1</v>
      </c>
      <c r="P994" s="676"/>
      <c r="Q994" s="3236">
        <f t="shared" si="172"/>
        <v>1</v>
      </c>
      <c r="R994" s="3237">
        <f t="shared" si="173"/>
        <v>0</v>
      </c>
      <c r="S994" s="1090">
        <f t="shared" si="174"/>
        <v>0</v>
      </c>
    </row>
    <row r="995" spans="1:19">
      <c r="A995" s="674">
        <f>Sheet2!E975</f>
        <v>0</v>
      </c>
      <c r="B995" s="57"/>
      <c r="C995" s="3236">
        <f t="shared" si="165"/>
        <v>1</v>
      </c>
      <c r="D995" s="676"/>
      <c r="E995" s="3236">
        <f t="shared" si="166"/>
        <v>1</v>
      </c>
      <c r="F995" s="676"/>
      <c r="G995" s="3236">
        <f t="shared" si="167"/>
        <v>1</v>
      </c>
      <c r="H995" s="676"/>
      <c r="I995" s="3236">
        <f t="shared" si="168"/>
        <v>1</v>
      </c>
      <c r="J995" s="676"/>
      <c r="K995" s="3236">
        <f t="shared" si="169"/>
        <v>1</v>
      </c>
      <c r="L995" s="676"/>
      <c r="M995" s="3236">
        <f t="shared" si="170"/>
        <v>1</v>
      </c>
      <c r="N995" s="676"/>
      <c r="O995" s="3236">
        <f t="shared" si="171"/>
        <v>1</v>
      </c>
      <c r="P995" s="676"/>
      <c r="Q995" s="3236">
        <f t="shared" si="172"/>
        <v>1</v>
      </c>
      <c r="R995" s="3237">
        <f t="shared" si="173"/>
        <v>0</v>
      </c>
      <c r="S995" s="1090">
        <f t="shared" si="174"/>
        <v>0</v>
      </c>
    </row>
    <row r="996" spans="1:19">
      <c r="A996" s="674">
        <f>Sheet2!E976</f>
        <v>0</v>
      </c>
      <c r="B996" s="57"/>
      <c r="C996" s="3236">
        <f t="shared" si="165"/>
        <v>1</v>
      </c>
      <c r="D996" s="676"/>
      <c r="E996" s="3236">
        <f t="shared" si="166"/>
        <v>1</v>
      </c>
      <c r="F996" s="676"/>
      <c r="G996" s="3236">
        <f t="shared" si="167"/>
        <v>1</v>
      </c>
      <c r="H996" s="676"/>
      <c r="I996" s="3236">
        <f t="shared" si="168"/>
        <v>1</v>
      </c>
      <c r="J996" s="676"/>
      <c r="K996" s="3236">
        <f t="shared" si="169"/>
        <v>1</v>
      </c>
      <c r="L996" s="676"/>
      <c r="M996" s="3236">
        <f t="shared" si="170"/>
        <v>1</v>
      </c>
      <c r="N996" s="676"/>
      <c r="O996" s="3236">
        <f t="shared" si="171"/>
        <v>1</v>
      </c>
      <c r="P996" s="676"/>
      <c r="Q996" s="3236">
        <f t="shared" si="172"/>
        <v>1</v>
      </c>
      <c r="R996" s="3237">
        <f t="shared" si="173"/>
        <v>0</v>
      </c>
      <c r="S996" s="1090">
        <f t="shared" si="174"/>
        <v>0</v>
      </c>
    </row>
    <row r="997" spans="1:19">
      <c r="A997" s="674">
        <f>Sheet2!E977</f>
        <v>0</v>
      </c>
      <c r="B997" s="57"/>
      <c r="C997" s="3236">
        <f t="shared" si="165"/>
        <v>1</v>
      </c>
      <c r="D997" s="676"/>
      <c r="E997" s="3236">
        <f t="shared" si="166"/>
        <v>1</v>
      </c>
      <c r="F997" s="676"/>
      <c r="G997" s="3236">
        <f t="shared" si="167"/>
        <v>1</v>
      </c>
      <c r="H997" s="676"/>
      <c r="I997" s="3236">
        <f t="shared" si="168"/>
        <v>1</v>
      </c>
      <c r="J997" s="676"/>
      <c r="K997" s="3236">
        <f t="shared" si="169"/>
        <v>1</v>
      </c>
      <c r="L997" s="676"/>
      <c r="M997" s="3236">
        <f t="shared" si="170"/>
        <v>1</v>
      </c>
      <c r="N997" s="676"/>
      <c r="O997" s="3236">
        <f t="shared" si="171"/>
        <v>1</v>
      </c>
      <c r="P997" s="676"/>
      <c r="Q997" s="3236">
        <f t="shared" si="172"/>
        <v>1</v>
      </c>
      <c r="R997" s="3237">
        <f t="shared" si="173"/>
        <v>0</v>
      </c>
      <c r="S997" s="1090">
        <f t="shared" si="174"/>
        <v>0</v>
      </c>
    </row>
    <row r="998" spans="1:19">
      <c r="A998" s="674">
        <f>Sheet2!E978</f>
        <v>0</v>
      </c>
      <c r="B998" s="57"/>
      <c r="C998" s="3236">
        <f t="shared" si="165"/>
        <v>1</v>
      </c>
      <c r="D998" s="676"/>
      <c r="E998" s="3236">
        <f t="shared" si="166"/>
        <v>1</v>
      </c>
      <c r="F998" s="676"/>
      <c r="G998" s="3236">
        <f t="shared" si="167"/>
        <v>1</v>
      </c>
      <c r="H998" s="676"/>
      <c r="I998" s="3236">
        <f t="shared" si="168"/>
        <v>1</v>
      </c>
      <c r="J998" s="676"/>
      <c r="K998" s="3236">
        <f t="shared" si="169"/>
        <v>1</v>
      </c>
      <c r="L998" s="676"/>
      <c r="M998" s="3236">
        <f t="shared" si="170"/>
        <v>1</v>
      </c>
      <c r="N998" s="676"/>
      <c r="O998" s="3236">
        <f t="shared" si="171"/>
        <v>1</v>
      </c>
      <c r="P998" s="676"/>
      <c r="Q998" s="3236">
        <f t="shared" si="172"/>
        <v>1</v>
      </c>
      <c r="R998" s="3237">
        <f t="shared" si="173"/>
        <v>0</v>
      </c>
      <c r="S998" s="1090">
        <f t="shared" si="174"/>
        <v>0</v>
      </c>
    </row>
    <row r="999" spans="1:19">
      <c r="A999" s="674">
        <f>Sheet2!E979</f>
        <v>0</v>
      </c>
      <c r="B999" s="57"/>
      <c r="C999" s="3236">
        <f t="shared" si="165"/>
        <v>1</v>
      </c>
      <c r="D999" s="676"/>
      <c r="E999" s="3236">
        <f t="shared" si="166"/>
        <v>1</v>
      </c>
      <c r="F999" s="676"/>
      <c r="G999" s="3236">
        <f t="shared" si="167"/>
        <v>1</v>
      </c>
      <c r="H999" s="676"/>
      <c r="I999" s="3236">
        <f t="shared" si="168"/>
        <v>1</v>
      </c>
      <c r="J999" s="676"/>
      <c r="K999" s="3236">
        <f t="shared" si="169"/>
        <v>1</v>
      </c>
      <c r="L999" s="676"/>
      <c r="M999" s="3236">
        <f t="shared" si="170"/>
        <v>1</v>
      </c>
      <c r="N999" s="676"/>
      <c r="O999" s="3236">
        <f t="shared" si="171"/>
        <v>1</v>
      </c>
      <c r="P999" s="676"/>
      <c r="Q999" s="3236">
        <f t="shared" si="172"/>
        <v>1</v>
      </c>
      <c r="R999" s="3237">
        <f t="shared" si="173"/>
        <v>0</v>
      </c>
      <c r="S999" s="1090">
        <f t="shared" si="174"/>
        <v>0</v>
      </c>
    </row>
    <row r="1000" spans="1:19">
      <c r="A1000" s="674">
        <f>Sheet2!E980</f>
        <v>0</v>
      </c>
      <c r="B1000" s="57"/>
      <c r="C1000" s="3236">
        <f t="shared" si="165"/>
        <v>1</v>
      </c>
      <c r="D1000" s="676"/>
      <c r="E1000" s="3236">
        <f t="shared" si="166"/>
        <v>1</v>
      </c>
      <c r="F1000" s="676"/>
      <c r="G1000" s="3236">
        <f t="shared" si="167"/>
        <v>1</v>
      </c>
      <c r="H1000" s="676"/>
      <c r="I1000" s="3236">
        <f t="shared" si="168"/>
        <v>1</v>
      </c>
      <c r="J1000" s="676"/>
      <c r="K1000" s="3236">
        <f t="shared" si="169"/>
        <v>1</v>
      </c>
      <c r="L1000" s="676"/>
      <c r="M1000" s="3236">
        <f t="shared" si="170"/>
        <v>1</v>
      </c>
      <c r="N1000" s="676"/>
      <c r="O1000" s="3236">
        <f t="shared" si="171"/>
        <v>1</v>
      </c>
      <c r="P1000" s="676"/>
      <c r="Q1000" s="3236">
        <f t="shared" si="172"/>
        <v>1</v>
      </c>
      <c r="R1000" s="3237">
        <f t="shared" si="173"/>
        <v>0</v>
      </c>
      <c r="S1000" s="1090">
        <f t="shared" si="174"/>
        <v>0</v>
      </c>
    </row>
    <row r="1001" spans="1:19">
      <c r="A1001" s="674">
        <f>Sheet2!E981</f>
        <v>0</v>
      </c>
      <c r="B1001" s="57"/>
      <c r="C1001" s="3236">
        <f t="shared" si="165"/>
        <v>1</v>
      </c>
      <c r="D1001" s="676"/>
      <c r="E1001" s="3236">
        <f t="shared" si="166"/>
        <v>1</v>
      </c>
      <c r="F1001" s="676"/>
      <c r="G1001" s="3236">
        <f t="shared" si="167"/>
        <v>1</v>
      </c>
      <c r="H1001" s="676"/>
      <c r="I1001" s="3236">
        <f t="shared" si="168"/>
        <v>1</v>
      </c>
      <c r="J1001" s="676"/>
      <c r="K1001" s="3236">
        <f t="shared" si="169"/>
        <v>1</v>
      </c>
      <c r="L1001" s="676"/>
      <c r="M1001" s="3236">
        <f t="shared" si="170"/>
        <v>1</v>
      </c>
      <c r="N1001" s="676"/>
      <c r="O1001" s="3236">
        <f t="shared" si="171"/>
        <v>1</v>
      </c>
      <c r="P1001" s="676"/>
      <c r="Q1001" s="3236">
        <f t="shared" si="172"/>
        <v>1</v>
      </c>
      <c r="R1001" s="3237">
        <f t="shared" si="173"/>
        <v>0</v>
      </c>
      <c r="S1001" s="1090">
        <f t="shared" si="174"/>
        <v>0</v>
      </c>
    </row>
    <row r="1002" spans="1:19">
      <c r="A1002" s="674">
        <f>Sheet2!E982</f>
        <v>0</v>
      </c>
      <c r="B1002" s="57"/>
      <c r="C1002" s="3236">
        <f t="shared" si="165"/>
        <v>1</v>
      </c>
      <c r="D1002" s="676"/>
      <c r="E1002" s="3236">
        <f t="shared" si="166"/>
        <v>1</v>
      </c>
      <c r="F1002" s="676"/>
      <c r="G1002" s="3236">
        <f t="shared" si="167"/>
        <v>1</v>
      </c>
      <c r="H1002" s="676"/>
      <c r="I1002" s="3236">
        <f t="shared" si="168"/>
        <v>1</v>
      </c>
      <c r="J1002" s="676"/>
      <c r="K1002" s="3236">
        <f t="shared" si="169"/>
        <v>1</v>
      </c>
      <c r="L1002" s="676"/>
      <c r="M1002" s="3236">
        <f t="shared" si="170"/>
        <v>1</v>
      </c>
      <c r="N1002" s="676"/>
      <c r="O1002" s="3236">
        <f t="shared" si="171"/>
        <v>1</v>
      </c>
      <c r="P1002" s="676"/>
      <c r="Q1002" s="3236">
        <f t="shared" si="172"/>
        <v>1</v>
      </c>
      <c r="R1002" s="3237">
        <f t="shared" si="173"/>
        <v>0</v>
      </c>
      <c r="S1002" s="1090">
        <f t="shared" si="174"/>
        <v>0</v>
      </c>
    </row>
    <row r="1003" spans="1:19">
      <c r="A1003" s="674">
        <f>Sheet2!E983</f>
        <v>0</v>
      </c>
      <c r="B1003" s="57"/>
      <c r="C1003" s="3236">
        <f t="shared" si="165"/>
        <v>1</v>
      </c>
      <c r="D1003" s="676"/>
      <c r="E1003" s="3236">
        <f t="shared" si="166"/>
        <v>1</v>
      </c>
      <c r="F1003" s="676"/>
      <c r="G1003" s="3236">
        <f t="shared" si="167"/>
        <v>1</v>
      </c>
      <c r="H1003" s="676"/>
      <c r="I1003" s="3236">
        <f t="shared" si="168"/>
        <v>1</v>
      </c>
      <c r="J1003" s="676"/>
      <c r="K1003" s="3236">
        <f t="shared" si="169"/>
        <v>1</v>
      </c>
      <c r="L1003" s="676"/>
      <c r="M1003" s="3236">
        <f t="shared" si="170"/>
        <v>1</v>
      </c>
      <c r="N1003" s="676"/>
      <c r="O1003" s="3236">
        <f t="shared" si="171"/>
        <v>1</v>
      </c>
      <c r="P1003" s="676"/>
      <c r="Q1003" s="3236">
        <f t="shared" si="172"/>
        <v>1</v>
      </c>
      <c r="R1003" s="3237">
        <f t="shared" si="173"/>
        <v>0</v>
      </c>
      <c r="S1003" s="1090">
        <f t="shared" si="174"/>
        <v>0</v>
      </c>
    </row>
    <row r="1004" spans="1:19">
      <c r="A1004" s="674">
        <f>Sheet2!E984</f>
        <v>0</v>
      </c>
      <c r="B1004" s="57"/>
      <c r="C1004" s="3236">
        <f t="shared" si="165"/>
        <v>1</v>
      </c>
      <c r="D1004" s="676"/>
      <c r="E1004" s="3236">
        <f t="shared" si="166"/>
        <v>1</v>
      </c>
      <c r="F1004" s="676"/>
      <c r="G1004" s="3236">
        <f t="shared" si="167"/>
        <v>1</v>
      </c>
      <c r="H1004" s="676"/>
      <c r="I1004" s="3236">
        <f t="shared" si="168"/>
        <v>1</v>
      </c>
      <c r="J1004" s="676"/>
      <c r="K1004" s="3236">
        <f t="shared" si="169"/>
        <v>1</v>
      </c>
      <c r="L1004" s="676"/>
      <c r="M1004" s="3236">
        <f t="shared" si="170"/>
        <v>1</v>
      </c>
      <c r="N1004" s="676"/>
      <c r="O1004" s="3236">
        <f t="shared" si="171"/>
        <v>1</v>
      </c>
      <c r="P1004" s="676"/>
      <c r="Q1004" s="3236">
        <f t="shared" si="172"/>
        <v>1</v>
      </c>
      <c r="R1004" s="3237">
        <f t="shared" si="173"/>
        <v>0</v>
      </c>
      <c r="S1004" s="1090">
        <f t="shared" si="174"/>
        <v>0</v>
      </c>
    </row>
    <row r="1005" spans="1:19">
      <c r="A1005" s="674">
        <f>Sheet2!E985</f>
        <v>0</v>
      </c>
      <c r="B1005" s="57"/>
      <c r="C1005" s="3236">
        <f t="shared" si="165"/>
        <v>1</v>
      </c>
      <c r="D1005" s="676"/>
      <c r="E1005" s="3236">
        <f t="shared" si="166"/>
        <v>1</v>
      </c>
      <c r="F1005" s="676"/>
      <c r="G1005" s="3236">
        <f t="shared" si="167"/>
        <v>1</v>
      </c>
      <c r="H1005" s="676"/>
      <c r="I1005" s="3236">
        <f t="shared" si="168"/>
        <v>1</v>
      </c>
      <c r="J1005" s="676"/>
      <c r="K1005" s="3236">
        <f t="shared" si="169"/>
        <v>1</v>
      </c>
      <c r="L1005" s="676"/>
      <c r="M1005" s="3236">
        <f t="shared" si="170"/>
        <v>1</v>
      </c>
      <c r="N1005" s="676"/>
      <c r="O1005" s="3236">
        <f t="shared" si="171"/>
        <v>1</v>
      </c>
      <c r="P1005" s="676"/>
      <c r="Q1005" s="3236">
        <f t="shared" si="172"/>
        <v>1</v>
      </c>
      <c r="R1005" s="3237">
        <f t="shared" si="173"/>
        <v>0</v>
      </c>
      <c r="S1005" s="1090">
        <f t="shared" si="174"/>
        <v>0</v>
      </c>
    </row>
    <row r="1006" spans="1:19">
      <c r="A1006" s="674">
        <f>Sheet2!E986</f>
        <v>0</v>
      </c>
      <c r="B1006" s="57"/>
      <c r="C1006" s="3236">
        <f t="shared" si="165"/>
        <v>1</v>
      </c>
      <c r="D1006" s="676"/>
      <c r="E1006" s="3236">
        <f t="shared" si="166"/>
        <v>1</v>
      </c>
      <c r="F1006" s="676"/>
      <c r="G1006" s="3236">
        <f t="shared" si="167"/>
        <v>1</v>
      </c>
      <c r="H1006" s="676"/>
      <c r="I1006" s="3236">
        <f t="shared" si="168"/>
        <v>1</v>
      </c>
      <c r="J1006" s="676"/>
      <c r="K1006" s="3236">
        <f t="shared" si="169"/>
        <v>1</v>
      </c>
      <c r="L1006" s="676"/>
      <c r="M1006" s="3236">
        <f t="shared" si="170"/>
        <v>1</v>
      </c>
      <c r="N1006" s="676"/>
      <c r="O1006" s="3236">
        <f t="shared" si="171"/>
        <v>1</v>
      </c>
      <c r="P1006" s="676"/>
      <c r="Q1006" s="3236">
        <f t="shared" si="172"/>
        <v>1</v>
      </c>
      <c r="R1006" s="3237">
        <f t="shared" si="173"/>
        <v>0</v>
      </c>
      <c r="S1006" s="1090">
        <f t="shared" si="174"/>
        <v>0</v>
      </c>
    </row>
    <row r="1007" spans="1:19">
      <c r="A1007" s="674">
        <f>Sheet2!E987</f>
        <v>0</v>
      </c>
      <c r="B1007" s="57"/>
      <c r="C1007" s="3236">
        <f t="shared" si="165"/>
        <v>1</v>
      </c>
      <c r="D1007" s="676"/>
      <c r="E1007" s="3236">
        <f t="shared" si="166"/>
        <v>1</v>
      </c>
      <c r="F1007" s="676"/>
      <c r="G1007" s="3236">
        <f t="shared" si="167"/>
        <v>1</v>
      </c>
      <c r="H1007" s="676"/>
      <c r="I1007" s="3236">
        <f t="shared" si="168"/>
        <v>1</v>
      </c>
      <c r="J1007" s="676"/>
      <c r="K1007" s="3236">
        <f t="shared" si="169"/>
        <v>1</v>
      </c>
      <c r="L1007" s="676"/>
      <c r="M1007" s="3236">
        <f t="shared" si="170"/>
        <v>1</v>
      </c>
      <c r="N1007" s="676"/>
      <c r="O1007" s="3236">
        <f t="shared" si="171"/>
        <v>1</v>
      </c>
      <c r="P1007" s="676"/>
      <c r="Q1007" s="3236">
        <f t="shared" si="172"/>
        <v>1</v>
      </c>
      <c r="R1007" s="3237">
        <f t="shared" si="173"/>
        <v>0</v>
      </c>
      <c r="S1007" s="1090">
        <f t="shared" si="174"/>
        <v>0</v>
      </c>
    </row>
    <row r="1008" spans="1:19">
      <c r="A1008" s="674">
        <f>Sheet2!E988</f>
        <v>0</v>
      </c>
      <c r="B1008" s="57"/>
      <c r="C1008" s="3236">
        <f t="shared" si="165"/>
        <v>1</v>
      </c>
      <c r="D1008" s="676"/>
      <c r="E1008" s="3236">
        <f t="shared" si="166"/>
        <v>1</v>
      </c>
      <c r="F1008" s="676"/>
      <c r="G1008" s="3236">
        <f t="shared" si="167"/>
        <v>1</v>
      </c>
      <c r="H1008" s="676"/>
      <c r="I1008" s="3236">
        <f t="shared" si="168"/>
        <v>1</v>
      </c>
      <c r="J1008" s="676"/>
      <c r="K1008" s="3236">
        <f t="shared" si="169"/>
        <v>1</v>
      </c>
      <c r="L1008" s="676"/>
      <c r="M1008" s="3236">
        <f t="shared" si="170"/>
        <v>1</v>
      </c>
      <c r="N1008" s="676"/>
      <c r="O1008" s="3236">
        <f t="shared" si="171"/>
        <v>1</v>
      </c>
      <c r="P1008" s="676"/>
      <c r="Q1008" s="3236">
        <f t="shared" si="172"/>
        <v>1</v>
      </c>
      <c r="R1008" s="3237">
        <f t="shared" si="173"/>
        <v>0</v>
      </c>
      <c r="S1008" s="1090">
        <f t="shared" si="174"/>
        <v>0</v>
      </c>
    </row>
    <row r="1009" spans="1:19">
      <c r="A1009" s="674">
        <f>Sheet2!E989</f>
        <v>0</v>
      </c>
      <c r="B1009" s="57"/>
      <c r="C1009" s="3236">
        <f t="shared" si="165"/>
        <v>1</v>
      </c>
      <c r="D1009" s="676"/>
      <c r="E1009" s="3236">
        <f t="shared" si="166"/>
        <v>1</v>
      </c>
      <c r="F1009" s="676"/>
      <c r="G1009" s="3236">
        <f t="shared" si="167"/>
        <v>1</v>
      </c>
      <c r="H1009" s="676"/>
      <c r="I1009" s="3236">
        <f t="shared" si="168"/>
        <v>1</v>
      </c>
      <c r="J1009" s="676"/>
      <c r="K1009" s="3236">
        <f t="shared" si="169"/>
        <v>1</v>
      </c>
      <c r="L1009" s="676"/>
      <c r="M1009" s="3236">
        <f t="shared" si="170"/>
        <v>1</v>
      </c>
      <c r="N1009" s="676"/>
      <c r="O1009" s="3236">
        <f t="shared" si="171"/>
        <v>1</v>
      </c>
      <c r="P1009" s="676"/>
      <c r="Q1009" s="3236">
        <f t="shared" si="172"/>
        <v>1</v>
      </c>
      <c r="R1009" s="3237">
        <f t="shared" si="173"/>
        <v>0</v>
      </c>
      <c r="S1009" s="1090">
        <f t="shared" si="174"/>
        <v>0</v>
      </c>
    </row>
    <row r="1010" spans="1:19">
      <c r="A1010" s="674">
        <f>Sheet2!E990</f>
        <v>0</v>
      </c>
      <c r="B1010" s="57"/>
      <c r="C1010" s="3236">
        <f t="shared" si="165"/>
        <v>1</v>
      </c>
      <c r="D1010" s="676"/>
      <c r="E1010" s="3236">
        <f t="shared" si="166"/>
        <v>1</v>
      </c>
      <c r="F1010" s="676"/>
      <c r="G1010" s="3236">
        <f t="shared" si="167"/>
        <v>1</v>
      </c>
      <c r="H1010" s="676"/>
      <c r="I1010" s="3236">
        <f t="shared" si="168"/>
        <v>1</v>
      </c>
      <c r="J1010" s="676"/>
      <c r="K1010" s="3236">
        <f t="shared" si="169"/>
        <v>1</v>
      </c>
      <c r="L1010" s="676"/>
      <c r="M1010" s="3236">
        <f t="shared" si="170"/>
        <v>1</v>
      </c>
      <c r="N1010" s="676"/>
      <c r="O1010" s="3236">
        <f t="shared" si="171"/>
        <v>1</v>
      </c>
      <c r="P1010" s="676"/>
      <c r="Q1010" s="3236">
        <f t="shared" si="172"/>
        <v>1</v>
      </c>
      <c r="R1010" s="3237">
        <f t="shared" si="173"/>
        <v>0</v>
      </c>
      <c r="S1010" s="1090">
        <f t="shared" si="174"/>
        <v>0</v>
      </c>
    </row>
    <row r="1011" spans="1:19">
      <c r="A1011" s="674">
        <f>Sheet2!E991</f>
        <v>0</v>
      </c>
      <c r="B1011" s="57"/>
      <c r="C1011" s="3236">
        <f t="shared" si="165"/>
        <v>1</v>
      </c>
      <c r="D1011" s="676"/>
      <c r="E1011" s="3236">
        <f t="shared" si="166"/>
        <v>1</v>
      </c>
      <c r="F1011" s="676"/>
      <c r="G1011" s="3236">
        <f t="shared" si="167"/>
        <v>1</v>
      </c>
      <c r="H1011" s="676"/>
      <c r="I1011" s="3236">
        <f t="shared" si="168"/>
        <v>1</v>
      </c>
      <c r="J1011" s="676"/>
      <c r="K1011" s="3236">
        <f t="shared" si="169"/>
        <v>1</v>
      </c>
      <c r="L1011" s="676"/>
      <c r="M1011" s="3236">
        <f t="shared" si="170"/>
        <v>1</v>
      </c>
      <c r="N1011" s="676"/>
      <c r="O1011" s="3236">
        <f t="shared" si="171"/>
        <v>1</v>
      </c>
      <c r="P1011" s="676"/>
      <c r="Q1011" s="3236">
        <f t="shared" si="172"/>
        <v>1</v>
      </c>
      <c r="R1011" s="3237">
        <f t="shared" si="173"/>
        <v>0</v>
      </c>
      <c r="S1011" s="1090">
        <f t="shared" si="174"/>
        <v>0</v>
      </c>
    </row>
    <row r="1012" spans="1:19">
      <c r="A1012" s="674">
        <f>Sheet2!E992</f>
        <v>0</v>
      </c>
      <c r="B1012" s="57"/>
      <c r="C1012" s="3236">
        <f t="shared" si="165"/>
        <v>1</v>
      </c>
      <c r="D1012" s="676"/>
      <c r="E1012" s="3236">
        <f t="shared" si="166"/>
        <v>1</v>
      </c>
      <c r="F1012" s="676"/>
      <c r="G1012" s="3236">
        <f t="shared" si="167"/>
        <v>1</v>
      </c>
      <c r="H1012" s="676"/>
      <c r="I1012" s="3236">
        <f t="shared" si="168"/>
        <v>1</v>
      </c>
      <c r="J1012" s="676"/>
      <c r="K1012" s="3236">
        <f t="shared" si="169"/>
        <v>1</v>
      </c>
      <c r="L1012" s="676"/>
      <c r="M1012" s="3236">
        <f t="shared" si="170"/>
        <v>1</v>
      </c>
      <c r="N1012" s="676"/>
      <c r="O1012" s="3236">
        <f t="shared" si="171"/>
        <v>1</v>
      </c>
      <c r="P1012" s="676"/>
      <c r="Q1012" s="3236">
        <f t="shared" si="172"/>
        <v>1</v>
      </c>
      <c r="R1012" s="3237">
        <f t="shared" si="173"/>
        <v>0</v>
      </c>
      <c r="S1012" s="1090">
        <f t="shared" si="174"/>
        <v>0</v>
      </c>
    </row>
    <row r="1013" spans="1:19">
      <c r="A1013" s="674">
        <f>Sheet2!E993</f>
        <v>0</v>
      </c>
      <c r="B1013" s="57"/>
      <c r="C1013" s="3236">
        <f t="shared" si="165"/>
        <v>1</v>
      </c>
      <c r="D1013" s="676"/>
      <c r="E1013" s="3236">
        <f t="shared" si="166"/>
        <v>1</v>
      </c>
      <c r="F1013" s="676"/>
      <c r="G1013" s="3236">
        <f t="shared" si="167"/>
        <v>1</v>
      </c>
      <c r="H1013" s="676"/>
      <c r="I1013" s="3236">
        <f t="shared" si="168"/>
        <v>1</v>
      </c>
      <c r="J1013" s="676"/>
      <c r="K1013" s="3236">
        <f t="shared" si="169"/>
        <v>1</v>
      </c>
      <c r="L1013" s="676"/>
      <c r="M1013" s="3236">
        <f t="shared" si="170"/>
        <v>1</v>
      </c>
      <c r="N1013" s="676"/>
      <c r="O1013" s="3236">
        <f t="shared" si="171"/>
        <v>1</v>
      </c>
      <c r="P1013" s="676"/>
      <c r="Q1013" s="3236">
        <f t="shared" si="172"/>
        <v>1</v>
      </c>
      <c r="R1013" s="3237">
        <f t="shared" si="173"/>
        <v>0</v>
      </c>
      <c r="S1013" s="1090">
        <f t="shared" si="174"/>
        <v>0</v>
      </c>
    </row>
    <row r="1014" spans="1:19">
      <c r="A1014" s="674">
        <f>Sheet2!E994</f>
        <v>0</v>
      </c>
      <c r="B1014" s="57"/>
      <c r="C1014" s="3236">
        <f t="shared" si="165"/>
        <v>1</v>
      </c>
      <c r="D1014" s="676"/>
      <c r="E1014" s="3236">
        <f t="shared" si="166"/>
        <v>1</v>
      </c>
      <c r="F1014" s="676"/>
      <c r="G1014" s="3236">
        <f t="shared" si="167"/>
        <v>1</v>
      </c>
      <c r="H1014" s="676"/>
      <c r="I1014" s="3236">
        <f t="shared" si="168"/>
        <v>1</v>
      </c>
      <c r="J1014" s="676"/>
      <c r="K1014" s="3236">
        <f t="shared" si="169"/>
        <v>1</v>
      </c>
      <c r="L1014" s="676"/>
      <c r="M1014" s="3236">
        <f t="shared" si="170"/>
        <v>1</v>
      </c>
      <c r="N1014" s="676"/>
      <c r="O1014" s="3236">
        <f t="shared" si="171"/>
        <v>1</v>
      </c>
      <c r="P1014" s="676"/>
      <c r="Q1014" s="3236">
        <f t="shared" si="172"/>
        <v>1</v>
      </c>
      <c r="R1014" s="3237">
        <f t="shared" si="173"/>
        <v>0</v>
      </c>
      <c r="S1014" s="1090">
        <f t="shared" si="174"/>
        <v>0</v>
      </c>
    </row>
    <row r="1015" spans="1:19">
      <c r="A1015" s="674">
        <f>Sheet2!E995</f>
        <v>0</v>
      </c>
      <c r="B1015" s="57"/>
      <c r="C1015" s="3236">
        <f t="shared" si="165"/>
        <v>1</v>
      </c>
      <c r="D1015" s="676"/>
      <c r="E1015" s="3236">
        <f t="shared" si="166"/>
        <v>1</v>
      </c>
      <c r="F1015" s="676"/>
      <c r="G1015" s="3236">
        <f t="shared" si="167"/>
        <v>1</v>
      </c>
      <c r="H1015" s="676"/>
      <c r="I1015" s="3236">
        <f t="shared" si="168"/>
        <v>1</v>
      </c>
      <c r="J1015" s="676"/>
      <c r="K1015" s="3236">
        <f t="shared" si="169"/>
        <v>1</v>
      </c>
      <c r="L1015" s="676"/>
      <c r="M1015" s="3236">
        <f t="shared" si="170"/>
        <v>1</v>
      </c>
      <c r="N1015" s="676"/>
      <c r="O1015" s="3236">
        <f t="shared" si="171"/>
        <v>1</v>
      </c>
      <c r="P1015" s="676"/>
      <c r="Q1015" s="3236">
        <f t="shared" si="172"/>
        <v>1</v>
      </c>
      <c r="R1015" s="3237">
        <f t="shared" si="173"/>
        <v>0</v>
      </c>
      <c r="S1015" s="1090">
        <f t="shared" si="174"/>
        <v>0</v>
      </c>
    </row>
    <row r="1016" spans="1:19">
      <c r="A1016" s="674">
        <f>Sheet2!E996</f>
        <v>0</v>
      </c>
      <c r="B1016" s="57"/>
      <c r="C1016" s="3236">
        <f t="shared" si="165"/>
        <v>1</v>
      </c>
      <c r="D1016" s="676"/>
      <c r="E1016" s="3236">
        <f t="shared" si="166"/>
        <v>1</v>
      </c>
      <c r="F1016" s="676"/>
      <c r="G1016" s="3236">
        <f t="shared" si="167"/>
        <v>1</v>
      </c>
      <c r="H1016" s="676"/>
      <c r="I1016" s="3236">
        <f t="shared" si="168"/>
        <v>1</v>
      </c>
      <c r="J1016" s="676"/>
      <c r="K1016" s="3236">
        <f t="shared" si="169"/>
        <v>1</v>
      </c>
      <c r="L1016" s="676"/>
      <c r="M1016" s="3236">
        <f t="shared" si="170"/>
        <v>1</v>
      </c>
      <c r="N1016" s="676"/>
      <c r="O1016" s="3236">
        <f t="shared" si="171"/>
        <v>1</v>
      </c>
      <c r="P1016" s="676"/>
      <c r="Q1016" s="3236">
        <f t="shared" si="172"/>
        <v>1</v>
      </c>
      <c r="R1016" s="3237">
        <f t="shared" si="173"/>
        <v>0</v>
      </c>
      <c r="S1016" s="1090">
        <f t="shared" si="174"/>
        <v>0</v>
      </c>
    </row>
    <row r="1017" spans="1:19">
      <c r="A1017" s="674">
        <f>Sheet2!E997</f>
        <v>0</v>
      </c>
      <c r="B1017" s="57"/>
      <c r="C1017" s="3236">
        <f t="shared" si="165"/>
        <v>1</v>
      </c>
      <c r="D1017" s="676"/>
      <c r="E1017" s="3236">
        <f t="shared" si="166"/>
        <v>1</v>
      </c>
      <c r="F1017" s="676"/>
      <c r="G1017" s="3236">
        <f t="shared" si="167"/>
        <v>1</v>
      </c>
      <c r="H1017" s="676"/>
      <c r="I1017" s="3236">
        <f t="shared" si="168"/>
        <v>1</v>
      </c>
      <c r="J1017" s="676"/>
      <c r="K1017" s="3236">
        <f t="shared" si="169"/>
        <v>1</v>
      </c>
      <c r="L1017" s="676"/>
      <c r="M1017" s="3236">
        <f t="shared" si="170"/>
        <v>1</v>
      </c>
      <c r="N1017" s="676"/>
      <c r="O1017" s="3236">
        <f t="shared" si="171"/>
        <v>1</v>
      </c>
      <c r="P1017" s="676"/>
      <c r="Q1017" s="3236">
        <f t="shared" si="172"/>
        <v>1</v>
      </c>
      <c r="R1017" s="3237">
        <f t="shared" si="173"/>
        <v>0</v>
      </c>
      <c r="S1017" s="1090">
        <f t="shared" si="174"/>
        <v>0</v>
      </c>
    </row>
    <row r="1018" spans="1:19">
      <c r="A1018" s="674">
        <f>Sheet2!E998</f>
        <v>0</v>
      </c>
      <c r="B1018" s="57"/>
      <c r="C1018" s="3236">
        <f t="shared" si="165"/>
        <v>1</v>
      </c>
      <c r="D1018" s="676"/>
      <c r="E1018" s="3236">
        <f t="shared" si="166"/>
        <v>1</v>
      </c>
      <c r="F1018" s="676"/>
      <c r="G1018" s="3236">
        <f t="shared" si="167"/>
        <v>1</v>
      </c>
      <c r="H1018" s="676"/>
      <c r="I1018" s="3236">
        <f t="shared" si="168"/>
        <v>1</v>
      </c>
      <c r="J1018" s="676"/>
      <c r="K1018" s="3236">
        <f t="shared" si="169"/>
        <v>1</v>
      </c>
      <c r="L1018" s="676"/>
      <c r="M1018" s="3236">
        <f t="shared" si="170"/>
        <v>1</v>
      </c>
      <c r="N1018" s="676"/>
      <c r="O1018" s="3236">
        <f t="shared" si="171"/>
        <v>1</v>
      </c>
      <c r="P1018" s="676"/>
      <c r="Q1018" s="3236">
        <f t="shared" si="172"/>
        <v>1</v>
      </c>
      <c r="R1018" s="3237">
        <f t="shared" si="173"/>
        <v>0</v>
      </c>
      <c r="S1018" s="1090">
        <f t="shared" si="174"/>
        <v>0</v>
      </c>
    </row>
    <row r="1019" spans="1:19">
      <c r="A1019" s="674">
        <f>Sheet2!E999</f>
        <v>0</v>
      </c>
      <c r="B1019" s="57"/>
      <c r="C1019" s="3236">
        <f t="shared" si="165"/>
        <v>1</v>
      </c>
      <c r="D1019" s="676"/>
      <c r="E1019" s="3236">
        <f t="shared" si="166"/>
        <v>1</v>
      </c>
      <c r="F1019" s="676"/>
      <c r="G1019" s="3236">
        <f t="shared" si="167"/>
        <v>1</v>
      </c>
      <c r="H1019" s="676"/>
      <c r="I1019" s="3236">
        <f t="shared" si="168"/>
        <v>1</v>
      </c>
      <c r="J1019" s="676"/>
      <c r="K1019" s="3236">
        <f t="shared" si="169"/>
        <v>1</v>
      </c>
      <c r="L1019" s="676"/>
      <c r="M1019" s="3236">
        <f t="shared" si="170"/>
        <v>1</v>
      </c>
      <c r="N1019" s="676"/>
      <c r="O1019" s="3236">
        <f t="shared" si="171"/>
        <v>1</v>
      </c>
      <c r="P1019" s="676"/>
      <c r="Q1019" s="3236">
        <f t="shared" si="172"/>
        <v>1</v>
      </c>
      <c r="R1019" s="3237">
        <f t="shared" si="173"/>
        <v>0</v>
      </c>
      <c r="S1019" s="1090">
        <f t="shared" si="174"/>
        <v>0</v>
      </c>
    </row>
    <row r="1020" spans="1:19">
      <c r="A1020" s="674">
        <f>Sheet2!E1000</f>
        <v>0</v>
      </c>
      <c r="B1020" s="57"/>
      <c r="C1020" s="3236">
        <f t="shared" si="165"/>
        <v>1</v>
      </c>
      <c r="D1020" s="676"/>
      <c r="E1020" s="3236">
        <f t="shared" si="166"/>
        <v>1</v>
      </c>
      <c r="F1020" s="676"/>
      <c r="G1020" s="3236">
        <f t="shared" si="167"/>
        <v>1</v>
      </c>
      <c r="H1020" s="676"/>
      <c r="I1020" s="3236">
        <f t="shared" si="168"/>
        <v>1</v>
      </c>
      <c r="J1020" s="676"/>
      <c r="K1020" s="3236">
        <f t="shared" si="169"/>
        <v>1</v>
      </c>
      <c r="L1020" s="676"/>
      <c r="M1020" s="3236">
        <f t="shared" si="170"/>
        <v>1</v>
      </c>
      <c r="N1020" s="676"/>
      <c r="O1020" s="3236">
        <f t="shared" si="171"/>
        <v>1</v>
      </c>
      <c r="P1020" s="676"/>
      <c r="Q1020" s="3236">
        <f t="shared" si="172"/>
        <v>1</v>
      </c>
      <c r="R1020" s="3237">
        <f t="shared" si="173"/>
        <v>0</v>
      </c>
      <c r="S1020" s="1090">
        <f t="shared" si="174"/>
        <v>0</v>
      </c>
    </row>
    <row r="1021" spans="1:19">
      <c r="A1021" s="674">
        <f>Sheet2!E1001</f>
        <v>0</v>
      </c>
      <c r="B1021" s="57"/>
      <c r="C1021" s="3236">
        <f t="shared" si="165"/>
        <v>1</v>
      </c>
      <c r="D1021" s="676"/>
      <c r="E1021" s="3236">
        <f t="shared" si="166"/>
        <v>1</v>
      </c>
      <c r="F1021" s="676"/>
      <c r="G1021" s="3236">
        <f t="shared" si="167"/>
        <v>1</v>
      </c>
      <c r="H1021" s="676"/>
      <c r="I1021" s="3236">
        <f t="shared" si="168"/>
        <v>1</v>
      </c>
      <c r="J1021" s="676"/>
      <c r="K1021" s="3236">
        <f t="shared" si="169"/>
        <v>1</v>
      </c>
      <c r="L1021" s="676"/>
      <c r="M1021" s="3236">
        <f t="shared" si="170"/>
        <v>1</v>
      </c>
      <c r="N1021" s="676"/>
      <c r="O1021" s="3236">
        <f t="shared" si="171"/>
        <v>1</v>
      </c>
      <c r="P1021" s="676"/>
      <c r="Q1021" s="3236">
        <f t="shared" si="172"/>
        <v>1</v>
      </c>
      <c r="R1021" s="3237">
        <f t="shared" si="173"/>
        <v>0</v>
      </c>
      <c r="S1021" s="1090">
        <f t="shared" si="174"/>
        <v>0</v>
      </c>
    </row>
    <row r="1022" spans="1:19">
      <c r="A1022" s="674">
        <f>Sheet2!E1002</f>
        <v>0</v>
      </c>
      <c r="B1022" s="57"/>
      <c r="C1022" s="3236">
        <f t="shared" si="165"/>
        <v>1</v>
      </c>
      <c r="D1022" s="676"/>
      <c r="E1022" s="3236">
        <f t="shared" si="166"/>
        <v>1</v>
      </c>
      <c r="F1022" s="676"/>
      <c r="G1022" s="3236">
        <f t="shared" si="167"/>
        <v>1</v>
      </c>
      <c r="H1022" s="676"/>
      <c r="I1022" s="3236">
        <f t="shared" si="168"/>
        <v>1</v>
      </c>
      <c r="J1022" s="676"/>
      <c r="K1022" s="3236">
        <f t="shared" si="169"/>
        <v>1</v>
      </c>
      <c r="L1022" s="676"/>
      <c r="M1022" s="3236">
        <f t="shared" si="170"/>
        <v>1</v>
      </c>
      <c r="N1022" s="676"/>
      <c r="O1022" s="3236">
        <f t="shared" si="171"/>
        <v>1</v>
      </c>
      <c r="P1022" s="676"/>
      <c r="Q1022" s="3236">
        <f t="shared" si="172"/>
        <v>1</v>
      </c>
      <c r="R1022" s="3237">
        <f t="shared" si="173"/>
        <v>0</v>
      </c>
      <c r="S1022" s="1090">
        <f t="shared" si="174"/>
        <v>0</v>
      </c>
    </row>
    <row r="1023" spans="1:19">
      <c r="A1023" s="674">
        <f>Sheet2!E1003</f>
        <v>0</v>
      </c>
      <c r="B1023" s="57"/>
      <c r="C1023" s="3236">
        <f t="shared" si="165"/>
        <v>1</v>
      </c>
      <c r="D1023" s="676"/>
      <c r="E1023" s="3236">
        <f t="shared" si="166"/>
        <v>1</v>
      </c>
      <c r="F1023" s="676"/>
      <c r="G1023" s="3236">
        <f t="shared" si="167"/>
        <v>1</v>
      </c>
      <c r="H1023" s="676"/>
      <c r="I1023" s="3236">
        <f t="shared" si="168"/>
        <v>1</v>
      </c>
      <c r="J1023" s="676"/>
      <c r="K1023" s="3236">
        <f t="shared" si="169"/>
        <v>1</v>
      </c>
      <c r="L1023" s="676"/>
      <c r="M1023" s="3236">
        <f t="shared" si="170"/>
        <v>1</v>
      </c>
      <c r="N1023" s="676"/>
      <c r="O1023" s="3236">
        <f t="shared" si="171"/>
        <v>1</v>
      </c>
      <c r="P1023" s="676"/>
      <c r="Q1023" s="3236">
        <f t="shared" si="172"/>
        <v>1</v>
      </c>
      <c r="R1023" s="3237">
        <f t="shared" si="173"/>
        <v>0</v>
      </c>
      <c r="S1023" s="1090">
        <f t="shared" si="174"/>
        <v>0</v>
      </c>
    </row>
    <row r="1024" spans="1:19">
      <c r="A1024" s="674">
        <f>Sheet2!E1004</f>
        <v>0</v>
      </c>
      <c r="B1024" s="57"/>
      <c r="C1024" s="3236">
        <f t="shared" si="165"/>
        <v>1</v>
      </c>
      <c r="D1024" s="676"/>
      <c r="E1024" s="3236">
        <f t="shared" si="166"/>
        <v>1</v>
      </c>
      <c r="F1024" s="676"/>
      <c r="G1024" s="3236">
        <f t="shared" si="167"/>
        <v>1</v>
      </c>
      <c r="H1024" s="676"/>
      <c r="I1024" s="3236">
        <f t="shared" si="168"/>
        <v>1</v>
      </c>
      <c r="J1024" s="676"/>
      <c r="K1024" s="3236">
        <f t="shared" si="169"/>
        <v>1</v>
      </c>
      <c r="L1024" s="676"/>
      <c r="M1024" s="3236">
        <f t="shared" si="170"/>
        <v>1</v>
      </c>
      <c r="N1024" s="676"/>
      <c r="O1024" s="3236">
        <f t="shared" si="171"/>
        <v>1</v>
      </c>
      <c r="P1024" s="676"/>
      <c r="Q1024" s="3236">
        <f t="shared" si="172"/>
        <v>1</v>
      </c>
      <c r="R1024" s="3237">
        <f t="shared" si="173"/>
        <v>0</v>
      </c>
      <c r="S1024" s="1090">
        <f t="shared" si="174"/>
        <v>0</v>
      </c>
    </row>
    <row r="1025" spans="1:19">
      <c r="A1025" s="674">
        <f>Sheet2!E1005</f>
        <v>0</v>
      </c>
      <c r="B1025" s="57"/>
      <c r="C1025" s="3236">
        <f t="shared" si="165"/>
        <v>1</v>
      </c>
      <c r="D1025" s="676"/>
      <c r="E1025" s="3236">
        <f t="shared" si="166"/>
        <v>1</v>
      </c>
      <c r="F1025" s="676"/>
      <c r="G1025" s="3236">
        <f t="shared" si="167"/>
        <v>1</v>
      </c>
      <c r="H1025" s="676"/>
      <c r="I1025" s="3236">
        <f t="shared" si="168"/>
        <v>1</v>
      </c>
      <c r="J1025" s="676"/>
      <c r="K1025" s="3236">
        <f t="shared" si="169"/>
        <v>1</v>
      </c>
      <c r="L1025" s="676"/>
      <c r="M1025" s="3236">
        <f t="shared" si="170"/>
        <v>1</v>
      </c>
      <c r="N1025" s="676"/>
      <c r="O1025" s="3236">
        <f t="shared" si="171"/>
        <v>1</v>
      </c>
      <c r="P1025" s="676"/>
      <c r="Q1025" s="3236">
        <f t="shared" si="172"/>
        <v>1</v>
      </c>
      <c r="R1025" s="3237">
        <f t="shared" si="173"/>
        <v>0</v>
      </c>
      <c r="S1025" s="1090">
        <f t="shared" si="174"/>
        <v>0</v>
      </c>
    </row>
    <row r="1026" spans="1:19">
      <c r="A1026" s="674">
        <f>Sheet2!E1006</f>
        <v>0</v>
      </c>
      <c r="B1026" s="57"/>
      <c r="C1026" s="3236">
        <f t="shared" si="165"/>
        <v>1</v>
      </c>
      <c r="D1026" s="676"/>
      <c r="E1026" s="3236">
        <f t="shared" si="166"/>
        <v>1</v>
      </c>
      <c r="F1026" s="676"/>
      <c r="G1026" s="3236">
        <f t="shared" si="167"/>
        <v>1</v>
      </c>
      <c r="H1026" s="676"/>
      <c r="I1026" s="3236">
        <f t="shared" si="168"/>
        <v>1</v>
      </c>
      <c r="J1026" s="676"/>
      <c r="K1026" s="3236">
        <f t="shared" si="169"/>
        <v>1</v>
      </c>
      <c r="L1026" s="676"/>
      <c r="M1026" s="3236">
        <f t="shared" si="170"/>
        <v>1</v>
      </c>
      <c r="N1026" s="676"/>
      <c r="O1026" s="3236">
        <f t="shared" si="171"/>
        <v>1</v>
      </c>
      <c r="P1026" s="676"/>
      <c r="Q1026" s="3236">
        <f t="shared" si="172"/>
        <v>1</v>
      </c>
      <c r="R1026" s="3237">
        <f t="shared" si="173"/>
        <v>0</v>
      </c>
      <c r="S1026" s="1090">
        <f t="shared" si="174"/>
        <v>0</v>
      </c>
    </row>
    <row r="1027" spans="1:19">
      <c r="A1027" s="674">
        <f>Sheet2!E1007</f>
        <v>0</v>
      </c>
      <c r="B1027" s="57"/>
      <c r="C1027" s="3236">
        <f t="shared" si="165"/>
        <v>1</v>
      </c>
      <c r="D1027" s="676"/>
      <c r="E1027" s="3236">
        <f t="shared" si="166"/>
        <v>1</v>
      </c>
      <c r="F1027" s="676"/>
      <c r="G1027" s="3236">
        <f t="shared" si="167"/>
        <v>1</v>
      </c>
      <c r="H1027" s="676"/>
      <c r="I1027" s="3236">
        <f t="shared" si="168"/>
        <v>1</v>
      </c>
      <c r="J1027" s="676"/>
      <c r="K1027" s="3236">
        <f t="shared" si="169"/>
        <v>1</v>
      </c>
      <c r="L1027" s="676"/>
      <c r="M1027" s="3236">
        <f t="shared" si="170"/>
        <v>1</v>
      </c>
      <c r="N1027" s="676"/>
      <c r="O1027" s="3236">
        <f t="shared" si="171"/>
        <v>1</v>
      </c>
      <c r="P1027" s="676"/>
      <c r="Q1027" s="3236">
        <f t="shared" si="172"/>
        <v>1</v>
      </c>
      <c r="R1027" s="3237">
        <f t="shared" si="173"/>
        <v>0</v>
      </c>
      <c r="S1027" s="1090">
        <f t="shared" si="174"/>
        <v>0</v>
      </c>
    </row>
    <row r="1028" spans="1:19">
      <c r="A1028" s="674">
        <f>Sheet2!E1008</f>
        <v>0</v>
      </c>
      <c r="B1028" s="57"/>
      <c r="C1028" s="3236">
        <f t="shared" si="165"/>
        <v>1</v>
      </c>
      <c r="D1028" s="676"/>
      <c r="E1028" s="3236">
        <f t="shared" si="166"/>
        <v>1</v>
      </c>
      <c r="F1028" s="676"/>
      <c r="G1028" s="3236">
        <f t="shared" si="167"/>
        <v>1</v>
      </c>
      <c r="H1028" s="676"/>
      <c r="I1028" s="3236">
        <f t="shared" si="168"/>
        <v>1</v>
      </c>
      <c r="J1028" s="676"/>
      <c r="K1028" s="3236">
        <f t="shared" si="169"/>
        <v>1</v>
      </c>
      <c r="L1028" s="676"/>
      <c r="M1028" s="3236">
        <f t="shared" si="170"/>
        <v>1</v>
      </c>
      <c r="N1028" s="676"/>
      <c r="O1028" s="3236">
        <f t="shared" si="171"/>
        <v>1</v>
      </c>
      <c r="P1028" s="676"/>
      <c r="Q1028" s="3236">
        <f t="shared" si="172"/>
        <v>1</v>
      </c>
      <c r="R1028" s="3237">
        <f t="shared" si="173"/>
        <v>0</v>
      </c>
      <c r="S1028" s="1090">
        <f t="shared" si="174"/>
        <v>0</v>
      </c>
    </row>
    <row r="1029" spans="1:19">
      <c r="A1029" s="674">
        <f>Sheet2!E1009</f>
        <v>0</v>
      </c>
      <c r="B1029" s="57"/>
      <c r="C1029" s="3236">
        <f t="shared" si="165"/>
        <v>1</v>
      </c>
      <c r="D1029" s="676"/>
      <c r="E1029" s="3236">
        <f t="shared" si="166"/>
        <v>1</v>
      </c>
      <c r="F1029" s="676"/>
      <c r="G1029" s="3236">
        <f t="shared" si="167"/>
        <v>1</v>
      </c>
      <c r="H1029" s="676"/>
      <c r="I1029" s="3236">
        <f t="shared" si="168"/>
        <v>1</v>
      </c>
      <c r="J1029" s="676"/>
      <c r="K1029" s="3236">
        <f t="shared" si="169"/>
        <v>1</v>
      </c>
      <c r="L1029" s="676"/>
      <c r="M1029" s="3236">
        <f t="shared" si="170"/>
        <v>1</v>
      </c>
      <c r="N1029" s="676"/>
      <c r="O1029" s="3236">
        <f t="shared" si="171"/>
        <v>1</v>
      </c>
      <c r="P1029" s="676"/>
      <c r="Q1029" s="3236">
        <f t="shared" si="172"/>
        <v>1</v>
      </c>
      <c r="R1029" s="3237">
        <f t="shared" si="173"/>
        <v>0</v>
      </c>
      <c r="S1029" s="1090">
        <f t="shared" si="174"/>
        <v>0</v>
      </c>
    </row>
    <row r="1030" spans="1:19">
      <c r="A1030" s="674">
        <f>Sheet2!E1010</f>
        <v>0</v>
      </c>
      <c r="B1030" s="57"/>
      <c r="C1030" s="3236">
        <f t="shared" si="165"/>
        <v>1</v>
      </c>
      <c r="D1030" s="676"/>
      <c r="E1030" s="3236">
        <f t="shared" si="166"/>
        <v>1</v>
      </c>
      <c r="F1030" s="676"/>
      <c r="G1030" s="3236">
        <f t="shared" si="167"/>
        <v>1</v>
      </c>
      <c r="H1030" s="676"/>
      <c r="I1030" s="3236">
        <f t="shared" si="168"/>
        <v>1</v>
      </c>
      <c r="J1030" s="676"/>
      <c r="K1030" s="3236">
        <f t="shared" si="169"/>
        <v>1</v>
      </c>
      <c r="L1030" s="676"/>
      <c r="M1030" s="3236">
        <f t="shared" si="170"/>
        <v>1</v>
      </c>
      <c r="N1030" s="676"/>
      <c r="O1030" s="3236">
        <f t="shared" si="171"/>
        <v>1</v>
      </c>
      <c r="P1030" s="676"/>
      <c r="Q1030" s="3236">
        <f t="shared" si="172"/>
        <v>1</v>
      </c>
      <c r="R1030" s="3237">
        <f t="shared" si="173"/>
        <v>0</v>
      </c>
      <c r="S1030" s="1090">
        <f t="shared" si="174"/>
        <v>0</v>
      </c>
    </row>
    <row r="1031" spans="1:19">
      <c r="A1031" s="674">
        <f>Sheet2!E1011</f>
        <v>0</v>
      </c>
      <c r="B1031" s="57"/>
      <c r="C1031" s="3236">
        <f t="shared" si="165"/>
        <v>1</v>
      </c>
      <c r="D1031" s="676"/>
      <c r="E1031" s="3236">
        <f t="shared" si="166"/>
        <v>1</v>
      </c>
      <c r="F1031" s="676"/>
      <c r="G1031" s="3236">
        <f t="shared" si="167"/>
        <v>1</v>
      </c>
      <c r="H1031" s="676"/>
      <c r="I1031" s="3236">
        <f t="shared" si="168"/>
        <v>1</v>
      </c>
      <c r="J1031" s="676"/>
      <c r="K1031" s="3236">
        <f t="shared" si="169"/>
        <v>1</v>
      </c>
      <c r="L1031" s="676"/>
      <c r="M1031" s="3236">
        <f t="shared" si="170"/>
        <v>1</v>
      </c>
      <c r="N1031" s="676"/>
      <c r="O1031" s="3236">
        <f t="shared" si="171"/>
        <v>1</v>
      </c>
      <c r="P1031" s="676"/>
      <c r="Q1031" s="3236">
        <f t="shared" si="172"/>
        <v>1</v>
      </c>
      <c r="R1031" s="3237">
        <f t="shared" si="173"/>
        <v>0</v>
      </c>
      <c r="S1031" s="1090">
        <f t="shared" si="174"/>
        <v>0</v>
      </c>
    </row>
    <row r="1032" spans="1:19">
      <c r="A1032" s="674">
        <f>Sheet2!E1012</f>
        <v>0</v>
      </c>
      <c r="B1032" s="57"/>
      <c r="C1032" s="3236">
        <f t="shared" si="165"/>
        <v>1</v>
      </c>
      <c r="D1032" s="676"/>
      <c r="E1032" s="3236">
        <f t="shared" si="166"/>
        <v>1</v>
      </c>
      <c r="F1032" s="676"/>
      <c r="G1032" s="3236">
        <f t="shared" si="167"/>
        <v>1</v>
      </c>
      <c r="H1032" s="676"/>
      <c r="I1032" s="3236">
        <f t="shared" si="168"/>
        <v>1</v>
      </c>
      <c r="J1032" s="676"/>
      <c r="K1032" s="3236">
        <f t="shared" si="169"/>
        <v>1</v>
      </c>
      <c r="L1032" s="676"/>
      <c r="M1032" s="3236">
        <f t="shared" si="170"/>
        <v>1</v>
      </c>
      <c r="N1032" s="676"/>
      <c r="O1032" s="3236">
        <f t="shared" si="171"/>
        <v>1</v>
      </c>
      <c r="P1032" s="676"/>
      <c r="Q1032" s="3236">
        <f t="shared" si="172"/>
        <v>1</v>
      </c>
      <c r="R1032" s="3237">
        <f t="shared" si="173"/>
        <v>0</v>
      </c>
      <c r="S1032" s="1090">
        <f t="shared" si="174"/>
        <v>0</v>
      </c>
    </row>
    <row r="1033" spans="1:19">
      <c r="A1033" s="674">
        <f>Sheet2!E1013</f>
        <v>0</v>
      </c>
      <c r="B1033" s="57"/>
      <c r="C1033" s="3236">
        <f t="shared" si="165"/>
        <v>1</v>
      </c>
      <c r="D1033" s="676"/>
      <c r="E1033" s="3236">
        <f t="shared" si="166"/>
        <v>1</v>
      </c>
      <c r="F1033" s="676"/>
      <c r="G1033" s="3236">
        <f t="shared" si="167"/>
        <v>1</v>
      </c>
      <c r="H1033" s="676"/>
      <c r="I1033" s="3236">
        <f t="shared" si="168"/>
        <v>1</v>
      </c>
      <c r="J1033" s="676"/>
      <c r="K1033" s="3236">
        <f t="shared" si="169"/>
        <v>1</v>
      </c>
      <c r="L1033" s="676"/>
      <c r="M1033" s="3236">
        <f t="shared" si="170"/>
        <v>1</v>
      </c>
      <c r="N1033" s="676"/>
      <c r="O1033" s="3236">
        <f t="shared" si="171"/>
        <v>1</v>
      </c>
      <c r="P1033" s="676"/>
      <c r="Q1033" s="3236">
        <f t="shared" si="172"/>
        <v>1</v>
      </c>
      <c r="R1033" s="3237">
        <f t="shared" si="173"/>
        <v>0</v>
      </c>
      <c r="S1033" s="1090">
        <f t="shared" si="174"/>
        <v>0</v>
      </c>
    </row>
    <row r="1034" spans="1:19">
      <c r="A1034" s="674">
        <f>Sheet2!E1014</f>
        <v>0</v>
      </c>
      <c r="B1034" s="57"/>
      <c r="C1034" s="3236">
        <f t="shared" si="165"/>
        <v>1</v>
      </c>
      <c r="D1034" s="676"/>
      <c r="E1034" s="3236">
        <f t="shared" si="166"/>
        <v>1</v>
      </c>
      <c r="F1034" s="676"/>
      <c r="G1034" s="3236">
        <f t="shared" si="167"/>
        <v>1</v>
      </c>
      <c r="H1034" s="676"/>
      <c r="I1034" s="3236">
        <f t="shared" si="168"/>
        <v>1</v>
      </c>
      <c r="J1034" s="676"/>
      <c r="K1034" s="3236">
        <f t="shared" si="169"/>
        <v>1</v>
      </c>
      <c r="L1034" s="676"/>
      <c r="M1034" s="3236">
        <f t="shared" si="170"/>
        <v>1</v>
      </c>
      <c r="N1034" s="676"/>
      <c r="O1034" s="3236">
        <f t="shared" si="171"/>
        <v>1</v>
      </c>
      <c r="P1034" s="676"/>
      <c r="Q1034" s="3236">
        <f t="shared" si="172"/>
        <v>1</v>
      </c>
      <c r="R1034" s="3237">
        <f t="shared" si="173"/>
        <v>0</v>
      </c>
      <c r="S1034" s="1090">
        <f t="shared" si="174"/>
        <v>0</v>
      </c>
    </row>
    <row r="1035" spans="1:19">
      <c r="A1035" s="674">
        <f>Sheet2!E1015</f>
        <v>0</v>
      </c>
      <c r="B1035" s="57"/>
      <c r="C1035" s="3236">
        <f t="shared" si="165"/>
        <v>1</v>
      </c>
      <c r="D1035" s="676"/>
      <c r="E1035" s="3236">
        <f t="shared" si="166"/>
        <v>1</v>
      </c>
      <c r="F1035" s="676"/>
      <c r="G1035" s="3236">
        <f t="shared" si="167"/>
        <v>1</v>
      </c>
      <c r="H1035" s="676"/>
      <c r="I1035" s="3236">
        <f t="shared" si="168"/>
        <v>1</v>
      </c>
      <c r="J1035" s="676"/>
      <c r="K1035" s="3236">
        <f t="shared" si="169"/>
        <v>1</v>
      </c>
      <c r="L1035" s="676"/>
      <c r="M1035" s="3236">
        <f t="shared" si="170"/>
        <v>1</v>
      </c>
      <c r="N1035" s="676"/>
      <c r="O1035" s="3236">
        <f t="shared" si="171"/>
        <v>1</v>
      </c>
      <c r="P1035" s="676"/>
      <c r="Q1035" s="3236">
        <f t="shared" si="172"/>
        <v>1</v>
      </c>
      <c r="R1035" s="3237">
        <f t="shared" si="173"/>
        <v>0</v>
      </c>
      <c r="S1035" s="1090">
        <f t="shared" si="174"/>
        <v>0</v>
      </c>
    </row>
    <row r="1036" spans="1:19">
      <c r="A1036" s="674">
        <f>Sheet2!E1016</f>
        <v>0</v>
      </c>
      <c r="B1036" s="57"/>
      <c r="C1036" s="3236">
        <f t="shared" si="165"/>
        <v>1</v>
      </c>
      <c r="D1036" s="676"/>
      <c r="E1036" s="3236">
        <f t="shared" si="166"/>
        <v>1</v>
      </c>
      <c r="F1036" s="676"/>
      <c r="G1036" s="3236">
        <f t="shared" si="167"/>
        <v>1</v>
      </c>
      <c r="H1036" s="676"/>
      <c r="I1036" s="3236">
        <f t="shared" si="168"/>
        <v>1</v>
      </c>
      <c r="J1036" s="676"/>
      <c r="K1036" s="3236">
        <f t="shared" si="169"/>
        <v>1</v>
      </c>
      <c r="L1036" s="676"/>
      <c r="M1036" s="3236">
        <f t="shared" si="170"/>
        <v>1</v>
      </c>
      <c r="N1036" s="676"/>
      <c r="O1036" s="3236">
        <f t="shared" si="171"/>
        <v>1</v>
      </c>
      <c r="P1036" s="676"/>
      <c r="Q1036" s="3236">
        <f t="shared" si="172"/>
        <v>1</v>
      </c>
      <c r="R1036" s="3237">
        <f t="shared" si="173"/>
        <v>0</v>
      </c>
      <c r="S1036" s="1090">
        <f t="shared" si="174"/>
        <v>0</v>
      </c>
    </row>
    <row r="1037" spans="1:19">
      <c r="A1037" s="674">
        <f>Sheet2!E1017</f>
        <v>0</v>
      </c>
      <c r="B1037" s="57"/>
      <c r="C1037" s="3236">
        <f t="shared" ref="C1037:C1042" si="175">IF(B1037="",1,(LOOKUP(B1037,$3:$3,$4:$4)-LOOKUP($B$24,$3:$3,$4:$4)+100)/100)</f>
        <v>1</v>
      </c>
      <c r="D1037" s="676"/>
      <c r="E1037" s="3236">
        <f t="shared" ref="E1037:E1042" si="176">(SUMIF($5:$5,D1037,$6:$6)-SUMIF($5:$5,$D$24,$6:$6)+100)/100</f>
        <v>1</v>
      </c>
      <c r="F1037" s="676"/>
      <c r="G1037" s="3236">
        <f t="shared" ref="G1037:G1042" si="177">(SUMIF($7:$7,F1037,$8:$8)-SUMIF($7:$7,$F$24,$8:$8)+100)/100</f>
        <v>1</v>
      </c>
      <c r="H1037" s="676"/>
      <c r="I1037" s="3236">
        <f t="shared" ref="I1037:I1042" si="178">(SUMIF($9:$9,H1037,$10:$10)-SUMIF($9:$9,$H$24,$10:$10)+100)/100</f>
        <v>1</v>
      </c>
      <c r="J1037" s="676"/>
      <c r="K1037" s="3236">
        <f t="shared" ref="K1037:K1042" si="179">(SUMIF($11:$11,J1037,$12:$12)-SUMIF($11:$11,$J$24,$12:$12)+100)/100</f>
        <v>1</v>
      </c>
      <c r="L1037" s="676"/>
      <c r="M1037" s="3236">
        <f t="shared" ref="M1037:M1042" si="180">(SUMIF($13:$13,L1037,$14:$14)-SUMIF($13:$13,$L$24,$14:$14)+100)/100</f>
        <v>1</v>
      </c>
      <c r="N1037" s="676"/>
      <c r="O1037" s="3236">
        <f t="shared" ref="O1037:O1042" si="181">(SUMIF($15:$15,N1037,$16:$16)-SUMIF($15:$15,$N$24,$16:$16)+100)/100</f>
        <v>1</v>
      </c>
      <c r="P1037" s="676"/>
      <c r="Q1037" s="3236">
        <f t="shared" ref="Q1037:Q1042" si="182">(SUMIF($17:$17,P1037,$18:$18)-SUMIF($17:$17,$P$24,$18:$18)+100)/100</f>
        <v>1</v>
      </c>
      <c r="R1037" s="3237">
        <f t="shared" ref="R1037:R1042" si="183">IF(B1037="",0,ROUND($R$24*C1037*E1037*G1037*I1037*K1037*M1037*O1037*Q1037,0))</f>
        <v>0</v>
      </c>
      <c r="S1037" s="1090">
        <f t="shared" ref="S1037:S1042" si="184">ROUND(R1037*B1037/10000,0)</f>
        <v>0</v>
      </c>
    </row>
    <row r="1038" spans="1:19">
      <c r="A1038" s="674">
        <f>Sheet2!E1018</f>
        <v>0</v>
      </c>
      <c r="B1038" s="57"/>
      <c r="C1038" s="3236">
        <f t="shared" si="175"/>
        <v>1</v>
      </c>
      <c r="D1038" s="676"/>
      <c r="E1038" s="3236">
        <f t="shared" si="176"/>
        <v>1</v>
      </c>
      <c r="F1038" s="676"/>
      <c r="G1038" s="3236">
        <f t="shared" si="177"/>
        <v>1</v>
      </c>
      <c r="H1038" s="676"/>
      <c r="I1038" s="3236">
        <f t="shared" si="178"/>
        <v>1</v>
      </c>
      <c r="J1038" s="676"/>
      <c r="K1038" s="3236">
        <f t="shared" si="179"/>
        <v>1</v>
      </c>
      <c r="L1038" s="676"/>
      <c r="M1038" s="3236">
        <f t="shared" si="180"/>
        <v>1</v>
      </c>
      <c r="N1038" s="676"/>
      <c r="O1038" s="3236">
        <f t="shared" si="181"/>
        <v>1</v>
      </c>
      <c r="P1038" s="676"/>
      <c r="Q1038" s="3236">
        <f t="shared" si="182"/>
        <v>1</v>
      </c>
      <c r="R1038" s="3237">
        <f t="shared" si="183"/>
        <v>0</v>
      </c>
      <c r="S1038" s="1090">
        <f t="shared" si="184"/>
        <v>0</v>
      </c>
    </row>
    <row r="1039" spans="1:19">
      <c r="A1039" s="674">
        <f>Sheet2!E1019</f>
        <v>0</v>
      </c>
      <c r="B1039" s="57"/>
      <c r="C1039" s="3236">
        <f t="shared" si="175"/>
        <v>1</v>
      </c>
      <c r="D1039" s="676"/>
      <c r="E1039" s="3236">
        <f t="shared" si="176"/>
        <v>1</v>
      </c>
      <c r="F1039" s="676"/>
      <c r="G1039" s="3236">
        <f t="shared" si="177"/>
        <v>1</v>
      </c>
      <c r="H1039" s="676"/>
      <c r="I1039" s="3236">
        <f t="shared" si="178"/>
        <v>1</v>
      </c>
      <c r="J1039" s="676"/>
      <c r="K1039" s="3236">
        <f t="shared" si="179"/>
        <v>1</v>
      </c>
      <c r="L1039" s="676"/>
      <c r="M1039" s="3236">
        <f t="shared" si="180"/>
        <v>1</v>
      </c>
      <c r="N1039" s="676"/>
      <c r="O1039" s="3236">
        <f t="shared" si="181"/>
        <v>1</v>
      </c>
      <c r="P1039" s="676"/>
      <c r="Q1039" s="3236">
        <f t="shared" si="182"/>
        <v>1</v>
      </c>
      <c r="R1039" s="3237">
        <f t="shared" si="183"/>
        <v>0</v>
      </c>
      <c r="S1039" s="1090">
        <f t="shared" si="184"/>
        <v>0</v>
      </c>
    </row>
    <row r="1040" spans="1:19">
      <c r="A1040" s="674">
        <f>Sheet2!E1020</f>
        <v>0</v>
      </c>
      <c r="B1040" s="57"/>
      <c r="C1040" s="3236">
        <f t="shared" si="175"/>
        <v>1</v>
      </c>
      <c r="D1040" s="676"/>
      <c r="E1040" s="3236">
        <f t="shared" si="176"/>
        <v>1</v>
      </c>
      <c r="F1040" s="676"/>
      <c r="G1040" s="3236">
        <f t="shared" si="177"/>
        <v>1</v>
      </c>
      <c r="H1040" s="676"/>
      <c r="I1040" s="3236">
        <f t="shared" si="178"/>
        <v>1</v>
      </c>
      <c r="J1040" s="676"/>
      <c r="K1040" s="3236">
        <f t="shared" si="179"/>
        <v>1</v>
      </c>
      <c r="L1040" s="676"/>
      <c r="M1040" s="3236">
        <f t="shared" si="180"/>
        <v>1</v>
      </c>
      <c r="N1040" s="676"/>
      <c r="O1040" s="3236">
        <f t="shared" si="181"/>
        <v>1</v>
      </c>
      <c r="P1040" s="676"/>
      <c r="Q1040" s="3236">
        <f t="shared" si="182"/>
        <v>1</v>
      </c>
      <c r="R1040" s="3237">
        <f t="shared" si="183"/>
        <v>0</v>
      </c>
      <c r="S1040" s="1090">
        <f t="shared" si="184"/>
        <v>0</v>
      </c>
    </row>
    <row r="1041" spans="1:19">
      <c r="A1041" s="674">
        <f>Sheet2!E1021</f>
        <v>0</v>
      </c>
      <c r="B1041" s="57"/>
      <c r="C1041" s="3236">
        <f t="shared" si="175"/>
        <v>1</v>
      </c>
      <c r="D1041" s="676"/>
      <c r="E1041" s="3236">
        <f t="shared" si="176"/>
        <v>1</v>
      </c>
      <c r="F1041" s="676"/>
      <c r="G1041" s="3236">
        <f t="shared" si="177"/>
        <v>1</v>
      </c>
      <c r="H1041" s="676"/>
      <c r="I1041" s="3236">
        <f t="shared" si="178"/>
        <v>1</v>
      </c>
      <c r="J1041" s="676"/>
      <c r="K1041" s="3236">
        <f t="shared" si="179"/>
        <v>1</v>
      </c>
      <c r="L1041" s="676"/>
      <c r="M1041" s="3236">
        <f t="shared" si="180"/>
        <v>1</v>
      </c>
      <c r="N1041" s="676"/>
      <c r="O1041" s="3236">
        <f t="shared" si="181"/>
        <v>1</v>
      </c>
      <c r="P1041" s="676"/>
      <c r="Q1041" s="3236">
        <f t="shared" si="182"/>
        <v>1</v>
      </c>
      <c r="R1041" s="3237">
        <f t="shared" si="183"/>
        <v>0</v>
      </c>
      <c r="S1041" s="1090">
        <f t="shared" si="184"/>
        <v>0</v>
      </c>
    </row>
    <row r="1042" spans="1:19">
      <c r="A1042" s="674">
        <f>Sheet2!E1022</f>
        <v>0</v>
      </c>
      <c r="B1042" s="57"/>
      <c r="C1042" s="3236">
        <f t="shared" si="175"/>
        <v>1</v>
      </c>
      <c r="D1042" s="676"/>
      <c r="E1042" s="3236">
        <f t="shared" si="176"/>
        <v>1</v>
      </c>
      <c r="F1042" s="676"/>
      <c r="G1042" s="3236">
        <f t="shared" si="177"/>
        <v>1</v>
      </c>
      <c r="H1042" s="676"/>
      <c r="I1042" s="3236">
        <f t="shared" si="178"/>
        <v>1</v>
      </c>
      <c r="J1042" s="676"/>
      <c r="K1042" s="3236">
        <f t="shared" si="179"/>
        <v>1</v>
      </c>
      <c r="L1042" s="676"/>
      <c r="M1042" s="3236">
        <f t="shared" si="180"/>
        <v>1</v>
      </c>
      <c r="N1042" s="676"/>
      <c r="O1042" s="3236">
        <f t="shared" si="181"/>
        <v>1</v>
      </c>
      <c r="P1042" s="676"/>
      <c r="Q1042" s="3236">
        <f t="shared" si="182"/>
        <v>1</v>
      </c>
      <c r="R1042" s="3237">
        <f t="shared" si="183"/>
        <v>0</v>
      </c>
      <c r="S1042" s="1090">
        <f t="shared" si="184"/>
        <v>0</v>
      </c>
    </row>
  </sheetData>
  <sheetProtection password="CEE9" sheet="1" objects="1" scenarios="1" formatCells="0" formatColumns="0" formatRows="0"/>
  <mergeCells count="2">
    <mergeCell ref="C22:Q22"/>
    <mergeCell ref="C1:S1"/>
  </mergeCells>
  <phoneticPr fontId="26" type="noConversion"/>
  <conditionalFormatting sqref="C24:C1042 E24:E1042 G24:G1042 I24:I1042 K24:K1042 M24:M1042 O24:O1042 Q24:Q1042">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37588</v>
      </c>
      <c r="C2" s="2" t="s">
        <v>133</v>
      </c>
      <c r="D2" s="205"/>
      <c r="E2" s="205"/>
      <c r="F2" s="205"/>
      <c r="G2" s="205"/>
    </row>
    <row r="3" spans="1:7" s="206" customFormat="1" ht="18" customHeight="1" thickBot="1">
      <c r="A3" s="209" t="s">
        <v>85</v>
      </c>
      <c r="B3" s="210">
        <f ca="1">ROUND(B2*10000/'数据-汇总表'!E3,0)</f>
        <v>11671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644</v>
      </c>
      <c r="D10" s="954">
        <f>'数据-汇总表'!E6</f>
        <v>32206.89000000029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644</v>
      </c>
      <c r="D19" s="958">
        <f>'数据-汇总表'!E3</f>
        <v>32206.89000000029</v>
      </c>
      <c r="E19" s="217">
        <f>'数据-取费表'!B31</f>
        <v>200</v>
      </c>
      <c r="F19" s="237"/>
      <c r="G19" s="1" t="s">
        <v>1042</v>
      </c>
    </row>
    <row r="20" spans="1:7" s="220" customFormat="1" ht="13.5" customHeight="1">
      <c r="A20" s="885" t="s">
        <v>1025</v>
      </c>
      <c r="B20" s="216" t="s">
        <v>104</v>
      </c>
      <c r="C20" s="238">
        <f>ROUND((C5+C19)*F20,0)</f>
        <v>425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1886</v>
      </c>
      <c r="D22" s="241">
        <f ca="1">C26</f>
        <v>8.9999999999999998E-4</v>
      </c>
      <c r="E22" s="242" t="s">
        <v>126</v>
      </c>
      <c r="F22" s="243">
        <f ca="1">'数据-取费表'!B40</f>
        <v>4.2999999999999997E-2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1811</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57</v>
      </c>
      <c r="D24" s="244"/>
      <c r="E24" s="244"/>
      <c r="F24" s="245"/>
      <c r="G24" s="246" t="s">
        <v>109</v>
      </c>
    </row>
    <row r="25" spans="1:7" s="220" customFormat="1" ht="24">
      <c r="A25" s="888" t="s">
        <v>793</v>
      </c>
      <c r="B25" s="221" t="s">
        <v>1026</v>
      </c>
      <c r="C25" s="1237">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1084</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1084</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26654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12424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11273</v>
      </c>
      <c r="D34" s="223"/>
      <c r="E34" s="226"/>
      <c r="F34" s="263">
        <f>IF('数据-取费表'!B24=0,1,'数据-取费表'!N16)</f>
        <v>1</v>
      </c>
      <c r="G34" s="225" t="s">
        <v>116</v>
      </c>
    </row>
    <row r="35" spans="1:7" ht="13.5" customHeight="1">
      <c r="A35" s="888" t="s">
        <v>796</v>
      </c>
      <c r="B35" s="221" t="s">
        <v>60</v>
      </c>
      <c r="C35" s="226">
        <f>ROUND(C34*F35,0)</f>
        <v>338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644</v>
      </c>
      <c r="D37" s="223">
        <f>'数据-汇总表'!E3</f>
        <v>32206.89000000029</v>
      </c>
      <c r="E37" s="255">
        <f>'数据-取费表'!B35</f>
        <v>200</v>
      </c>
      <c r="F37" s="265"/>
      <c r="G37" s="267" t="s">
        <v>119</v>
      </c>
    </row>
    <row r="38" spans="1:7" ht="13.5" customHeight="1">
      <c r="A38" s="888" t="s">
        <v>799</v>
      </c>
      <c r="B38" s="221" t="s">
        <v>63</v>
      </c>
      <c r="C38" s="226">
        <f>ROUND(C34*F38,0)</f>
        <v>169</v>
      </c>
      <c r="D38" s="226"/>
      <c r="E38" s="226"/>
      <c r="F38" s="265">
        <f>'数据-取费表'!B36</f>
        <v>1.4999999999999999E-2</v>
      </c>
      <c r="G38" s="225" t="s">
        <v>117</v>
      </c>
    </row>
    <row r="39" spans="1:7" s="220" customFormat="1" ht="13.5" customHeight="1">
      <c r="A39" s="885" t="s">
        <v>783</v>
      </c>
      <c r="B39" s="216" t="s">
        <v>104</v>
      </c>
      <c r="C39" s="238">
        <f>ROUND(C33*F20,0)</f>
        <v>248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545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534</v>
      </c>
      <c r="D42" s="244"/>
      <c r="E42" s="244"/>
      <c r="F42" s="245"/>
      <c r="G42" s="3452" t="s">
        <v>121</v>
      </c>
    </row>
    <row r="43" spans="1:7" ht="13.5" customHeight="1">
      <c r="A43" s="888" t="s">
        <v>792</v>
      </c>
      <c r="B43" s="221" t="s">
        <v>1032</v>
      </c>
      <c r="C43" s="244">
        <f ca="1">ROUND(IF('数据-取费表'!B22&lt;=1,C39*F22*'数据-取费表'!B21/2,C39*(POWER((1+F22),'数据-取费表'!B21/2)-1)),0)</f>
        <v>11</v>
      </c>
      <c r="D43" s="244"/>
      <c r="E43" s="244"/>
      <c r="F43" s="245"/>
      <c r="G43" s="3453"/>
    </row>
    <row r="44" spans="1:7" ht="13.5" customHeight="1">
      <c r="A44" s="888" t="s">
        <v>793</v>
      </c>
      <c r="B44" s="221" t="s">
        <v>1034</v>
      </c>
      <c r="C44" s="244">
        <f ca="1">ROUND(IF('数据-取费表'!B22&lt;=1,C40*F22*'数据-取费表'!B21/2,C40*(POWER((1+F22),'数据-取费表'!B21/2)-1)),4)</f>
        <v>8.9999999999999998E-4</v>
      </c>
      <c r="D44" s="244"/>
      <c r="E44" s="244"/>
      <c r="F44" s="245"/>
      <c r="G44" s="3454"/>
    </row>
    <row r="45" spans="1:7" s="220" customFormat="1" ht="13.5" customHeight="1">
      <c r="A45" s="885" t="s">
        <v>786</v>
      </c>
      <c r="B45" s="250" t="s">
        <v>112</v>
      </c>
      <c r="C45" s="251">
        <f>C46</f>
        <v>634</v>
      </c>
      <c r="D45" s="241">
        <f>C47</f>
        <v>1E-3</v>
      </c>
      <c r="E45" s="242" t="s">
        <v>129</v>
      </c>
      <c r="F45" s="252"/>
      <c r="G45" s="253" t="s">
        <v>1040</v>
      </c>
    </row>
    <row r="46" spans="1:7" s="220" customFormat="1" ht="13.5" customHeight="1">
      <c r="A46" s="888" t="s">
        <v>794</v>
      </c>
      <c r="B46" s="254" t="s">
        <v>1033</v>
      </c>
      <c r="C46" s="255">
        <f>ROUND((C33+C39)*F27,0)</f>
        <v>634</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14978</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10934</v>
      </c>
      <c r="D51" s="238"/>
      <c r="E51" s="238"/>
      <c r="F51" s="270"/>
      <c r="G51" s="240" t="s">
        <v>64</v>
      </c>
    </row>
    <row r="52" spans="1:7" s="214" customFormat="1" ht="16.5" thickBot="1">
      <c r="A52" s="271" t="s">
        <v>65</v>
      </c>
      <c r="B52" s="272"/>
      <c r="C52" s="273">
        <f ca="1">C31+C51</f>
        <v>37588</v>
      </c>
      <c r="D52" s="272"/>
      <c r="E52" s="272"/>
      <c r="F52" s="272"/>
      <c r="G52" s="274"/>
    </row>
    <row r="55" spans="1:7" ht="15">
      <c r="B55" s="276" t="s">
        <v>66</v>
      </c>
      <c r="C55" s="277"/>
    </row>
    <row r="56" spans="1:7">
      <c r="B56" s="279" t="s">
        <v>67</v>
      </c>
      <c r="C56" s="280">
        <f ca="1">ROUND(C51/C52,3)</f>
        <v>0.29099999999999998</v>
      </c>
    </row>
    <row r="57" spans="1:7">
      <c r="B57" s="279" t="s">
        <v>68</v>
      </c>
      <c r="C57" s="281">
        <f ca="1">1-C56</f>
        <v>0.70900000000000007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6" t="s">
        <v>156</v>
      </c>
      <c r="B1" s="3596"/>
      <c r="C1" s="3596"/>
      <c r="D1" s="3596"/>
      <c r="E1" s="3596"/>
      <c r="F1" s="35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7" t="s">
        <v>169</v>
      </c>
      <c r="B2" s="3597"/>
      <c r="C2" s="3597"/>
      <c r="D2" s="3597"/>
      <c r="E2" s="3597"/>
      <c r="F2" s="35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6" t="s">
        <v>839</v>
      </c>
      <c r="B1" s="35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44573</v>
      </c>
      <c r="D1" s="1442" t="s">
        <v>1209</v>
      </c>
      <c r="E1" s="1437">
        <f>'数据-取费表'!B22</f>
        <v>2</v>
      </c>
      <c r="F1" s="1442" t="s">
        <v>1210</v>
      </c>
      <c r="G1" s="1438">
        <f ca="1">INDIRECT("d"&amp;$K$1)/100</f>
        <v>3.7999999999999999E-2</v>
      </c>
      <c r="H1" s="1442" t="s">
        <v>1240</v>
      </c>
      <c r="I1" s="1438">
        <f ca="1">F4/100</f>
        <v>1.4999999999999999E-2</v>
      </c>
      <c r="J1" s="1443">
        <f>IF(C1&gt;C13,0,MATCH(C1,C$13:C$106,-1))+IF(SUMIF(C13:C106,C1,D13:D106)=0,13,12)</f>
        <v>13</v>
      </c>
      <c r="K1" s="1443">
        <f>MATCH(E1,C3:C7,1)+IF(SUMIF(C3:C7,E1,D3:D7)=0,2,1)</f>
        <v>5</v>
      </c>
      <c r="L1" s="1443">
        <f>IF(C1&gt;M13,0,MATCH(C1,M$13:M$101,-1))+IF(SUMIF(M13:M101,C1,N13:N101)=0,13,12)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44550</v>
      </c>
      <c r="D13" s="3022">
        <v>3.8</v>
      </c>
      <c r="E13" s="3022">
        <f>D13</f>
        <v>3.8</v>
      </c>
      <c r="F13" s="3022">
        <f>D13</f>
        <v>3.8</v>
      </c>
      <c r="G13" s="3022">
        <f>D13</f>
        <v>3.8</v>
      </c>
      <c r="H13" s="3022">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43941</v>
      </c>
      <c r="D14" s="3017">
        <v>3.85</v>
      </c>
      <c r="E14" s="3017">
        <v>3.85</v>
      </c>
      <c r="F14" s="3017">
        <v>3.85</v>
      </c>
      <c r="G14" s="3017">
        <v>3.85</v>
      </c>
      <c r="H14" s="3017">
        <v>4.6500000000000004</v>
      </c>
      <c r="I14" s="3017"/>
      <c r="J14" s="3017"/>
      <c r="L14" s="3017"/>
      <c r="M14" s="3018">
        <v>42301</v>
      </c>
      <c r="N14" s="3017">
        <v>0.35</v>
      </c>
      <c r="O14" s="3017">
        <v>1.1000000000000001</v>
      </c>
      <c r="P14" s="3017">
        <v>1.3</v>
      </c>
      <c r="Q14" s="3017">
        <v>1.5</v>
      </c>
      <c r="R14" s="3017">
        <v>2.1</v>
      </c>
      <c r="S14" s="3017">
        <v>2.75</v>
      </c>
      <c r="T14" s="3017"/>
      <c r="U14" s="3017"/>
      <c r="V14" s="3017"/>
      <c r="W14" s="3017"/>
      <c r="X14" s="3017"/>
      <c r="Y14" s="3017"/>
      <c r="Z14" s="3017"/>
    </row>
    <row r="15" spans="1:257" ht="14.25">
      <c r="A15" s="1424"/>
      <c r="B15" s="3017"/>
      <c r="C15" s="3018">
        <v>43881</v>
      </c>
      <c r="D15" s="3017">
        <v>4.05</v>
      </c>
      <c r="E15" s="3017">
        <v>4.05</v>
      </c>
      <c r="F15" s="3017">
        <v>4.05</v>
      </c>
      <c r="G15" s="3017">
        <v>4.05</v>
      </c>
      <c r="H15" s="3017">
        <v>4.75</v>
      </c>
      <c r="I15" s="3017"/>
      <c r="J15" s="3017"/>
      <c r="L15" s="1430"/>
      <c r="M15" s="1431">
        <v>42242</v>
      </c>
      <c r="N15" s="1430">
        <v>0.35</v>
      </c>
      <c r="O15" s="1430">
        <v>1.35</v>
      </c>
      <c r="P15" s="1430">
        <v>1.55</v>
      </c>
      <c r="Q15" s="1430">
        <v>1.75</v>
      </c>
      <c r="R15" s="1430">
        <v>2.35</v>
      </c>
      <c r="S15" s="1430">
        <v>3</v>
      </c>
      <c r="T15" s="1430"/>
      <c r="U15" s="1430"/>
      <c r="V15" s="1430"/>
      <c r="W15" s="1430"/>
      <c r="X15" s="1430"/>
      <c r="Y15" s="1430"/>
      <c r="Z15" s="1430"/>
    </row>
    <row r="16" spans="1:257" ht="14.25">
      <c r="A16" s="1424"/>
      <c r="B16" s="3017"/>
      <c r="C16" s="3018">
        <v>43789</v>
      </c>
      <c r="D16" s="3017">
        <v>4.1500000000000004</v>
      </c>
      <c r="E16" s="3017">
        <v>4.1500000000000004</v>
      </c>
      <c r="F16" s="3017">
        <v>4.1500000000000004</v>
      </c>
      <c r="G16" s="3017">
        <v>4.1500000000000004</v>
      </c>
      <c r="H16" s="3017">
        <v>4.8</v>
      </c>
      <c r="I16" s="3017"/>
      <c r="J16" s="3017"/>
      <c r="L16" s="1430"/>
      <c r="M16" s="1431">
        <v>42183</v>
      </c>
      <c r="N16" s="1430">
        <v>0.35</v>
      </c>
      <c r="O16" s="1430">
        <v>1.6</v>
      </c>
      <c r="P16" s="1430">
        <v>1.8</v>
      </c>
      <c r="Q16" s="1430">
        <v>2</v>
      </c>
      <c r="R16" s="1430">
        <v>2.6</v>
      </c>
      <c r="S16" s="1430">
        <v>3.25</v>
      </c>
      <c r="T16" s="1430"/>
      <c r="U16" s="1430"/>
      <c r="V16" s="1430"/>
      <c r="W16" s="1430"/>
      <c r="X16" s="1430"/>
      <c r="Y16" s="1430"/>
      <c r="Z16" s="1430"/>
    </row>
    <row r="17" spans="1:256" ht="14.25">
      <c r="A17" s="1424"/>
      <c r="B17" s="3017"/>
      <c r="C17" s="3018">
        <v>43728</v>
      </c>
      <c r="D17" s="3017">
        <v>4.2</v>
      </c>
      <c r="E17" s="3017">
        <v>4.2</v>
      </c>
      <c r="F17" s="3017">
        <v>4.2</v>
      </c>
      <c r="G17" s="3017">
        <v>4.2</v>
      </c>
      <c r="H17" s="3017">
        <v>4.8499999999999996</v>
      </c>
      <c r="I17" s="3017"/>
      <c r="J17" s="3017"/>
      <c r="L17" s="1430"/>
      <c r="M17" s="1431">
        <v>42135</v>
      </c>
      <c r="N17" s="1430">
        <v>0.35</v>
      </c>
      <c r="O17" s="1430">
        <v>1.85</v>
      </c>
      <c r="P17" s="1430">
        <v>2.0499999999999998</v>
      </c>
      <c r="Q17" s="1430">
        <v>2.25</v>
      </c>
      <c r="R17" s="1430">
        <v>2.85</v>
      </c>
      <c r="S17" s="1430">
        <v>3.5</v>
      </c>
      <c r="T17" s="1430"/>
      <c r="U17" s="1430"/>
      <c r="V17" s="1430"/>
      <c r="W17" s="1430"/>
      <c r="X17" s="1430"/>
      <c r="Y17" s="1430"/>
      <c r="Z17" s="1430"/>
    </row>
    <row r="18" spans="1:256" ht="14.25">
      <c r="A18" s="1424"/>
      <c r="B18" s="3016" t="s">
        <v>2997</v>
      </c>
      <c r="C18" s="3019">
        <v>43697</v>
      </c>
      <c r="D18" s="3020">
        <v>4.25</v>
      </c>
      <c r="E18" s="3020">
        <v>4.25</v>
      </c>
      <c r="F18" s="3020">
        <v>4.25</v>
      </c>
      <c r="G18" s="3020">
        <v>4.25</v>
      </c>
      <c r="H18" s="3020">
        <v>4.8499999999999996</v>
      </c>
      <c r="I18" s="3020"/>
      <c r="J18" s="3020"/>
      <c r="L18" s="1430"/>
      <c r="M18" s="1431">
        <v>42064</v>
      </c>
      <c r="N18" s="1430">
        <v>0.35</v>
      </c>
      <c r="O18" s="1430">
        <v>2.1</v>
      </c>
      <c r="P18" s="1430">
        <v>2.2999999999999998</v>
      </c>
      <c r="Q18" s="1430">
        <v>2.5</v>
      </c>
      <c r="R18" s="1430">
        <v>3.1</v>
      </c>
      <c r="S18" s="1430">
        <v>3.75</v>
      </c>
      <c r="T18" s="1430">
        <v>4.5</v>
      </c>
      <c r="U18" s="1430">
        <v>2.35</v>
      </c>
      <c r="V18" s="1430">
        <v>2.5499999999999998</v>
      </c>
      <c r="W18" s="1430">
        <v>2.75</v>
      </c>
      <c r="X18" s="1430"/>
      <c r="Y18" s="1430">
        <v>0.8</v>
      </c>
      <c r="Z18" s="1430">
        <v>1.35</v>
      </c>
    </row>
    <row r="19" spans="1:256" s="3028" customFormat="1" ht="15">
      <c r="A19" s="3023"/>
      <c r="B19" s="3024"/>
      <c r="C19" s="3025">
        <v>42301</v>
      </c>
      <c r="D19" s="3026">
        <v>4.3499999999999996</v>
      </c>
      <c r="E19" s="3026">
        <v>4.3499999999999996</v>
      </c>
      <c r="F19" s="3026">
        <v>4.75</v>
      </c>
      <c r="G19" s="3026">
        <v>4.75</v>
      </c>
      <c r="H19" s="3026">
        <v>4.9000000000000004</v>
      </c>
      <c r="I19" s="3026"/>
      <c r="J19" s="3026"/>
      <c r="K19" s="1418"/>
      <c r="L19" s="3026"/>
      <c r="M19" s="3025">
        <v>41965</v>
      </c>
      <c r="N19" s="3026">
        <v>0.35</v>
      </c>
      <c r="O19" s="3026">
        <v>2.35</v>
      </c>
      <c r="P19" s="3026">
        <v>2.5499999999999998</v>
      </c>
      <c r="Q19" s="3026">
        <v>2.75</v>
      </c>
      <c r="R19" s="3026">
        <v>3.35</v>
      </c>
      <c r="S19" s="3026">
        <v>4</v>
      </c>
      <c r="T19" s="3026">
        <v>4.75</v>
      </c>
      <c r="U19" s="3027">
        <v>2.35</v>
      </c>
      <c r="V19" s="3027">
        <v>2.5499999999999998</v>
      </c>
      <c r="W19" s="3027">
        <v>2.75</v>
      </c>
      <c r="X19" s="3026"/>
      <c r="Y19" s="3027">
        <v>0.8</v>
      </c>
      <c r="Z19" s="3027">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c r="B20" s="1430"/>
      <c r="C20" s="1431">
        <v>42242</v>
      </c>
      <c r="D20" s="1430">
        <v>4.5999999999999996</v>
      </c>
      <c r="E20" s="1430">
        <v>4.5999999999999996</v>
      </c>
      <c r="F20" s="1430">
        <v>5</v>
      </c>
      <c r="G20" s="1430">
        <v>5</v>
      </c>
      <c r="H20" s="1430">
        <v>5.15</v>
      </c>
      <c r="I20" s="1430">
        <v>2.75</v>
      </c>
      <c r="J20" s="1430">
        <v>3.25</v>
      </c>
      <c r="L20" s="1430"/>
      <c r="M20" s="1431">
        <v>41096</v>
      </c>
      <c r="N20" s="1430">
        <v>0.35</v>
      </c>
      <c r="O20" s="1430">
        <v>2.6</v>
      </c>
      <c r="P20" s="1430">
        <v>2.8</v>
      </c>
      <c r="Q20" s="1430">
        <v>3</v>
      </c>
      <c r="R20" s="1430">
        <v>3.75</v>
      </c>
      <c r="S20" s="1430">
        <v>4.25</v>
      </c>
      <c r="T20" s="1430">
        <v>4.75</v>
      </c>
      <c r="U20" s="1430">
        <v>2.85</v>
      </c>
      <c r="V20" s="1430">
        <v>2.9</v>
      </c>
      <c r="W20" s="1430">
        <v>3</v>
      </c>
      <c r="X20" s="1430">
        <v>1.1499999999999999</v>
      </c>
      <c r="Y20" s="1430">
        <v>0.8</v>
      </c>
      <c r="Z20" s="1430">
        <v>1.35</v>
      </c>
    </row>
    <row r="21" spans="1:256">
      <c r="B21" s="1430"/>
      <c r="C21" s="1431">
        <v>42183</v>
      </c>
      <c r="D21" s="1430">
        <v>4.8499999999999996</v>
      </c>
      <c r="E21" s="1430">
        <v>4.8499999999999996</v>
      </c>
      <c r="F21" s="1430">
        <v>5.25</v>
      </c>
      <c r="G21" s="1430">
        <v>5.25</v>
      </c>
      <c r="H21" s="1430">
        <v>5.4</v>
      </c>
      <c r="I21" s="1430">
        <v>3</v>
      </c>
      <c r="J21" s="1430">
        <v>3.5</v>
      </c>
      <c r="L21" s="1430"/>
      <c r="M21" s="1431">
        <v>41068</v>
      </c>
      <c r="N21" s="1430">
        <v>0.4</v>
      </c>
      <c r="O21" s="1430">
        <v>2.85</v>
      </c>
      <c r="P21" s="1430">
        <v>3.05</v>
      </c>
      <c r="Q21" s="1430">
        <v>3.25</v>
      </c>
      <c r="R21" s="1430">
        <v>4.0999999999999996</v>
      </c>
      <c r="S21" s="1430">
        <v>4.6500000000000004</v>
      </c>
      <c r="T21" s="1430">
        <v>5.0999999999999996</v>
      </c>
      <c r="U21" s="1430">
        <v>3.1</v>
      </c>
      <c r="V21" s="1430">
        <v>3.15</v>
      </c>
      <c r="W21" s="1430">
        <v>3.25</v>
      </c>
      <c r="X21" s="1430">
        <v>1.31</v>
      </c>
      <c r="Y21" s="1430">
        <v>0.94</v>
      </c>
      <c r="Z21" s="1430">
        <v>1.49</v>
      </c>
    </row>
    <row r="22" spans="1:256">
      <c r="B22" s="1430"/>
      <c r="C22" s="1431">
        <v>42135</v>
      </c>
      <c r="D22" s="1430">
        <v>5.0999999999999996</v>
      </c>
      <c r="E22" s="1430">
        <v>5.0999999999999996</v>
      </c>
      <c r="F22" s="1430">
        <v>5.5</v>
      </c>
      <c r="G22" s="1430">
        <v>5.5</v>
      </c>
      <c r="H22" s="1430">
        <v>5.65</v>
      </c>
      <c r="I22" s="1430">
        <v>3.25</v>
      </c>
      <c r="J22" s="1430">
        <v>3.75</v>
      </c>
      <c r="L22" s="1430"/>
      <c r="M22" s="1431">
        <v>40731</v>
      </c>
      <c r="N22" s="1430">
        <v>0.5</v>
      </c>
      <c r="O22" s="1430">
        <v>3.1</v>
      </c>
      <c r="P22" s="1430">
        <v>3.3</v>
      </c>
      <c r="Q22" s="1430">
        <v>3.5</v>
      </c>
      <c r="R22" s="1430">
        <v>4.4000000000000004</v>
      </c>
      <c r="S22" s="1430">
        <v>5</v>
      </c>
      <c r="T22" s="1430">
        <v>5.5</v>
      </c>
      <c r="U22" s="1430">
        <v>3.1</v>
      </c>
      <c r="V22" s="1430">
        <v>3.3</v>
      </c>
      <c r="W22" s="1430">
        <v>3.5</v>
      </c>
      <c r="X22" s="1430">
        <v>1.31</v>
      </c>
      <c r="Y22" s="1430">
        <v>0.95</v>
      </c>
      <c r="Z22" s="1430">
        <v>1.49</v>
      </c>
    </row>
    <row r="23" spans="1:256">
      <c r="B23" s="1430"/>
      <c r="C23" s="1431">
        <v>42064</v>
      </c>
      <c r="D23" s="1430">
        <v>5.35</v>
      </c>
      <c r="E23" s="1430">
        <v>5.35</v>
      </c>
      <c r="F23" s="1430">
        <v>5.75</v>
      </c>
      <c r="G23" s="1430">
        <v>5.75</v>
      </c>
      <c r="H23" s="1430">
        <v>5.9</v>
      </c>
      <c r="I23" s="1430"/>
      <c r="J23" s="1430"/>
      <c r="L23" s="1430"/>
      <c r="M23" s="1431">
        <v>40639</v>
      </c>
      <c r="N23" s="1430">
        <v>0.5</v>
      </c>
      <c r="O23" s="1430">
        <v>2.85</v>
      </c>
      <c r="P23" s="1430">
        <v>3.05</v>
      </c>
      <c r="Q23" s="1430">
        <v>3.25</v>
      </c>
      <c r="R23" s="1430">
        <v>4.1500000000000004</v>
      </c>
      <c r="S23" s="1430">
        <v>4.75</v>
      </c>
      <c r="T23" s="1430">
        <v>5.25</v>
      </c>
      <c r="U23" s="1430">
        <v>2.85</v>
      </c>
      <c r="V23" s="1430">
        <v>3.05</v>
      </c>
      <c r="W23" s="1430">
        <v>3.25</v>
      </c>
      <c r="X23" s="1430">
        <v>1.31</v>
      </c>
      <c r="Y23" s="1430">
        <v>0.95</v>
      </c>
      <c r="Z23" s="1430">
        <v>1.49</v>
      </c>
    </row>
    <row r="24" spans="1:256">
      <c r="B24" s="1430"/>
      <c r="C24" s="1431">
        <v>41965</v>
      </c>
      <c r="D24" s="1430">
        <v>5.6</v>
      </c>
      <c r="E24" s="1430">
        <v>5.6</v>
      </c>
      <c r="F24" s="1430">
        <v>6</v>
      </c>
      <c r="G24" s="1430">
        <v>6</v>
      </c>
      <c r="H24" s="1430">
        <v>6.15</v>
      </c>
      <c r="I24" s="1430"/>
      <c r="J24" s="1430"/>
      <c r="L24" s="1430"/>
      <c r="M24" s="1431">
        <v>40583</v>
      </c>
      <c r="N24" s="1430">
        <v>0.4</v>
      </c>
      <c r="O24" s="1430">
        <v>2.6</v>
      </c>
      <c r="P24" s="1430">
        <v>2.8</v>
      </c>
      <c r="Q24" s="1430">
        <v>3</v>
      </c>
      <c r="R24" s="1430">
        <v>3.9</v>
      </c>
      <c r="S24" s="1430">
        <v>4.5</v>
      </c>
      <c r="T24" s="1430">
        <v>5</v>
      </c>
      <c r="U24" s="1430">
        <v>2.6</v>
      </c>
      <c r="V24" s="1430">
        <v>2.8</v>
      </c>
      <c r="W24" s="1430">
        <v>3</v>
      </c>
      <c r="X24" s="1430">
        <v>1.21</v>
      </c>
      <c r="Y24" s="1430">
        <v>0.85</v>
      </c>
      <c r="Z24" s="1430">
        <v>1.39</v>
      </c>
    </row>
    <row r="25" spans="1:256">
      <c r="B25" s="1430"/>
      <c r="C25" s="1431">
        <v>41096</v>
      </c>
      <c r="D25" s="1430">
        <v>5.6</v>
      </c>
      <c r="E25" s="1430">
        <v>6</v>
      </c>
      <c r="F25" s="1430">
        <v>6.15</v>
      </c>
      <c r="G25" s="1430">
        <v>6.4</v>
      </c>
      <c r="H25" s="1430">
        <v>6.55</v>
      </c>
      <c r="I25" s="1430">
        <v>4</v>
      </c>
      <c r="J25" s="1430">
        <v>4.5</v>
      </c>
      <c r="L25" s="1430"/>
      <c r="M25" s="1431">
        <v>40538</v>
      </c>
      <c r="N25" s="1430">
        <v>0.36</v>
      </c>
      <c r="O25" s="1430">
        <v>2.25</v>
      </c>
      <c r="P25" s="1430">
        <v>2.5</v>
      </c>
      <c r="Q25" s="1430">
        <v>2.75</v>
      </c>
      <c r="R25" s="1430">
        <v>3.55</v>
      </c>
      <c r="S25" s="1430">
        <v>4.1500000000000004</v>
      </c>
      <c r="T25" s="1430">
        <v>4.55</v>
      </c>
      <c r="U25" s="1430">
        <v>2.16</v>
      </c>
      <c r="V25" s="1430">
        <v>2.5</v>
      </c>
      <c r="W25" s="1430">
        <v>2.85</v>
      </c>
      <c r="X25" s="1430">
        <v>1.17</v>
      </c>
      <c r="Y25" s="1430">
        <v>0.81</v>
      </c>
      <c r="Z25" s="1430">
        <v>1.35</v>
      </c>
    </row>
    <row r="26" spans="1:256">
      <c r="B26" s="1430"/>
      <c r="C26" s="1431">
        <v>41068</v>
      </c>
      <c r="D26" s="1430">
        <v>5.85</v>
      </c>
      <c r="E26" s="1430">
        <v>6.31</v>
      </c>
      <c r="F26" s="1430">
        <v>6.4</v>
      </c>
      <c r="G26" s="1430">
        <v>6.65</v>
      </c>
      <c r="H26" s="1430">
        <v>6.8</v>
      </c>
      <c r="I26" s="1430">
        <v>4.2</v>
      </c>
      <c r="J26" s="1430">
        <v>4.7</v>
      </c>
      <c r="L26" s="1430"/>
      <c r="M26" s="1431">
        <v>40471</v>
      </c>
      <c r="N26" s="1430">
        <v>0.36</v>
      </c>
      <c r="O26" s="1430">
        <v>1.91</v>
      </c>
      <c r="P26" s="1430">
        <v>2.2000000000000002</v>
      </c>
      <c r="Q26" s="1430">
        <v>2.5</v>
      </c>
      <c r="R26" s="1430">
        <v>3.25</v>
      </c>
      <c r="S26" s="1430">
        <v>3.85</v>
      </c>
      <c r="T26" s="1430">
        <v>4.2</v>
      </c>
      <c r="U26" s="1430">
        <v>1.91</v>
      </c>
      <c r="V26" s="1430">
        <v>2.2000000000000002</v>
      </c>
      <c r="W26" s="1430">
        <v>2.5</v>
      </c>
      <c r="X26" s="1430">
        <v>1.17</v>
      </c>
      <c r="Y26" s="1430">
        <v>0.81</v>
      </c>
      <c r="Z26" s="1430">
        <v>1.35</v>
      </c>
    </row>
    <row r="27" spans="1:256">
      <c r="B27" s="1430"/>
      <c r="C27" s="1431">
        <v>40731</v>
      </c>
      <c r="D27" s="1430">
        <v>6.1</v>
      </c>
      <c r="E27" s="1430">
        <v>6.56</v>
      </c>
      <c r="F27" s="1430">
        <v>6.65</v>
      </c>
      <c r="G27" s="1430">
        <v>6.9</v>
      </c>
      <c r="H27" s="1430">
        <v>7.05</v>
      </c>
      <c r="I27" s="1430">
        <v>4.45</v>
      </c>
      <c r="J27" s="1430">
        <v>4.9000000000000004</v>
      </c>
      <c r="L27" s="1430"/>
      <c r="M27" s="1431">
        <v>39805</v>
      </c>
      <c r="N27" s="1430">
        <v>0.36</v>
      </c>
      <c r="O27" s="1430">
        <v>1.71</v>
      </c>
      <c r="P27" s="1430">
        <v>1.98</v>
      </c>
      <c r="Q27" s="1430">
        <v>2.25</v>
      </c>
      <c r="R27" s="1430">
        <v>2.79</v>
      </c>
      <c r="S27" s="1430">
        <v>3.33</v>
      </c>
      <c r="T27" s="1430">
        <v>3.6</v>
      </c>
      <c r="U27" s="1430">
        <v>1.71</v>
      </c>
      <c r="V27" s="1430">
        <v>1.98</v>
      </c>
      <c r="W27" s="1430">
        <v>2.25</v>
      </c>
      <c r="X27" s="1430">
        <v>1.17</v>
      </c>
      <c r="Y27" s="1430">
        <v>0.81</v>
      </c>
      <c r="Z27" s="1430">
        <v>1.35</v>
      </c>
    </row>
    <row r="28" spans="1:256">
      <c r="B28" s="1430"/>
      <c r="C28" s="1431">
        <v>40639</v>
      </c>
      <c r="D28" s="1430">
        <v>5.85</v>
      </c>
      <c r="E28" s="1430">
        <v>6.31</v>
      </c>
      <c r="F28" s="1430">
        <v>6.4</v>
      </c>
      <c r="G28" s="1430">
        <v>6.65</v>
      </c>
      <c r="H28" s="1430">
        <v>6.8</v>
      </c>
      <c r="I28" s="1430">
        <v>4.2</v>
      </c>
      <c r="J28" s="1430">
        <v>4.7</v>
      </c>
      <c r="L28" s="1430"/>
      <c r="M28" s="1431">
        <v>39779</v>
      </c>
      <c r="N28" s="1430">
        <v>0.36</v>
      </c>
      <c r="O28" s="1430">
        <v>1.98</v>
      </c>
      <c r="P28" s="1430">
        <v>2.25</v>
      </c>
      <c r="Q28" s="1430">
        <v>2.52</v>
      </c>
      <c r="R28" s="1430">
        <v>3.06</v>
      </c>
      <c r="S28" s="1430">
        <v>3.6</v>
      </c>
      <c r="T28" s="1430">
        <v>3.87</v>
      </c>
      <c r="U28" s="1430">
        <v>1.98</v>
      </c>
      <c r="V28" s="1430">
        <v>2.25</v>
      </c>
      <c r="W28" s="1430">
        <v>2.52</v>
      </c>
      <c r="X28" s="1430">
        <v>1.17</v>
      </c>
      <c r="Y28" s="1430">
        <v>0.81</v>
      </c>
      <c r="Z28" s="1430">
        <v>1.35</v>
      </c>
    </row>
    <row r="29" spans="1:256">
      <c r="B29" s="1430"/>
      <c r="C29" s="1431">
        <v>40583</v>
      </c>
      <c r="D29" s="1430">
        <v>5.6</v>
      </c>
      <c r="E29" s="1430">
        <v>6.06</v>
      </c>
      <c r="F29" s="1430">
        <v>6.1</v>
      </c>
      <c r="G29" s="1430">
        <v>6.45</v>
      </c>
      <c r="H29" s="1430">
        <v>6.6</v>
      </c>
      <c r="I29" s="1430">
        <v>4</v>
      </c>
      <c r="J29" s="1430">
        <v>4.5</v>
      </c>
      <c r="L29" s="1430"/>
      <c r="M29" s="1431">
        <v>39751</v>
      </c>
      <c r="N29" s="1430">
        <v>0.72</v>
      </c>
      <c r="O29" s="1430">
        <v>2.88</v>
      </c>
      <c r="P29" s="1430">
        <v>3.24</v>
      </c>
      <c r="Q29" s="1430">
        <v>3.6</v>
      </c>
      <c r="R29" s="1430">
        <v>4.1399999999999997</v>
      </c>
      <c r="S29" s="1430">
        <v>4.7699999999999996</v>
      </c>
      <c r="T29" s="1430">
        <v>5.13</v>
      </c>
      <c r="U29" s="1430">
        <v>2.88</v>
      </c>
      <c r="V29" s="1430">
        <v>3.24</v>
      </c>
      <c r="W29" s="1430">
        <v>3.6</v>
      </c>
      <c r="X29" s="1430">
        <v>1.53</v>
      </c>
      <c r="Y29" s="1430">
        <v>1.17</v>
      </c>
      <c r="Z29" s="1430">
        <v>1.71</v>
      </c>
    </row>
    <row r="30" spans="1:256">
      <c r="B30" s="1430"/>
      <c r="C30" s="1431">
        <v>40538</v>
      </c>
      <c r="D30" s="1430">
        <v>5.35</v>
      </c>
      <c r="E30" s="1430">
        <v>5.81</v>
      </c>
      <c r="F30" s="1430">
        <v>5.85</v>
      </c>
      <c r="G30" s="1430">
        <v>6.22</v>
      </c>
      <c r="H30" s="1430">
        <v>6.4</v>
      </c>
      <c r="I30" s="1430">
        <v>3.75</v>
      </c>
      <c r="J30" s="1430">
        <v>4.3</v>
      </c>
      <c r="L30" s="1430"/>
      <c r="M30" s="1432">
        <v>39736</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40471</v>
      </c>
      <c r="D31" s="1430">
        <v>5.0999999999999996</v>
      </c>
      <c r="E31" s="1430">
        <v>5.56</v>
      </c>
      <c r="F31" s="1430">
        <v>5.6</v>
      </c>
      <c r="G31" s="1430">
        <v>5.96</v>
      </c>
      <c r="H31" s="1430">
        <v>6.14</v>
      </c>
      <c r="I31" s="1430">
        <v>3.5</v>
      </c>
      <c r="J31" s="1430">
        <v>4.05</v>
      </c>
      <c r="L31" s="1430"/>
      <c r="M31" s="1431">
        <v>39730</v>
      </c>
      <c r="N31" s="1430">
        <v>0.72</v>
      </c>
      <c r="O31" s="1430">
        <v>3.15</v>
      </c>
      <c r="P31" s="1430">
        <v>3.51</v>
      </c>
      <c r="Q31" s="1430">
        <v>3.87</v>
      </c>
      <c r="R31" s="1430">
        <v>4.41</v>
      </c>
      <c r="S31" s="1430">
        <v>5.13</v>
      </c>
      <c r="T31" s="1430">
        <v>5.58</v>
      </c>
      <c r="U31" s="1430">
        <v>3.15</v>
      </c>
      <c r="V31" s="1430">
        <v>3.51</v>
      </c>
      <c r="W31" s="1430">
        <v>3.87</v>
      </c>
      <c r="X31" s="1430">
        <v>1.53</v>
      </c>
      <c r="Y31" s="1430">
        <v>1.17</v>
      </c>
      <c r="Z31" s="1430">
        <v>1.71</v>
      </c>
    </row>
    <row r="32" spans="1:256">
      <c r="B32" s="1430"/>
      <c r="C32" s="1431">
        <v>39805</v>
      </c>
      <c r="D32" s="1430">
        <v>4.8600000000000003</v>
      </c>
      <c r="E32" s="1430">
        <v>5.31</v>
      </c>
      <c r="F32" s="1430">
        <v>5.4</v>
      </c>
      <c r="G32" s="1430">
        <v>5.76</v>
      </c>
      <c r="H32" s="1430">
        <v>5.94</v>
      </c>
      <c r="I32" s="1430">
        <v>3.33</v>
      </c>
      <c r="J32" s="1430">
        <v>3.87</v>
      </c>
      <c r="L32" s="1430"/>
      <c r="M32" s="1431">
        <v>39437</v>
      </c>
      <c r="N32" s="1430">
        <v>0.72</v>
      </c>
      <c r="O32" s="1430">
        <v>3.33</v>
      </c>
      <c r="P32" s="1430">
        <v>3.78</v>
      </c>
      <c r="Q32" s="1430">
        <v>4.1399999999999997</v>
      </c>
      <c r="R32" s="1430">
        <v>4.68</v>
      </c>
      <c r="S32" s="1430">
        <v>5.4</v>
      </c>
      <c r="T32" s="1430">
        <v>5.85</v>
      </c>
      <c r="U32" s="1430">
        <v>3.33</v>
      </c>
      <c r="V32" s="1430">
        <v>3.78</v>
      </c>
      <c r="W32" s="1430">
        <v>4.1399999999999997</v>
      </c>
      <c r="X32" s="1430">
        <v>1.53</v>
      </c>
      <c r="Y32" s="1430">
        <v>1.17</v>
      </c>
      <c r="Z32" s="1430">
        <v>1.71</v>
      </c>
    </row>
    <row r="33" spans="2:26">
      <c r="B33" s="1430"/>
      <c r="C33" s="1431">
        <v>39779</v>
      </c>
      <c r="D33" s="1430">
        <v>5.04</v>
      </c>
      <c r="E33" s="1430">
        <v>5.58</v>
      </c>
      <c r="F33" s="1430">
        <v>5.67</v>
      </c>
      <c r="G33" s="1430">
        <v>5.94</v>
      </c>
      <c r="H33" s="1430">
        <v>6.12</v>
      </c>
      <c r="I33" s="1430">
        <v>3.51</v>
      </c>
      <c r="J33" s="1430">
        <v>4.05</v>
      </c>
      <c r="L33" s="1430"/>
      <c r="M33" s="1431">
        <v>39340</v>
      </c>
      <c r="N33" s="1430">
        <v>0.81</v>
      </c>
      <c r="O33" s="1430">
        <v>2.88</v>
      </c>
      <c r="P33" s="1430">
        <v>3.42</v>
      </c>
      <c r="Q33" s="1430">
        <v>3.87</v>
      </c>
      <c r="R33" s="1430">
        <v>4.5</v>
      </c>
      <c r="S33" s="1430">
        <v>5.22</v>
      </c>
      <c r="T33" s="1430">
        <v>5.76</v>
      </c>
      <c r="U33" s="1430">
        <v>2.88</v>
      </c>
      <c r="V33" s="1430">
        <v>3.42</v>
      </c>
      <c r="W33" s="1430">
        <v>3.87</v>
      </c>
      <c r="X33" s="1430">
        <v>1.53</v>
      </c>
      <c r="Y33" s="1430">
        <v>1.17</v>
      </c>
      <c r="Z33" s="1430">
        <v>1.71</v>
      </c>
    </row>
    <row r="34" spans="2:26">
      <c r="B34" s="1430"/>
      <c r="C34" s="1431">
        <v>39751</v>
      </c>
      <c r="D34" s="1430">
        <v>6.03</v>
      </c>
      <c r="E34" s="1430">
        <v>6.66</v>
      </c>
      <c r="F34" s="1430">
        <v>6.75</v>
      </c>
      <c r="G34" s="1430">
        <v>7.02</v>
      </c>
      <c r="H34" s="1430">
        <v>7.2</v>
      </c>
      <c r="I34" s="1430">
        <v>4.05</v>
      </c>
      <c r="J34" s="1430">
        <v>4.59</v>
      </c>
      <c r="L34" s="1430"/>
      <c r="M34" s="1431">
        <v>39316</v>
      </c>
      <c r="N34" s="1430">
        <v>0.81</v>
      </c>
      <c r="O34" s="1430">
        <v>2.61</v>
      </c>
      <c r="P34" s="1430">
        <v>3.15</v>
      </c>
      <c r="Q34" s="1430">
        <v>3.6</v>
      </c>
      <c r="R34" s="1430">
        <v>4.2300000000000004</v>
      </c>
      <c r="S34" s="1430">
        <v>4.95</v>
      </c>
      <c r="T34" s="1430">
        <v>5.49</v>
      </c>
      <c r="U34" s="1430">
        <v>2.61</v>
      </c>
      <c r="V34" s="1430">
        <v>3.15</v>
      </c>
      <c r="W34" s="1430">
        <v>3.6</v>
      </c>
      <c r="X34" s="1430">
        <v>1.53</v>
      </c>
      <c r="Y34" s="1430">
        <v>1.17</v>
      </c>
      <c r="Z34" s="1430">
        <v>1.71</v>
      </c>
    </row>
    <row r="35" spans="2:26">
      <c r="B35" s="1430"/>
      <c r="C35" s="1432">
        <v>39748</v>
      </c>
      <c r="D35" s="1430">
        <v>6.12</v>
      </c>
      <c r="E35" s="1430">
        <v>6.93</v>
      </c>
      <c r="F35" s="1430">
        <v>7.02</v>
      </c>
      <c r="G35" s="1430">
        <v>7.29</v>
      </c>
      <c r="H35" s="1430">
        <v>7.47</v>
      </c>
      <c r="I35" s="1430">
        <v>4.05</v>
      </c>
      <c r="J35" s="1430">
        <v>4.59</v>
      </c>
      <c r="L35" s="1430"/>
      <c r="M35" s="1431">
        <v>39284</v>
      </c>
      <c r="N35" s="1430">
        <v>0.81</v>
      </c>
      <c r="O35" s="1430">
        <v>2.34</v>
      </c>
      <c r="P35" s="1430">
        <v>2.88</v>
      </c>
      <c r="Q35" s="1430">
        <v>3.33</v>
      </c>
      <c r="R35" s="1430">
        <v>3.96</v>
      </c>
      <c r="S35" s="1430">
        <v>4.68</v>
      </c>
      <c r="T35" s="1430">
        <v>5.22</v>
      </c>
      <c r="U35" s="1430">
        <v>2.34</v>
      </c>
      <c r="V35" s="1430">
        <v>2.88</v>
      </c>
      <c r="W35" s="1430">
        <v>3.33</v>
      </c>
      <c r="X35" s="1430">
        <v>1.53</v>
      </c>
      <c r="Y35" s="1430">
        <v>1.17</v>
      </c>
      <c r="Z35" s="1430">
        <v>1.71</v>
      </c>
    </row>
    <row r="36" spans="2:26">
      <c r="B36" s="1430"/>
      <c r="C36" s="1431">
        <v>39730</v>
      </c>
      <c r="D36" s="1430">
        <v>6.12</v>
      </c>
      <c r="E36" s="1430">
        <v>6.93</v>
      </c>
      <c r="F36" s="1430">
        <v>7.02</v>
      </c>
      <c r="G36" s="1430">
        <v>7.29</v>
      </c>
      <c r="H36" s="1430">
        <v>7.47</v>
      </c>
      <c r="I36" s="1430">
        <v>4.32</v>
      </c>
      <c r="J36" s="1430">
        <v>4.8600000000000003</v>
      </c>
      <c r="L36" s="1430"/>
      <c r="M36" s="1431">
        <v>39221</v>
      </c>
      <c r="N36" s="1430">
        <v>0.72</v>
      </c>
      <c r="O36" s="1430">
        <v>2.0699999999999998</v>
      </c>
      <c r="P36" s="1430">
        <v>2.61</v>
      </c>
      <c r="Q36" s="1430">
        <v>3.06</v>
      </c>
      <c r="R36" s="1430">
        <v>3.69</v>
      </c>
      <c r="S36" s="1430">
        <v>4.41</v>
      </c>
      <c r="T36" s="1430">
        <v>4.95</v>
      </c>
      <c r="U36" s="1430">
        <v>2.0699999999999998</v>
      </c>
      <c r="V36" s="1430">
        <v>2.61</v>
      </c>
      <c r="W36" s="1430">
        <v>3.06</v>
      </c>
      <c r="X36" s="1430">
        <v>1.44</v>
      </c>
      <c r="Y36" s="1430">
        <v>1.08</v>
      </c>
      <c r="Z36" s="1430">
        <v>1.62</v>
      </c>
    </row>
    <row r="37" spans="2:26">
      <c r="B37" s="1430"/>
      <c r="C37" s="1431">
        <v>39707</v>
      </c>
      <c r="D37" s="1430">
        <v>6.21</v>
      </c>
      <c r="E37" s="1430">
        <v>7.2</v>
      </c>
      <c r="F37" s="1430">
        <v>7.29</v>
      </c>
      <c r="G37" s="1430">
        <v>7.56</v>
      </c>
      <c r="H37" s="1430">
        <v>7.74</v>
      </c>
      <c r="I37" s="1430">
        <v>4.59</v>
      </c>
      <c r="J37" s="1430">
        <v>5.13</v>
      </c>
      <c r="L37" s="1430"/>
      <c r="M37" s="1431">
        <v>39159</v>
      </c>
      <c r="N37" s="1430">
        <v>0.72</v>
      </c>
      <c r="O37" s="1430">
        <v>1.98</v>
      </c>
      <c r="P37" s="1430">
        <v>2.4300000000000002</v>
      </c>
      <c r="Q37" s="1430">
        <v>2.79</v>
      </c>
      <c r="R37" s="1430">
        <v>3.33</v>
      </c>
      <c r="S37" s="1430">
        <v>3.96</v>
      </c>
      <c r="T37" s="1430">
        <v>4.41</v>
      </c>
      <c r="U37" s="1430">
        <v>1.98</v>
      </c>
      <c r="V37" s="1430">
        <v>2.4300000000000002</v>
      </c>
      <c r="W37" s="1430">
        <v>2.79</v>
      </c>
      <c r="X37" s="1430">
        <v>1.44</v>
      </c>
      <c r="Y37" s="1430">
        <v>1.08</v>
      </c>
      <c r="Z37" s="1430">
        <v>1.62</v>
      </c>
    </row>
    <row r="38" spans="2:26">
      <c r="B38" s="1430"/>
      <c r="C38" s="1431">
        <v>39437</v>
      </c>
      <c r="D38" s="1430">
        <v>6.57</v>
      </c>
      <c r="E38" s="1430">
        <v>7.47</v>
      </c>
      <c r="F38" s="1430">
        <v>7.56</v>
      </c>
      <c r="G38" s="1430">
        <v>7.74</v>
      </c>
      <c r="H38" s="1430">
        <v>7.83</v>
      </c>
      <c r="I38" s="1430">
        <v>4.7699999999999996</v>
      </c>
      <c r="J38" s="1430">
        <v>5.22</v>
      </c>
      <c r="L38" s="1430"/>
      <c r="M38" s="1431">
        <v>38948</v>
      </c>
      <c r="N38" s="1430">
        <v>0.72</v>
      </c>
      <c r="O38" s="1430">
        <v>1.8</v>
      </c>
      <c r="P38" s="1430">
        <v>2.25</v>
      </c>
      <c r="Q38" s="1430">
        <v>2.52</v>
      </c>
      <c r="R38" s="1430">
        <v>3.06</v>
      </c>
      <c r="S38" s="1430">
        <v>3.69</v>
      </c>
      <c r="T38" s="1430">
        <v>4.1399999999999997</v>
      </c>
      <c r="U38" s="1430">
        <v>1.8</v>
      </c>
      <c r="V38" s="1430">
        <v>2.25</v>
      </c>
      <c r="W38" s="1430">
        <v>2.52</v>
      </c>
      <c r="X38" s="1430">
        <v>1.44</v>
      </c>
      <c r="Y38" s="1430">
        <v>1.08</v>
      </c>
      <c r="Z38" s="1430">
        <v>1.62</v>
      </c>
    </row>
    <row r="39" spans="2:26">
      <c r="B39" s="1430"/>
      <c r="C39" s="1431">
        <v>39340</v>
      </c>
      <c r="D39" s="1430">
        <v>6.48</v>
      </c>
      <c r="E39" s="1430">
        <v>7.29</v>
      </c>
      <c r="F39" s="1430">
        <v>7.47</v>
      </c>
      <c r="G39" s="1430">
        <v>7.65</v>
      </c>
      <c r="H39" s="1430">
        <v>7.83</v>
      </c>
      <c r="I39" s="1430">
        <v>4.7699999999999996</v>
      </c>
      <c r="J39" s="1430">
        <v>5.22</v>
      </c>
      <c r="L39" s="1430"/>
      <c r="M39" s="1431">
        <v>38289</v>
      </c>
      <c r="N39" s="1430">
        <v>0.72</v>
      </c>
      <c r="O39" s="1430">
        <v>1.71</v>
      </c>
      <c r="P39" s="1430">
        <v>2.0699999999999998</v>
      </c>
      <c r="Q39" s="1430">
        <v>2.25</v>
      </c>
      <c r="R39" s="1430">
        <v>2.7</v>
      </c>
      <c r="S39" s="1430">
        <v>3.24</v>
      </c>
      <c r="T39" s="1430">
        <v>3.6</v>
      </c>
      <c r="U39" s="1430">
        <v>1.71</v>
      </c>
      <c r="V39" s="1430">
        <v>2.0699999999999998</v>
      </c>
      <c r="W39" s="1430">
        <v>2.25</v>
      </c>
      <c r="X39" s="1430">
        <v>1.44</v>
      </c>
      <c r="Y39" s="1430">
        <v>1.08</v>
      </c>
      <c r="Z39" s="1430">
        <v>1.62</v>
      </c>
    </row>
    <row r="40" spans="2:26">
      <c r="B40" s="1430"/>
      <c r="C40" s="1431">
        <v>39316</v>
      </c>
      <c r="D40" s="1430">
        <v>6.21</v>
      </c>
      <c r="E40" s="1430">
        <v>7.02</v>
      </c>
      <c r="F40" s="1430">
        <v>7.2</v>
      </c>
      <c r="G40" s="1430">
        <v>7.38</v>
      </c>
      <c r="H40" s="1430">
        <v>7.56</v>
      </c>
      <c r="I40" s="1430">
        <v>4.59</v>
      </c>
      <c r="J40" s="1430">
        <v>5.04</v>
      </c>
      <c r="L40" s="1430"/>
      <c r="M40" s="1431">
        <v>37308</v>
      </c>
      <c r="N40" s="1430">
        <v>0.72</v>
      </c>
      <c r="O40" s="1430">
        <v>1.71</v>
      </c>
      <c r="P40" s="1430">
        <v>1.89</v>
      </c>
      <c r="Q40" s="1430">
        <v>1.98</v>
      </c>
      <c r="R40" s="1430">
        <v>2.25</v>
      </c>
      <c r="S40" s="1430">
        <v>2.52</v>
      </c>
      <c r="T40" s="1430">
        <v>2.79</v>
      </c>
      <c r="U40" s="1430">
        <v>1.71</v>
      </c>
      <c r="V40" s="1430">
        <v>1.89</v>
      </c>
      <c r="W40" s="1430">
        <v>1.98</v>
      </c>
      <c r="X40" s="1430">
        <v>1.44</v>
      </c>
      <c r="Y40" s="1430">
        <v>1.08</v>
      </c>
      <c r="Z40" s="1430">
        <v>1.62</v>
      </c>
    </row>
    <row r="41" spans="2:26">
      <c r="B41" s="1430"/>
      <c r="C41" s="1431">
        <v>39284</v>
      </c>
      <c r="D41" s="1430">
        <v>6.03</v>
      </c>
      <c r="E41" s="1430">
        <v>6.84</v>
      </c>
      <c r="F41" s="1430">
        <v>7.02</v>
      </c>
      <c r="G41" s="1430">
        <v>7.2</v>
      </c>
      <c r="H41" s="1430">
        <v>7.38</v>
      </c>
      <c r="I41" s="1430">
        <v>4.5</v>
      </c>
      <c r="J41" s="1430">
        <v>4.95</v>
      </c>
      <c r="L41" s="1430"/>
      <c r="M41" s="1431">
        <v>36321</v>
      </c>
      <c r="N41" s="1430">
        <v>0.99</v>
      </c>
      <c r="O41" s="1430">
        <v>1.98</v>
      </c>
      <c r="P41" s="1430">
        <v>2.16</v>
      </c>
      <c r="Q41" s="1430">
        <v>2.25</v>
      </c>
      <c r="R41" s="1430">
        <v>2.4300000000000002</v>
      </c>
      <c r="S41" s="1430">
        <v>2.7</v>
      </c>
      <c r="T41" s="1430">
        <v>2.88</v>
      </c>
      <c r="U41" s="1430">
        <v>1.98</v>
      </c>
      <c r="V41" s="1430">
        <v>2.16</v>
      </c>
      <c r="W41" s="1430">
        <v>2.25</v>
      </c>
      <c r="X41" s="1430">
        <v>1.71</v>
      </c>
      <c r="Y41" s="1430">
        <v>1.35</v>
      </c>
      <c r="Z41" s="1430">
        <v>1.89</v>
      </c>
    </row>
    <row r="42" spans="2:26">
      <c r="B42" s="1430"/>
      <c r="C42" s="1431">
        <v>39221</v>
      </c>
      <c r="D42" s="1430">
        <v>5.85</v>
      </c>
      <c r="E42" s="1430">
        <v>6.57</v>
      </c>
      <c r="F42" s="1430">
        <v>6.75</v>
      </c>
      <c r="G42" s="1430">
        <v>6.93</v>
      </c>
      <c r="H42" s="1430">
        <v>7.2</v>
      </c>
      <c r="I42" s="1430">
        <v>4.41</v>
      </c>
      <c r="J42" s="1430">
        <v>4.8600000000000003</v>
      </c>
      <c r="L42" s="1430"/>
      <c r="M42" s="1431">
        <v>36136</v>
      </c>
      <c r="N42" s="1430">
        <v>1.44</v>
      </c>
      <c r="O42" s="1430">
        <v>2.79</v>
      </c>
      <c r="P42" s="1430">
        <v>3.33</v>
      </c>
      <c r="Q42" s="1430">
        <v>3.78</v>
      </c>
      <c r="R42" s="1430">
        <v>3.96</v>
      </c>
      <c r="S42" s="1430">
        <v>4.1399999999999997</v>
      </c>
      <c r="T42" s="1430">
        <v>4.5</v>
      </c>
      <c r="U42" s="1430">
        <v>3.33</v>
      </c>
      <c r="V42" s="1430">
        <v>3.78</v>
      </c>
      <c r="W42" s="1430">
        <v>4.1399999999999997</v>
      </c>
      <c r="X42" s="1430">
        <v>2.16</v>
      </c>
      <c r="Y42" s="1430">
        <v>1.8</v>
      </c>
      <c r="Z42" s="1430">
        <v>2.34</v>
      </c>
    </row>
    <row r="43" spans="2:26">
      <c r="B43" s="1430"/>
      <c r="C43" s="1431">
        <v>39159</v>
      </c>
      <c r="D43" s="1430">
        <v>5.67</v>
      </c>
      <c r="E43" s="1430">
        <v>6.39</v>
      </c>
      <c r="F43" s="1430">
        <v>6.57</v>
      </c>
      <c r="G43" s="1430">
        <v>6.75</v>
      </c>
      <c r="H43" s="1430">
        <v>7.11</v>
      </c>
      <c r="I43" s="1430">
        <v>4.32</v>
      </c>
      <c r="J43" s="1430">
        <v>4.7699999999999996</v>
      </c>
      <c r="L43" s="1430"/>
      <c r="M43" s="1431">
        <v>35977</v>
      </c>
      <c r="N43" s="1430">
        <v>1.44</v>
      </c>
      <c r="O43" s="1430">
        <v>2.79</v>
      </c>
      <c r="P43" s="1430">
        <v>3.96</v>
      </c>
      <c r="Q43" s="1430">
        <v>4.7699999999999996</v>
      </c>
      <c r="R43" s="1430">
        <v>4.8600000000000003</v>
      </c>
      <c r="S43" s="1430">
        <v>4.95</v>
      </c>
      <c r="T43" s="1430">
        <v>5.22</v>
      </c>
      <c r="U43" s="1430">
        <v>3.96</v>
      </c>
      <c r="V43" s="1430">
        <v>4.7699999999999996</v>
      </c>
      <c r="W43" s="1430">
        <v>4.95</v>
      </c>
      <c r="X43" s="1430" t="s">
        <v>1239</v>
      </c>
      <c r="Y43" s="1430" t="s">
        <v>1239</v>
      </c>
      <c r="Z43" s="1430" t="s">
        <v>1239</v>
      </c>
    </row>
    <row r="44" spans="2:26">
      <c r="B44" s="1430"/>
      <c r="C44" s="1431">
        <v>38948</v>
      </c>
      <c r="D44" s="1430">
        <v>5.58</v>
      </c>
      <c r="E44" s="1430">
        <v>6.12</v>
      </c>
      <c r="F44" s="1430">
        <v>6.3</v>
      </c>
      <c r="G44" s="1430">
        <v>6.48</v>
      </c>
      <c r="H44" s="1430">
        <v>6.84</v>
      </c>
      <c r="I44" s="1430">
        <v>4.1399999999999997</v>
      </c>
      <c r="J44" s="1430">
        <v>4.59</v>
      </c>
      <c r="L44" s="1430"/>
      <c r="M44" s="1431">
        <v>35879</v>
      </c>
      <c r="N44" s="1430">
        <v>1.71</v>
      </c>
      <c r="O44" s="1430">
        <v>2.88</v>
      </c>
      <c r="P44" s="1430">
        <v>4.1399999999999997</v>
      </c>
      <c r="Q44" s="1430">
        <v>5.22</v>
      </c>
      <c r="R44" s="1430">
        <v>5.58</v>
      </c>
      <c r="S44" s="1430">
        <v>6.21</v>
      </c>
      <c r="T44" s="1430">
        <v>6.66</v>
      </c>
      <c r="U44" s="1430">
        <v>4.1399999999999997</v>
      </c>
      <c r="V44" s="1430">
        <v>5.22</v>
      </c>
      <c r="W44" s="1430">
        <v>6.21</v>
      </c>
      <c r="X44" s="1430" t="s">
        <v>1239</v>
      </c>
      <c r="Y44" s="1430" t="s">
        <v>1239</v>
      </c>
      <c r="Z44" s="1430" t="s">
        <v>1239</v>
      </c>
    </row>
    <row r="45" spans="2:26">
      <c r="B45" s="1430"/>
      <c r="C45" s="1431">
        <v>38835</v>
      </c>
      <c r="D45" s="1430">
        <v>5.4</v>
      </c>
      <c r="E45" s="1430">
        <v>5.85</v>
      </c>
      <c r="F45" s="1430">
        <v>6.03</v>
      </c>
      <c r="G45" s="1430">
        <v>6.12</v>
      </c>
      <c r="H45" s="1430">
        <v>6.39</v>
      </c>
      <c r="I45" s="1430">
        <v>4.1399999999999997</v>
      </c>
      <c r="J45" s="1430">
        <v>4.59</v>
      </c>
      <c r="L45" s="1430"/>
      <c r="M45" s="1431">
        <v>35726</v>
      </c>
      <c r="N45" s="1430">
        <v>1.71</v>
      </c>
      <c r="O45" s="1430">
        <v>2.88</v>
      </c>
      <c r="P45" s="1430">
        <v>4.1399999999999997</v>
      </c>
      <c r="Q45" s="1430">
        <v>5.67</v>
      </c>
      <c r="R45" s="1430">
        <v>5.94</v>
      </c>
      <c r="S45" s="1430">
        <v>6.21</v>
      </c>
      <c r="T45" s="1430">
        <v>6.66</v>
      </c>
      <c r="U45" s="1430">
        <v>4.1399999999999997</v>
      </c>
      <c r="V45" s="1430">
        <v>5.67</v>
      </c>
      <c r="W45" s="1430">
        <v>6.21</v>
      </c>
      <c r="X45" s="1430" t="s">
        <v>1239</v>
      </c>
      <c r="Y45" s="1430" t="s">
        <v>1239</v>
      </c>
      <c r="Z45" s="1430" t="s">
        <v>1239</v>
      </c>
    </row>
    <row r="46" spans="2:26">
      <c r="B46" s="1430"/>
      <c r="C46" s="1431">
        <v>38428</v>
      </c>
      <c r="D46" s="1430">
        <v>5.22</v>
      </c>
      <c r="E46" s="1430">
        <v>5.58</v>
      </c>
      <c r="F46" s="1430">
        <v>5.76</v>
      </c>
      <c r="G46" s="1430">
        <v>5.85</v>
      </c>
      <c r="H46" s="1430">
        <v>6.12</v>
      </c>
      <c r="I46" s="1430">
        <v>3.96</v>
      </c>
      <c r="J46" s="1430">
        <v>4.41</v>
      </c>
      <c r="L46" s="1430"/>
      <c r="M46" s="1431">
        <v>35300</v>
      </c>
      <c r="N46" s="1430">
        <v>1.98</v>
      </c>
      <c r="O46" s="1430">
        <v>3.33</v>
      </c>
      <c r="P46" s="1430">
        <v>5.4</v>
      </c>
      <c r="Q46" s="1430">
        <v>7.47</v>
      </c>
      <c r="R46" s="1430">
        <v>7.92</v>
      </c>
      <c r="S46" s="1430">
        <v>8.2799999999999994</v>
      </c>
      <c r="T46" s="1430">
        <v>9</v>
      </c>
      <c r="U46" s="1430">
        <v>5.4</v>
      </c>
      <c r="V46" s="1430">
        <v>7.47</v>
      </c>
      <c r="W46" s="1430">
        <v>8.2799999999999994</v>
      </c>
      <c r="X46" s="1430" t="s">
        <v>1239</v>
      </c>
      <c r="Y46" s="1430" t="s">
        <v>1239</v>
      </c>
      <c r="Z46" s="1430" t="s">
        <v>1239</v>
      </c>
    </row>
    <row r="47" spans="2:26">
      <c r="B47" s="1430"/>
      <c r="C47" s="1431">
        <v>38289</v>
      </c>
      <c r="D47" s="1430">
        <v>5.22</v>
      </c>
      <c r="E47" s="1430">
        <v>5.58</v>
      </c>
      <c r="F47" s="1430">
        <v>5.76</v>
      </c>
      <c r="G47" s="1430">
        <v>5.85</v>
      </c>
      <c r="H47" s="1430">
        <v>6.12</v>
      </c>
      <c r="I47" s="1430">
        <v>3.78</v>
      </c>
      <c r="J47" s="1430">
        <v>4.2300000000000004</v>
      </c>
      <c r="L47" s="1430"/>
      <c r="M47" s="1431">
        <v>35186</v>
      </c>
      <c r="N47" s="1430">
        <v>2.97</v>
      </c>
      <c r="O47" s="1430">
        <v>4.8600000000000003</v>
      </c>
      <c r="P47" s="1430">
        <v>7.2</v>
      </c>
      <c r="Q47" s="1430">
        <v>9.18</v>
      </c>
      <c r="R47" s="1430">
        <v>9.9</v>
      </c>
      <c r="S47" s="1430">
        <v>10.8</v>
      </c>
      <c r="T47" s="1430">
        <v>12.06</v>
      </c>
      <c r="U47" s="1430">
        <v>7.2</v>
      </c>
      <c r="V47" s="1430">
        <v>9.18</v>
      </c>
      <c r="W47" s="1430">
        <v>10.8</v>
      </c>
      <c r="X47" s="1430" t="s">
        <v>1239</v>
      </c>
      <c r="Y47" s="1430" t="s">
        <v>1239</v>
      </c>
      <c r="Z47" s="1430" t="s">
        <v>1239</v>
      </c>
    </row>
    <row r="48" spans="2:26">
      <c r="B48" s="1430"/>
      <c r="C48" s="1431">
        <v>37308</v>
      </c>
      <c r="D48" s="1430">
        <v>5.04</v>
      </c>
      <c r="E48" s="1430">
        <v>5.31</v>
      </c>
      <c r="F48" s="1430">
        <v>5.49</v>
      </c>
      <c r="G48" s="1430">
        <v>5.58</v>
      </c>
      <c r="H48" s="1430">
        <v>5.76</v>
      </c>
      <c r="I48" s="1430">
        <v>3.6</v>
      </c>
      <c r="J48" s="1430">
        <v>4.05</v>
      </c>
      <c r="L48" s="1430"/>
      <c r="M48" s="1431">
        <v>34161</v>
      </c>
      <c r="N48" s="1430">
        <v>3.15</v>
      </c>
      <c r="O48" s="1430">
        <v>6.66</v>
      </c>
      <c r="P48" s="1430">
        <v>9</v>
      </c>
      <c r="Q48" s="1430">
        <v>10.98</v>
      </c>
      <c r="R48" s="1430">
        <v>11.7</v>
      </c>
      <c r="S48" s="1430">
        <v>12.24</v>
      </c>
      <c r="T48" s="1430">
        <v>13.86</v>
      </c>
      <c r="U48" s="1430">
        <v>9</v>
      </c>
      <c r="V48" s="1430">
        <v>10.98</v>
      </c>
      <c r="W48" s="1430">
        <v>12.24</v>
      </c>
      <c r="X48" s="1430" t="s">
        <v>1239</v>
      </c>
      <c r="Y48" s="1430" t="s">
        <v>1239</v>
      </c>
      <c r="Z48" s="1430" t="s">
        <v>1239</v>
      </c>
    </row>
    <row r="49" spans="2:26">
      <c r="B49" s="1430"/>
      <c r="C49" s="1431">
        <v>36321</v>
      </c>
      <c r="D49" s="1430">
        <v>5.58</v>
      </c>
      <c r="E49" s="1430">
        <v>5.85</v>
      </c>
      <c r="F49" s="1430">
        <v>5.94</v>
      </c>
      <c r="G49" s="1430">
        <v>6.03</v>
      </c>
      <c r="H49" s="1430">
        <v>6.21</v>
      </c>
      <c r="I49" s="1430">
        <v>4.1399999999999997</v>
      </c>
      <c r="J49" s="1430">
        <v>4.59</v>
      </c>
      <c r="L49" s="1430"/>
      <c r="M49" s="1431">
        <v>34104</v>
      </c>
      <c r="N49" s="1430">
        <v>2.16</v>
      </c>
      <c r="O49" s="1430">
        <v>4.8600000000000003</v>
      </c>
      <c r="P49" s="1430">
        <v>7.2</v>
      </c>
      <c r="Q49" s="1430">
        <v>9.18</v>
      </c>
      <c r="R49" s="1430">
        <v>9.9</v>
      </c>
      <c r="S49" s="1430">
        <v>10.8</v>
      </c>
      <c r="T49" s="1430">
        <v>12.06</v>
      </c>
      <c r="U49" s="1430">
        <v>7.2</v>
      </c>
      <c r="V49" s="1430">
        <v>9.18</v>
      </c>
      <c r="W49" s="1430">
        <v>10.8</v>
      </c>
      <c r="X49" s="1430" t="s">
        <v>1239</v>
      </c>
      <c r="Y49" s="1430" t="s">
        <v>1239</v>
      </c>
      <c r="Z49" s="1430" t="s">
        <v>1239</v>
      </c>
    </row>
    <row r="50" spans="2:26">
      <c r="B50" s="1430"/>
      <c r="C50" s="1431">
        <v>36136</v>
      </c>
      <c r="D50" s="1430">
        <v>6.12</v>
      </c>
      <c r="E50" s="1430">
        <v>6.39</v>
      </c>
      <c r="F50" s="1430">
        <v>6.66</v>
      </c>
      <c r="G50" s="1430">
        <v>7.2</v>
      </c>
      <c r="H50" s="1430">
        <v>7.56</v>
      </c>
      <c r="I50" s="1430">
        <v>0</v>
      </c>
      <c r="J50" s="1430">
        <v>0</v>
      </c>
      <c r="L50" s="1430"/>
      <c r="M50" s="1431">
        <v>33349</v>
      </c>
      <c r="N50" s="1430">
        <v>1.8</v>
      </c>
      <c r="O50" s="1430">
        <v>3.24</v>
      </c>
      <c r="P50" s="1430">
        <v>5.4</v>
      </c>
      <c r="Q50" s="1430">
        <v>7.56</v>
      </c>
      <c r="R50" s="1430">
        <v>7.92</v>
      </c>
      <c r="S50" s="1430">
        <v>8.2799999999999994</v>
      </c>
      <c r="T50" s="1430">
        <v>9</v>
      </c>
      <c r="U50" s="1430">
        <v>6.12</v>
      </c>
      <c r="V50" s="1430">
        <v>6.84</v>
      </c>
      <c r="W50" s="1430">
        <v>7.56</v>
      </c>
      <c r="X50" s="1430" t="s">
        <v>1239</v>
      </c>
      <c r="Y50" s="1430" t="s">
        <v>1239</v>
      </c>
      <c r="Z50" s="1430" t="s">
        <v>1239</v>
      </c>
    </row>
    <row r="51" spans="2:26">
      <c r="B51" s="1430"/>
      <c r="C51" s="1431">
        <v>35977</v>
      </c>
      <c r="D51" s="1430">
        <v>6.57</v>
      </c>
      <c r="E51" s="1430">
        <v>6.93</v>
      </c>
      <c r="F51" s="1430">
        <v>7.11</v>
      </c>
      <c r="G51" s="1430">
        <v>7.65</v>
      </c>
      <c r="H51" s="1430">
        <v>8.01</v>
      </c>
      <c r="I51" s="1430">
        <v>0</v>
      </c>
      <c r="J51" s="1430">
        <v>0</v>
      </c>
      <c r="L51" s="1430"/>
      <c r="M51" s="1431">
        <v>33106</v>
      </c>
      <c r="N51" s="1430">
        <v>2.16</v>
      </c>
      <c r="O51" s="1430">
        <v>4.32</v>
      </c>
      <c r="P51" s="1430">
        <v>6.48</v>
      </c>
      <c r="Q51" s="1430">
        <v>8.64</v>
      </c>
      <c r="R51" s="1430">
        <v>9.36</v>
      </c>
      <c r="S51" s="1430">
        <v>10.08</v>
      </c>
      <c r="T51" s="1430">
        <v>11.52</v>
      </c>
      <c r="U51" s="1430">
        <v>7.2</v>
      </c>
      <c r="V51" s="1430">
        <v>8.64</v>
      </c>
      <c r="W51" s="1430">
        <v>10.08</v>
      </c>
      <c r="X51" s="1430" t="s">
        <v>1239</v>
      </c>
      <c r="Y51" s="1430" t="s">
        <v>1239</v>
      </c>
      <c r="Z51" s="1430" t="s">
        <v>1239</v>
      </c>
    </row>
    <row r="52" spans="2:26">
      <c r="B52" s="1430"/>
      <c r="C52" s="1431">
        <v>35879</v>
      </c>
      <c r="D52" s="1430">
        <v>7.02</v>
      </c>
      <c r="E52" s="1430">
        <v>7.92</v>
      </c>
      <c r="F52" s="1430">
        <v>9</v>
      </c>
      <c r="G52" s="1430">
        <v>9.7200000000000006</v>
      </c>
      <c r="H52" s="1430">
        <v>10.35</v>
      </c>
      <c r="I52" s="1430">
        <v>0</v>
      </c>
      <c r="J52" s="1430">
        <v>0</v>
      </c>
      <c r="L52" s="1430"/>
      <c r="M52" s="1431">
        <v>32978</v>
      </c>
      <c r="N52" s="1430">
        <v>2.88</v>
      </c>
      <c r="O52" s="1430">
        <v>6.3</v>
      </c>
      <c r="P52" s="1430">
        <v>7.74</v>
      </c>
      <c r="Q52" s="1430">
        <v>10.08</v>
      </c>
      <c r="R52" s="1430">
        <v>10.98</v>
      </c>
      <c r="S52" s="1430">
        <v>11.88</v>
      </c>
      <c r="T52" s="1430">
        <v>13.68</v>
      </c>
      <c r="U52" s="1430" t="s">
        <v>1239</v>
      </c>
      <c r="V52" s="1430" t="s">
        <v>1239</v>
      </c>
      <c r="W52" s="1430" t="s">
        <v>1239</v>
      </c>
      <c r="X52" s="1430" t="s">
        <v>1239</v>
      </c>
      <c r="Y52" s="1430" t="s">
        <v>1239</v>
      </c>
      <c r="Z52" s="1430" t="s">
        <v>1239</v>
      </c>
    </row>
    <row r="53" spans="2:26">
      <c r="B53" s="1430"/>
      <c r="C53" s="1431">
        <v>35726</v>
      </c>
      <c r="D53" s="1430">
        <v>7.65</v>
      </c>
      <c r="E53" s="1430">
        <v>8.64</v>
      </c>
      <c r="F53" s="1430">
        <v>9.36</v>
      </c>
      <c r="G53" s="1430">
        <v>9.9</v>
      </c>
      <c r="H53" s="1430">
        <v>10.53</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35300</v>
      </c>
      <c r="D54" s="1430">
        <v>9.18</v>
      </c>
      <c r="E54" s="1430">
        <v>10.08</v>
      </c>
      <c r="F54" s="1430">
        <v>10.98</v>
      </c>
      <c r="G54" s="1430">
        <v>11.7</v>
      </c>
      <c r="H54" s="1430">
        <v>12.42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35186</v>
      </c>
      <c r="D55" s="1430">
        <v>9.7200000000000006</v>
      </c>
      <c r="E55" s="1430">
        <v>10.98</v>
      </c>
      <c r="F55" s="1430">
        <v>13.14</v>
      </c>
      <c r="G55" s="1430">
        <v>14.94</v>
      </c>
      <c r="H55" s="1430">
        <v>15.12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34881</v>
      </c>
      <c r="D56" s="1430">
        <v>10.08</v>
      </c>
      <c r="E56" s="1430">
        <v>12.06</v>
      </c>
      <c r="F56" s="1430">
        <v>13.5</v>
      </c>
      <c r="G56" s="1430">
        <v>15.12</v>
      </c>
      <c r="H56" s="1430">
        <v>15.3</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34700</v>
      </c>
      <c r="D57" s="1430">
        <v>9</v>
      </c>
      <c r="E57" s="1430">
        <v>10.98</v>
      </c>
      <c r="F57" s="1430">
        <v>12.96</v>
      </c>
      <c r="G57" s="1430">
        <v>14.58</v>
      </c>
      <c r="H57" s="1430">
        <v>14.76</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34161</v>
      </c>
      <c r="D58" s="1430">
        <v>9</v>
      </c>
      <c r="E58" s="1430">
        <v>10.98</v>
      </c>
      <c r="F58" s="1430">
        <v>12.24</v>
      </c>
      <c r="G58" s="1430">
        <v>13.86</v>
      </c>
      <c r="H58" s="1430">
        <v>14.04</v>
      </c>
      <c r="I58" s="1430">
        <v>0</v>
      </c>
      <c r="J58" s="1430">
        <v>0</v>
      </c>
      <c r="L58" s="1430"/>
      <c r="M58" s="1431"/>
      <c r="N58" s="1430"/>
      <c r="O58" s="1430"/>
      <c r="P58" s="1430"/>
      <c r="Q58" s="1430"/>
      <c r="R58" s="1430"/>
      <c r="S58" s="1430"/>
      <c r="T58" s="1430"/>
      <c r="U58" s="1430"/>
      <c r="V58" s="1430"/>
      <c r="W58" s="1430"/>
      <c r="X58" s="1430"/>
      <c r="Y58" s="1430"/>
      <c r="Z58" s="1430"/>
    </row>
    <row r="59" spans="2:26">
      <c r="B59" s="1430"/>
      <c r="C59" s="1431">
        <v>34104</v>
      </c>
      <c r="D59" s="1430">
        <v>8.82</v>
      </c>
      <c r="E59" s="1430">
        <v>9.36</v>
      </c>
      <c r="F59" s="1430">
        <v>10.8</v>
      </c>
      <c r="G59" s="1430">
        <v>12.06</v>
      </c>
      <c r="H59" s="1430">
        <v>12.24</v>
      </c>
      <c r="I59" s="1430">
        <v>0</v>
      </c>
      <c r="J59" s="1430">
        <v>0</v>
      </c>
    </row>
    <row r="60" spans="2:26">
      <c r="B60" s="1430"/>
      <c r="C60" s="1431">
        <v>33349</v>
      </c>
      <c r="D60" s="1430">
        <v>8.1</v>
      </c>
      <c r="E60" s="1430">
        <v>8.64</v>
      </c>
      <c r="F60" s="1430">
        <v>9</v>
      </c>
      <c r="G60" s="1430">
        <v>9.5399999999999991</v>
      </c>
      <c r="H60" s="1430">
        <v>9.7200000000000006</v>
      </c>
      <c r="I60" s="1430">
        <v>0</v>
      </c>
      <c r="J60" s="1430">
        <v>0</v>
      </c>
    </row>
    <row r="61" spans="2:26">
      <c r="B61" s="1430"/>
      <c r="C61" s="1431">
        <v>33318</v>
      </c>
      <c r="D61" s="1430">
        <v>9</v>
      </c>
      <c r="E61" s="1430">
        <v>10.08</v>
      </c>
      <c r="F61" s="1430">
        <v>10.8</v>
      </c>
      <c r="G61" s="1430">
        <v>11.52</v>
      </c>
      <c r="H61" s="1430">
        <v>11.88</v>
      </c>
      <c r="I61" s="1430" t="s">
        <v>1239</v>
      </c>
      <c r="J61" s="1430" t="s">
        <v>1239</v>
      </c>
    </row>
    <row r="62" spans="2:26">
      <c r="B62" s="1430"/>
      <c r="C62" s="1431">
        <v>33106</v>
      </c>
      <c r="D62" s="1430">
        <v>8.64</v>
      </c>
      <c r="E62" s="1430">
        <v>9.36</v>
      </c>
      <c r="F62" s="1430">
        <v>10.08</v>
      </c>
      <c r="G62" s="1430">
        <v>10.8</v>
      </c>
      <c r="H62" s="1430">
        <v>11.16</v>
      </c>
      <c r="I62" s="1430">
        <v>0</v>
      </c>
      <c r="J62" s="1430">
        <v>0</v>
      </c>
    </row>
    <row r="63" spans="2:26">
      <c r="B63" s="1430"/>
      <c r="C63" s="1431">
        <v>32540</v>
      </c>
      <c r="D63" s="1430">
        <v>11.34</v>
      </c>
      <c r="E63" s="1430">
        <v>11.34</v>
      </c>
      <c r="F63" s="1430">
        <v>12.78</v>
      </c>
      <c r="G63" s="1430">
        <v>14.4</v>
      </c>
      <c r="H63" s="1430">
        <v>19.260000000000002</v>
      </c>
      <c r="I63" s="1430">
        <v>0</v>
      </c>
      <c r="J63" s="1430">
        <v>0</v>
      </c>
    </row>
    <row r="64" spans="2:26">
      <c r="B64" s="1430"/>
      <c r="C64" s="1431"/>
      <c r="D64" s="1430"/>
      <c r="E64" s="1430"/>
      <c r="F64" s="1430"/>
      <c r="G64" s="1430"/>
      <c r="H64" s="1430"/>
      <c r="I64" s="1430"/>
      <c r="J64" s="1430"/>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382"/>
      <c r="C68" s="1382"/>
      <c r="D68" s="1382"/>
      <c r="E68" s="1382"/>
      <c r="F68" s="1382"/>
      <c r="G68" s="1382"/>
      <c r="H68" s="1382"/>
      <c r="I68" s="1382"/>
      <c r="J68" s="1382"/>
    </row>
    <row r="69" spans="2:10">
      <c r="B69" s="1382"/>
      <c r="C69" s="1382"/>
      <c r="D69" s="1382"/>
      <c r="E69" s="1382"/>
      <c r="F69" s="1382"/>
      <c r="G69" s="1382"/>
      <c r="H69" s="1382"/>
      <c r="I69" s="1382"/>
      <c r="J69" s="1382"/>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2"/>
  <sheetViews>
    <sheetView topLeftCell="B1" workbookViewId="0">
      <selection activeCell="E16" sqref="E16"/>
    </sheetView>
  </sheetViews>
  <sheetFormatPr defaultRowHeight="13.5"/>
  <cols>
    <col min="2" max="2" width="13.25" customWidth="1"/>
    <col min="3" max="3" width="11.875" customWidth="1"/>
    <col min="4" max="4" width="12.25" customWidth="1"/>
    <col min="5" max="5" width="16" customWidth="1"/>
    <col min="6" max="6" width="14" customWidth="1"/>
    <col min="7" max="8" width="11.625" bestFit="1" customWidth="1"/>
  </cols>
  <sheetData>
    <row r="1" spans="1:8" ht="25.5">
      <c r="A1" s="3602" t="s">
        <v>3130</v>
      </c>
      <c r="B1" s="3602"/>
      <c r="C1" s="3602"/>
      <c r="D1" s="3602"/>
      <c r="E1" s="3602"/>
      <c r="F1" s="3602"/>
    </row>
    <row r="2" spans="1:8" ht="26.25" thickBot="1">
      <c r="A2" s="3223"/>
      <c r="B2" s="3223"/>
      <c r="C2" s="3223"/>
      <c r="D2" s="3223"/>
      <c r="E2" s="3223"/>
      <c r="F2" s="3224" t="s">
        <v>3131</v>
      </c>
    </row>
    <row r="3" spans="1:8" ht="28.5">
      <c r="A3" s="3225" t="s">
        <v>3132</v>
      </c>
      <c r="B3" s="3226" t="s">
        <v>3133</v>
      </c>
      <c r="C3" s="3226" t="s">
        <v>3134</v>
      </c>
      <c r="D3" s="3226" t="s">
        <v>3135</v>
      </c>
      <c r="E3" s="3226" t="s">
        <v>3136</v>
      </c>
      <c r="F3" s="3227" t="s">
        <v>3137</v>
      </c>
    </row>
    <row r="4" spans="1:8">
      <c r="A4" s="3228">
        <v>1</v>
      </c>
      <c r="B4" s="3229" t="s">
        <v>3138</v>
      </c>
      <c r="C4" s="3229" t="s">
        <v>3139</v>
      </c>
      <c r="D4" s="3229" t="s">
        <v>3140</v>
      </c>
      <c r="E4" s="3257" t="s">
        <v>4146</v>
      </c>
      <c r="F4" s="3257">
        <v>33.93</v>
      </c>
      <c r="G4" s="3245">
        <f t="shared" ref="G4:G67" si="0">ROUND(F4/$C$909*$D$909,2)</f>
        <v>8.27</v>
      </c>
      <c r="H4" s="3260"/>
    </row>
    <row r="5" spans="1:8">
      <c r="A5" s="3228">
        <v>2</v>
      </c>
      <c r="B5" s="3229" t="s">
        <v>3141</v>
      </c>
      <c r="C5" s="3229" t="s">
        <v>3142</v>
      </c>
      <c r="D5" s="3229" t="s">
        <v>3143</v>
      </c>
      <c r="E5" s="3257" t="s">
        <v>4147</v>
      </c>
      <c r="F5" s="3257">
        <v>33.93</v>
      </c>
      <c r="G5" s="3245">
        <f t="shared" si="0"/>
        <v>8.27</v>
      </c>
      <c r="H5" s="3258"/>
    </row>
    <row r="6" spans="1:8">
      <c r="A6" s="3228">
        <v>3</v>
      </c>
      <c r="B6" s="3229" t="s">
        <v>3141</v>
      </c>
      <c r="C6" s="3229" t="s">
        <v>3142</v>
      </c>
      <c r="D6" s="3229" t="s">
        <v>3143</v>
      </c>
      <c r="E6" s="3257" t="s">
        <v>4148</v>
      </c>
      <c r="F6" s="3257">
        <v>33.93</v>
      </c>
      <c r="G6" s="3245">
        <f t="shared" si="0"/>
        <v>8.27</v>
      </c>
      <c r="H6" s="3258"/>
    </row>
    <row r="7" spans="1:8">
      <c r="A7" s="3228">
        <v>4</v>
      </c>
      <c r="B7" s="3229" t="s">
        <v>3141</v>
      </c>
      <c r="C7" s="3229" t="s">
        <v>3142</v>
      </c>
      <c r="D7" s="3229" t="s">
        <v>3143</v>
      </c>
      <c r="E7" s="3257" t="s">
        <v>4149</v>
      </c>
      <c r="F7" s="3257">
        <v>33.93</v>
      </c>
      <c r="G7" s="3245">
        <f t="shared" si="0"/>
        <v>8.27</v>
      </c>
      <c r="H7" s="3258"/>
    </row>
    <row r="8" spans="1:8">
      <c r="A8" s="3228">
        <v>5</v>
      </c>
      <c r="B8" s="3229" t="s">
        <v>3141</v>
      </c>
      <c r="C8" s="3229" t="s">
        <v>3142</v>
      </c>
      <c r="D8" s="3229" t="s">
        <v>3143</v>
      </c>
      <c r="E8" s="3257" t="s">
        <v>4150</v>
      </c>
      <c r="F8" s="3257">
        <v>33.93</v>
      </c>
      <c r="G8" s="3245">
        <f t="shared" si="0"/>
        <v>8.27</v>
      </c>
      <c r="H8" s="3258"/>
    </row>
    <row r="9" spans="1:8">
      <c r="A9" s="3228">
        <v>6</v>
      </c>
      <c r="B9" s="3229" t="s">
        <v>3141</v>
      </c>
      <c r="C9" s="3229" t="s">
        <v>3142</v>
      </c>
      <c r="D9" s="3229" t="s">
        <v>3143</v>
      </c>
      <c r="E9" s="3257" t="s">
        <v>4151</v>
      </c>
      <c r="F9" s="3257">
        <v>33.93</v>
      </c>
      <c r="G9" s="3245">
        <f t="shared" si="0"/>
        <v>8.27</v>
      </c>
      <c r="H9" s="3258"/>
    </row>
    <row r="10" spans="1:8">
      <c r="A10" s="3228">
        <v>7</v>
      </c>
      <c r="B10" s="3229" t="s">
        <v>3141</v>
      </c>
      <c r="C10" s="3229" t="s">
        <v>3142</v>
      </c>
      <c r="D10" s="3229" t="s">
        <v>3143</v>
      </c>
      <c r="E10" s="3257" t="s">
        <v>4152</v>
      </c>
      <c r="F10" s="3257">
        <v>33.93</v>
      </c>
      <c r="G10" s="3245">
        <f t="shared" si="0"/>
        <v>8.27</v>
      </c>
      <c r="H10" s="3258"/>
    </row>
    <row r="11" spans="1:8">
      <c r="A11" s="3228">
        <v>8</v>
      </c>
      <c r="B11" s="3229" t="s">
        <v>3141</v>
      </c>
      <c r="C11" s="3229" t="s">
        <v>3142</v>
      </c>
      <c r="D11" s="3229" t="s">
        <v>3143</v>
      </c>
      <c r="E11" s="3257" t="s">
        <v>4153</v>
      </c>
      <c r="F11" s="3257">
        <v>33.93</v>
      </c>
      <c r="G11" s="3245">
        <f t="shared" si="0"/>
        <v>8.27</v>
      </c>
      <c r="H11" s="3258"/>
    </row>
    <row r="12" spans="1:8">
      <c r="A12" s="3228">
        <v>9</v>
      </c>
      <c r="B12" s="3229" t="s">
        <v>3141</v>
      </c>
      <c r="C12" s="3229" t="s">
        <v>3142</v>
      </c>
      <c r="D12" s="3229" t="s">
        <v>3143</v>
      </c>
      <c r="E12" s="3257" t="s">
        <v>4154</v>
      </c>
      <c r="F12" s="3257">
        <v>33.93</v>
      </c>
      <c r="G12" s="3245">
        <f t="shared" si="0"/>
        <v>8.27</v>
      </c>
      <c r="H12" s="3258"/>
    </row>
    <row r="13" spans="1:8">
      <c r="A13" s="3228">
        <v>10</v>
      </c>
      <c r="B13" s="3229" t="s">
        <v>3141</v>
      </c>
      <c r="C13" s="3229" t="s">
        <v>3142</v>
      </c>
      <c r="D13" s="3229" t="s">
        <v>3143</v>
      </c>
      <c r="E13" s="3257" t="s">
        <v>4155</v>
      </c>
      <c r="F13" s="3257">
        <v>33.93</v>
      </c>
      <c r="G13" s="3245">
        <f t="shared" si="0"/>
        <v>8.27</v>
      </c>
      <c r="H13" s="3258"/>
    </row>
    <row r="14" spans="1:8">
      <c r="A14" s="3228">
        <v>11</v>
      </c>
      <c r="B14" s="3229" t="s">
        <v>3141</v>
      </c>
      <c r="C14" s="3229" t="s">
        <v>3142</v>
      </c>
      <c r="D14" s="3229" t="s">
        <v>3143</v>
      </c>
      <c r="E14" s="3257" t="s">
        <v>4156</v>
      </c>
      <c r="F14" s="3257">
        <v>33.93</v>
      </c>
      <c r="G14" s="3245">
        <f t="shared" si="0"/>
        <v>8.27</v>
      </c>
      <c r="H14" s="3258"/>
    </row>
    <row r="15" spans="1:8">
      <c r="A15" s="3228">
        <v>12</v>
      </c>
      <c r="B15" s="3229" t="s">
        <v>3141</v>
      </c>
      <c r="C15" s="3229" t="s">
        <v>3142</v>
      </c>
      <c r="D15" s="3229" t="s">
        <v>3143</v>
      </c>
      <c r="E15" s="3257" t="s">
        <v>4157</v>
      </c>
      <c r="F15" s="3257">
        <v>33.93</v>
      </c>
      <c r="G15" s="3245">
        <f t="shared" si="0"/>
        <v>8.27</v>
      </c>
      <c r="H15" s="3258"/>
    </row>
    <row r="16" spans="1:8">
      <c r="A16" s="3228">
        <v>13</v>
      </c>
      <c r="B16" s="3229" t="s">
        <v>3141</v>
      </c>
      <c r="C16" s="3229" t="s">
        <v>3142</v>
      </c>
      <c r="D16" s="3229" t="s">
        <v>3143</v>
      </c>
      <c r="E16" s="3257" t="s">
        <v>4158</v>
      </c>
      <c r="F16" s="3257">
        <v>33.93</v>
      </c>
      <c r="G16" s="3245">
        <f t="shared" si="0"/>
        <v>8.27</v>
      </c>
      <c r="H16" s="3258"/>
    </row>
    <row r="17" spans="1:8">
      <c r="A17" s="3228">
        <v>14</v>
      </c>
      <c r="B17" s="3229" t="s">
        <v>3141</v>
      </c>
      <c r="C17" s="3229" t="s">
        <v>3142</v>
      </c>
      <c r="D17" s="3229" t="s">
        <v>3143</v>
      </c>
      <c r="E17" s="3257" t="s">
        <v>4159</v>
      </c>
      <c r="F17" s="3257">
        <v>33.93</v>
      </c>
      <c r="G17" s="3245">
        <f t="shared" si="0"/>
        <v>8.27</v>
      </c>
      <c r="H17" s="3258"/>
    </row>
    <row r="18" spans="1:8">
      <c r="A18" s="3228">
        <v>15</v>
      </c>
      <c r="B18" s="3229" t="s">
        <v>3141</v>
      </c>
      <c r="C18" s="3229" t="s">
        <v>3142</v>
      </c>
      <c r="D18" s="3229" t="s">
        <v>3143</v>
      </c>
      <c r="E18" s="3257" t="s">
        <v>4160</v>
      </c>
      <c r="F18" s="3257">
        <v>32.58</v>
      </c>
      <c r="G18" s="3245">
        <f t="shared" si="0"/>
        <v>7.94</v>
      </c>
      <c r="H18" s="3258"/>
    </row>
    <row r="19" spans="1:8">
      <c r="A19" s="3228">
        <v>16</v>
      </c>
      <c r="B19" s="3229" t="s">
        <v>3141</v>
      </c>
      <c r="C19" s="3229" t="s">
        <v>3142</v>
      </c>
      <c r="D19" s="3229" t="s">
        <v>3143</v>
      </c>
      <c r="E19" s="3257" t="s">
        <v>4161</v>
      </c>
      <c r="F19" s="3257">
        <v>33.93</v>
      </c>
      <c r="G19" s="3245">
        <f t="shared" si="0"/>
        <v>8.27</v>
      </c>
      <c r="H19" s="3258"/>
    </row>
    <row r="20" spans="1:8">
      <c r="A20" s="3228">
        <v>17</v>
      </c>
      <c r="B20" s="3229" t="s">
        <v>3141</v>
      </c>
      <c r="C20" s="3229" t="s">
        <v>3142</v>
      </c>
      <c r="D20" s="3229" t="s">
        <v>3143</v>
      </c>
      <c r="E20" s="3257" t="s">
        <v>4162</v>
      </c>
      <c r="F20" s="3257">
        <v>33.93</v>
      </c>
      <c r="G20" s="3245">
        <f t="shared" si="0"/>
        <v>8.27</v>
      </c>
      <c r="H20" s="3258"/>
    </row>
    <row r="21" spans="1:8">
      <c r="A21" s="3228">
        <v>18</v>
      </c>
      <c r="B21" s="3229" t="s">
        <v>3141</v>
      </c>
      <c r="C21" s="3229" t="s">
        <v>3142</v>
      </c>
      <c r="D21" s="3229" t="s">
        <v>3143</v>
      </c>
      <c r="E21" s="3257" t="s">
        <v>4163</v>
      </c>
      <c r="F21" s="3257">
        <v>33.93</v>
      </c>
      <c r="G21" s="3245">
        <f t="shared" si="0"/>
        <v>8.27</v>
      </c>
      <c r="H21" s="3258"/>
    </row>
    <row r="22" spans="1:8">
      <c r="A22" s="3228">
        <v>19</v>
      </c>
      <c r="B22" s="3229" t="s">
        <v>3141</v>
      </c>
      <c r="C22" s="3229" t="s">
        <v>3142</v>
      </c>
      <c r="D22" s="3229" t="s">
        <v>3143</v>
      </c>
      <c r="E22" s="3257" t="s">
        <v>4164</v>
      </c>
      <c r="F22" s="3257">
        <v>33.93</v>
      </c>
      <c r="G22" s="3245">
        <f t="shared" si="0"/>
        <v>8.27</v>
      </c>
      <c r="H22" s="3258"/>
    </row>
    <row r="23" spans="1:8">
      <c r="A23" s="3228">
        <v>20</v>
      </c>
      <c r="B23" s="3229" t="s">
        <v>3141</v>
      </c>
      <c r="C23" s="3229" t="s">
        <v>3142</v>
      </c>
      <c r="D23" s="3229" t="s">
        <v>3143</v>
      </c>
      <c r="E23" s="3257" t="s">
        <v>4165</v>
      </c>
      <c r="F23" s="3257">
        <v>33.93</v>
      </c>
      <c r="G23" s="3245">
        <f t="shared" si="0"/>
        <v>8.27</v>
      </c>
      <c r="H23" s="3258"/>
    </row>
    <row r="24" spans="1:8">
      <c r="A24" s="3228">
        <v>21</v>
      </c>
      <c r="B24" s="3229" t="s">
        <v>3141</v>
      </c>
      <c r="C24" s="3229" t="s">
        <v>3142</v>
      </c>
      <c r="D24" s="3229" t="s">
        <v>3143</v>
      </c>
      <c r="E24" s="3257" t="s">
        <v>4166</v>
      </c>
      <c r="F24" s="3257">
        <v>32.58</v>
      </c>
      <c r="G24" s="3245">
        <f t="shared" si="0"/>
        <v>7.94</v>
      </c>
      <c r="H24" s="3258"/>
    </row>
    <row r="25" spans="1:8">
      <c r="A25" s="3228">
        <v>22</v>
      </c>
      <c r="B25" s="3229" t="s">
        <v>3141</v>
      </c>
      <c r="C25" s="3229" t="s">
        <v>3142</v>
      </c>
      <c r="D25" s="3229" t="s">
        <v>3143</v>
      </c>
      <c r="E25" s="3257" t="s">
        <v>4167</v>
      </c>
      <c r="F25" s="3257">
        <v>33.93</v>
      </c>
      <c r="G25" s="3245">
        <f t="shared" si="0"/>
        <v>8.27</v>
      </c>
      <c r="H25" s="3258"/>
    </row>
    <row r="26" spans="1:8">
      <c r="A26" s="3228">
        <v>23</v>
      </c>
      <c r="B26" s="3229" t="s">
        <v>3141</v>
      </c>
      <c r="C26" s="3229" t="s">
        <v>3142</v>
      </c>
      <c r="D26" s="3229" t="s">
        <v>3143</v>
      </c>
      <c r="E26" s="3257" t="s">
        <v>4168</v>
      </c>
      <c r="F26" s="3257">
        <v>33.93</v>
      </c>
      <c r="G26" s="3245">
        <f t="shared" si="0"/>
        <v>8.27</v>
      </c>
      <c r="H26" s="3258"/>
    </row>
    <row r="27" spans="1:8">
      <c r="A27" s="3228">
        <v>24</v>
      </c>
      <c r="B27" s="3229" t="s">
        <v>3141</v>
      </c>
      <c r="C27" s="3229" t="s">
        <v>3142</v>
      </c>
      <c r="D27" s="3229" t="s">
        <v>3143</v>
      </c>
      <c r="E27" s="3257" t="s">
        <v>4169</v>
      </c>
      <c r="F27" s="3257">
        <v>33.93</v>
      </c>
      <c r="G27" s="3245">
        <f t="shared" si="0"/>
        <v>8.27</v>
      </c>
      <c r="H27" s="3258"/>
    </row>
    <row r="28" spans="1:8">
      <c r="A28" s="3228">
        <v>25</v>
      </c>
      <c r="B28" s="3229" t="s">
        <v>3141</v>
      </c>
      <c r="C28" s="3229" t="s">
        <v>3142</v>
      </c>
      <c r="D28" s="3229" t="s">
        <v>3143</v>
      </c>
      <c r="E28" s="3257" t="s">
        <v>4170</v>
      </c>
      <c r="F28" s="3257">
        <v>32.58</v>
      </c>
      <c r="G28" s="3245">
        <f t="shared" si="0"/>
        <v>7.94</v>
      </c>
      <c r="H28" s="3258"/>
    </row>
    <row r="29" spans="1:8">
      <c r="A29" s="3228">
        <v>26</v>
      </c>
      <c r="B29" s="3229" t="s">
        <v>3141</v>
      </c>
      <c r="C29" s="3229" t="s">
        <v>3142</v>
      </c>
      <c r="D29" s="3229" t="s">
        <v>3143</v>
      </c>
      <c r="E29" s="3257" t="s">
        <v>4171</v>
      </c>
      <c r="F29" s="3257">
        <v>32.58</v>
      </c>
      <c r="G29" s="3245">
        <f t="shared" si="0"/>
        <v>7.94</v>
      </c>
      <c r="H29" s="3258"/>
    </row>
    <row r="30" spans="1:8">
      <c r="A30" s="3228">
        <v>27</v>
      </c>
      <c r="B30" s="3229" t="s">
        <v>3141</v>
      </c>
      <c r="C30" s="3229" t="s">
        <v>3142</v>
      </c>
      <c r="D30" s="3229" t="s">
        <v>3143</v>
      </c>
      <c r="E30" s="3257" t="s">
        <v>4172</v>
      </c>
      <c r="F30" s="3257">
        <v>32.58</v>
      </c>
      <c r="G30" s="3245">
        <f t="shared" si="0"/>
        <v>7.94</v>
      </c>
      <c r="H30" s="3258"/>
    </row>
    <row r="31" spans="1:8">
      <c r="A31" s="3228">
        <v>28</v>
      </c>
      <c r="B31" s="3229" t="s">
        <v>3141</v>
      </c>
      <c r="C31" s="3229" t="s">
        <v>3142</v>
      </c>
      <c r="D31" s="3229" t="s">
        <v>3143</v>
      </c>
      <c r="E31" s="3257" t="s">
        <v>4173</v>
      </c>
      <c r="F31" s="3257">
        <v>32.58</v>
      </c>
      <c r="G31" s="3245">
        <f t="shared" si="0"/>
        <v>7.94</v>
      </c>
      <c r="H31" s="3258"/>
    </row>
    <row r="32" spans="1:8">
      <c r="A32" s="3228">
        <v>29</v>
      </c>
      <c r="B32" s="3229" t="s">
        <v>3144</v>
      </c>
      <c r="C32" s="3229" t="s">
        <v>3145</v>
      </c>
      <c r="D32" s="3229" t="s">
        <v>3146</v>
      </c>
      <c r="E32" s="3257" t="s">
        <v>4174</v>
      </c>
      <c r="F32" s="3257">
        <v>32.58</v>
      </c>
      <c r="G32" s="3245">
        <f t="shared" si="0"/>
        <v>7.94</v>
      </c>
      <c r="H32" s="3258"/>
    </row>
    <row r="33" spans="1:8">
      <c r="A33" s="3228">
        <v>30</v>
      </c>
      <c r="B33" s="3229" t="s">
        <v>3144</v>
      </c>
      <c r="C33" s="3229" t="s">
        <v>3145</v>
      </c>
      <c r="D33" s="3229" t="s">
        <v>3146</v>
      </c>
      <c r="E33" s="3257" t="s">
        <v>4175</v>
      </c>
      <c r="F33" s="3257">
        <v>32.58</v>
      </c>
      <c r="G33" s="3245">
        <f t="shared" si="0"/>
        <v>7.94</v>
      </c>
      <c r="H33" s="3258"/>
    </row>
    <row r="34" spans="1:8">
      <c r="A34" s="3228">
        <v>31</v>
      </c>
      <c r="B34" s="3229" t="s">
        <v>3144</v>
      </c>
      <c r="C34" s="3229" t="s">
        <v>3145</v>
      </c>
      <c r="D34" s="3229" t="s">
        <v>3146</v>
      </c>
      <c r="E34" s="3257" t="s">
        <v>4176</v>
      </c>
      <c r="F34" s="3257">
        <v>32.58</v>
      </c>
      <c r="G34" s="3245">
        <f t="shared" si="0"/>
        <v>7.94</v>
      </c>
      <c r="H34" s="3258"/>
    </row>
    <row r="35" spans="1:8">
      <c r="A35" s="3228">
        <v>32</v>
      </c>
      <c r="B35" s="3229" t="s">
        <v>3144</v>
      </c>
      <c r="C35" s="3229" t="s">
        <v>3145</v>
      </c>
      <c r="D35" s="3229" t="s">
        <v>3146</v>
      </c>
      <c r="E35" s="3257" t="s">
        <v>4177</v>
      </c>
      <c r="F35" s="3257">
        <v>32.58</v>
      </c>
      <c r="G35" s="3245">
        <f t="shared" si="0"/>
        <v>7.94</v>
      </c>
      <c r="H35" s="3258"/>
    </row>
    <row r="36" spans="1:8">
      <c r="A36" s="3228">
        <v>33</v>
      </c>
      <c r="B36" s="3229" t="s">
        <v>3144</v>
      </c>
      <c r="C36" s="3229" t="s">
        <v>3145</v>
      </c>
      <c r="D36" s="3229" t="s">
        <v>3146</v>
      </c>
      <c r="E36" s="3257" t="s">
        <v>4178</v>
      </c>
      <c r="F36" s="3257">
        <v>32.58</v>
      </c>
      <c r="G36" s="3245">
        <f t="shared" si="0"/>
        <v>7.94</v>
      </c>
      <c r="H36" s="3258"/>
    </row>
    <row r="37" spans="1:8">
      <c r="A37" s="3228">
        <v>34</v>
      </c>
      <c r="B37" s="3229" t="s">
        <v>3144</v>
      </c>
      <c r="C37" s="3229" t="s">
        <v>3145</v>
      </c>
      <c r="D37" s="3229" t="s">
        <v>3146</v>
      </c>
      <c r="E37" s="3257" t="s">
        <v>4179</v>
      </c>
      <c r="F37" s="3257">
        <v>32.58</v>
      </c>
      <c r="G37" s="3245">
        <f t="shared" si="0"/>
        <v>7.94</v>
      </c>
      <c r="H37" s="3258"/>
    </row>
    <row r="38" spans="1:8">
      <c r="A38" s="3228">
        <v>35</v>
      </c>
      <c r="B38" s="3229" t="s">
        <v>3144</v>
      </c>
      <c r="C38" s="3229" t="s">
        <v>3145</v>
      </c>
      <c r="D38" s="3229" t="s">
        <v>3146</v>
      </c>
      <c r="E38" s="3257" t="s">
        <v>4180</v>
      </c>
      <c r="F38" s="3257">
        <v>32.58</v>
      </c>
      <c r="G38" s="3245">
        <f t="shared" si="0"/>
        <v>7.94</v>
      </c>
      <c r="H38" s="3258"/>
    </row>
    <row r="39" spans="1:8">
      <c r="A39" s="3228">
        <v>36</v>
      </c>
      <c r="B39" s="3229" t="s">
        <v>3144</v>
      </c>
      <c r="C39" s="3229" t="s">
        <v>3145</v>
      </c>
      <c r="D39" s="3229" t="s">
        <v>3146</v>
      </c>
      <c r="E39" s="3257" t="s">
        <v>4181</v>
      </c>
      <c r="F39" s="3257">
        <v>32.58</v>
      </c>
      <c r="G39" s="3245">
        <f t="shared" si="0"/>
        <v>7.94</v>
      </c>
      <c r="H39" s="3258"/>
    </row>
    <row r="40" spans="1:8">
      <c r="A40" s="3228">
        <v>37</v>
      </c>
      <c r="B40" s="3229" t="s">
        <v>3144</v>
      </c>
      <c r="C40" s="3229" t="s">
        <v>3145</v>
      </c>
      <c r="D40" s="3229" t="s">
        <v>3146</v>
      </c>
      <c r="E40" s="3257" t="s">
        <v>4182</v>
      </c>
      <c r="F40" s="3257">
        <v>32.58</v>
      </c>
      <c r="G40" s="3245">
        <f t="shared" si="0"/>
        <v>7.94</v>
      </c>
      <c r="H40" s="3258"/>
    </row>
    <row r="41" spans="1:8">
      <c r="A41" s="3228">
        <v>38</v>
      </c>
      <c r="B41" s="3229" t="s">
        <v>3144</v>
      </c>
      <c r="C41" s="3229" t="s">
        <v>3145</v>
      </c>
      <c r="D41" s="3229" t="s">
        <v>3146</v>
      </c>
      <c r="E41" s="3257" t="s">
        <v>4183</v>
      </c>
      <c r="F41" s="3257">
        <v>32.58</v>
      </c>
      <c r="G41" s="3245">
        <f t="shared" si="0"/>
        <v>7.94</v>
      </c>
      <c r="H41" s="3258"/>
    </row>
    <row r="42" spans="1:8">
      <c r="A42" s="3228">
        <v>39</v>
      </c>
      <c r="B42" s="3229" t="s">
        <v>3144</v>
      </c>
      <c r="C42" s="3229" t="s">
        <v>3145</v>
      </c>
      <c r="D42" s="3229" t="s">
        <v>3146</v>
      </c>
      <c r="E42" s="3257" t="s">
        <v>4184</v>
      </c>
      <c r="F42" s="3257">
        <v>32.58</v>
      </c>
      <c r="G42" s="3245">
        <f t="shared" si="0"/>
        <v>7.94</v>
      </c>
      <c r="H42" s="3258"/>
    </row>
    <row r="43" spans="1:8">
      <c r="A43" s="3228">
        <v>40</v>
      </c>
      <c r="B43" s="3229" t="s">
        <v>3144</v>
      </c>
      <c r="C43" s="3229" t="s">
        <v>3145</v>
      </c>
      <c r="D43" s="3229" t="s">
        <v>3146</v>
      </c>
      <c r="E43" s="3257" t="s">
        <v>4185</v>
      </c>
      <c r="F43" s="3257">
        <v>32.58</v>
      </c>
      <c r="G43" s="3245">
        <f t="shared" si="0"/>
        <v>7.94</v>
      </c>
      <c r="H43" s="3258"/>
    </row>
    <row r="44" spans="1:8">
      <c r="A44" s="3228">
        <v>41</v>
      </c>
      <c r="B44" s="3229" t="s">
        <v>3144</v>
      </c>
      <c r="C44" s="3229" t="s">
        <v>3145</v>
      </c>
      <c r="D44" s="3229" t="s">
        <v>3146</v>
      </c>
      <c r="E44" s="3257" t="s">
        <v>4186</v>
      </c>
      <c r="F44" s="3257">
        <v>32.58</v>
      </c>
      <c r="G44" s="3245">
        <f t="shared" si="0"/>
        <v>7.94</v>
      </c>
      <c r="H44" s="3258"/>
    </row>
    <row r="45" spans="1:8">
      <c r="A45" s="3228">
        <v>42</v>
      </c>
      <c r="B45" s="3229" t="s">
        <v>3144</v>
      </c>
      <c r="C45" s="3229" t="s">
        <v>3145</v>
      </c>
      <c r="D45" s="3229" t="s">
        <v>3146</v>
      </c>
      <c r="E45" s="3257" t="s">
        <v>4187</v>
      </c>
      <c r="F45" s="3257">
        <v>32.58</v>
      </c>
      <c r="G45" s="3245">
        <f t="shared" si="0"/>
        <v>7.94</v>
      </c>
      <c r="H45" s="3258"/>
    </row>
    <row r="46" spans="1:8">
      <c r="A46" s="3228">
        <v>43</v>
      </c>
      <c r="B46" s="3229" t="s">
        <v>3144</v>
      </c>
      <c r="C46" s="3229" t="s">
        <v>3145</v>
      </c>
      <c r="D46" s="3229" t="s">
        <v>3146</v>
      </c>
      <c r="E46" s="3257" t="s">
        <v>4188</v>
      </c>
      <c r="F46" s="3257">
        <v>32.58</v>
      </c>
      <c r="G46" s="3245">
        <f t="shared" si="0"/>
        <v>7.94</v>
      </c>
      <c r="H46" s="3258"/>
    </row>
    <row r="47" spans="1:8">
      <c r="A47" s="3228">
        <v>44</v>
      </c>
      <c r="B47" s="3229" t="s">
        <v>3144</v>
      </c>
      <c r="C47" s="3229" t="s">
        <v>3145</v>
      </c>
      <c r="D47" s="3229" t="s">
        <v>3146</v>
      </c>
      <c r="E47" s="3257" t="s">
        <v>4189</v>
      </c>
      <c r="F47" s="3257">
        <v>32.58</v>
      </c>
      <c r="G47" s="3245">
        <f t="shared" si="0"/>
        <v>7.94</v>
      </c>
      <c r="H47" s="3258"/>
    </row>
    <row r="48" spans="1:8">
      <c r="A48" s="3228">
        <v>45</v>
      </c>
      <c r="B48" s="3229" t="s">
        <v>3144</v>
      </c>
      <c r="C48" s="3229" t="s">
        <v>3145</v>
      </c>
      <c r="D48" s="3229" t="s">
        <v>3146</v>
      </c>
      <c r="E48" s="3257" t="s">
        <v>4190</v>
      </c>
      <c r="F48" s="3257">
        <v>32.58</v>
      </c>
      <c r="G48" s="3245">
        <f t="shared" si="0"/>
        <v>7.94</v>
      </c>
      <c r="H48" s="3258"/>
    </row>
    <row r="49" spans="1:8">
      <c r="A49" s="3228">
        <v>46</v>
      </c>
      <c r="B49" s="3229" t="s">
        <v>3144</v>
      </c>
      <c r="C49" s="3229" t="s">
        <v>3145</v>
      </c>
      <c r="D49" s="3229" t="s">
        <v>3146</v>
      </c>
      <c r="E49" s="3257" t="s">
        <v>4191</v>
      </c>
      <c r="F49" s="3257">
        <v>32.58</v>
      </c>
      <c r="G49" s="3245">
        <f t="shared" si="0"/>
        <v>7.94</v>
      </c>
      <c r="H49" s="3258"/>
    </row>
    <row r="50" spans="1:8">
      <c r="A50" s="3228">
        <v>47</v>
      </c>
      <c r="B50" s="3229" t="s">
        <v>3144</v>
      </c>
      <c r="C50" s="3229" t="s">
        <v>3145</v>
      </c>
      <c r="D50" s="3229" t="s">
        <v>3146</v>
      </c>
      <c r="E50" s="3257" t="s">
        <v>4192</v>
      </c>
      <c r="F50" s="3257">
        <v>32.58</v>
      </c>
      <c r="G50" s="3245">
        <f t="shared" si="0"/>
        <v>7.94</v>
      </c>
      <c r="H50" s="3258"/>
    </row>
    <row r="51" spans="1:8">
      <c r="A51" s="3228">
        <v>48</v>
      </c>
      <c r="B51" s="3229" t="s">
        <v>3144</v>
      </c>
      <c r="C51" s="3229" t="s">
        <v>3145</v>
      </c>
      <c r="D51" s="3229" t="s">
        <v>3146</v>
      </c>
      <c r="E51" s="3257" t="s">
        <v>4193</v>
      </c>
      <c r="F51" s="3257">
        <v>32.58</v>
      </c>
      <c r="G51" s="3245">
        <f t="shared" si="0"/>
        <v>7.94</v>
      </c>
      <c r="H51" s="3258"/>
    </row>
    <row r="52" spans="1:8">
      <c r="A52" s="3228">
        <v>49</v>
      </c>
      <c r="B52" s="3229" t="s">
        <v>3144</v>
      </c>
      <c r="C52" s="3229" t="s">
        <v>3145</v>
      </c>
      <c r="D52" s="3229" t="s">
        <v>3146</v>
      </c>
      <c r="E52" s="3257" t="s">
        <v>4194</v>
      </c>
      <c r="F52" s="3257">
        <v>32.58</v>
      </c>
      <c r="G52" s="3245">
        <f t="shared" si="0"/>
        <v>7.94</v>
      </c>
      <c r="H52" s="3258"/>
    </row>
    <row r="53" spans="1:8">
      <c r="A53" s="3228">
        <v>50</v>
      </c>
      <c r="B53" s="3229" t="s">
        <v>3144</v>
      </c>
      <c r="C53" s="3229" t="s">
        <v>3145</v>
      </c>
      <c r="D53" s="3229" t="s">
        <v>3146</v>
      </c>
      <c r="E53" s="3257" t="s">
        <v>4195</v>
      </c>
      <c r="F53" s="3257">
        <v>32.58</v>
      </c>
      <c r="G53" s="3245">
        <f t="shared" si="0"/>
        <v>7.94</v>
      </c>
      <c r="H53" s="3258"/>
    </row>
    <row r="54" spans="1:8">
      <c r="A54" s="3228">
        <v>51</v>
      </c>
      <c r="B54" s="3229" t="s">
        <v>3144</v>
      </c>
      <c r="C54" s="3229" t="s">
        <v>3145</v>
      </c>
      <c r="D54" s="3229" t="s">
        <v>3146</v>
      </c>
      <c r="E54" s="3257" t="s">
        <v>4196</v>
      </c>
      <c r="F54" s="3257">
        <v>32.58</v>
      </c>
      <c r="G54" s="3245">
        <f t="shared" si="0"/>
        <v>7.94</v>
      </c>
      <c r="H54" s="3258"/>
    </row>
    <row r="55" spans="1:8">
      <c r="A55" s="3228">
        <v>52</v>
      </c>
      <c r="B55" s="3229" t="s">
        <v>3144</v>
      </c>
      <c r="C55" s="3229" t="s">
        <v>3145</v>
      </c>
      <c r="D55" s="3229" t="s">
        <v>3146</v>
      </c>
      <c r="E55" s="3257" t="s">
        <v>4197</v>
      </c>
      <c r="F55" s="3257">
        <v>32.58</v>
      </c>
      <c r="G55" s="3245">
        <f t="shared" si="0"/>
        <v>7.94</v>
      </c>
      <c r="H55" s="3258"/>
    </row>
    <row r="56" spans="1:8">
      <c r="A56" s="3228">
        <v>53</v>
      </c>
      <c r="B56" s="3229" t="s">
        <v>3144</v>
      </c>
      <c r="C56" s="3229" t="s">
        <v>3145</v>
      </c>
      <c r="D56" s="3229" t="s">
        <v>3146</v>
      </c>
      <c r="E56" s="3257" t="s">
        <v>4198</v>
      </c>
      <c r="F56" s="3257">
        <v>32.58</v>
      </c>
      <c r="G56" s="3245">
        <f t="shared" si="0"/>
        <v>7.94</v>
      </c>
      <c r="H56" s="3258"/>
    </row>
    <row r="57" spans="1:8">
      <c r="A57" s="3228">
        <v>54</v>
      </c>
      <c r="B57" s="3229" t="s">
        <v>3144</v>
      </c>
      <c r="C57" s="3229" t="s">
        <v>3145</v>
      </c>
      <c r="D57" s="3229" t="s">
        <v>3146</v>
      </c>
      <c r="E57" s="3257" t="s">
        <v>4199</v>
      </c>
      <c r="F57" s="3257">
        <v>32.58</v>
      </c>
      <c r="G57" s="3245">
        <f t="shared" si="0"/>
        <v>7.94</v>
      </c>
      <c r="H57" s="3258"/>
    </row>
    <row r="58" spans="1:8">
      <c r="A58" s="3228">
        <v>55</v>
      </c>
      <c r="B58" s="3229" t="s">
        <v>3144</v>
      </c>
      <c r="C58" s="3229" t="s">
        <v>3145</v>
      </c>
      <c r="D58" s="3229" t="s">
        <v>3146</v>
      </c>
      <c r="E58" s="3257" t="s">
        <v>4200</v>
      </c>
      <c r="F58" s="3257">
        <v>32.58</v>
      </c>
      <c r="G58" s="3245">
        <f t="shared" si="0"/>
        <v>7.94</v>
      </c>
      <c r="H58" s="3258"/>
    </row>
    <row r="59" spans="1:8">
      <c r="A59" s="3228">
        <v>56</v>
      </c>
      <c r="B59" s="3229" t="s">
        <v>3144</v>
      </c>
      <c r="C59" s="3229" t="s">
        <v>3145</v>
      </c>
      <c r="D59" s="3229" t="s">
        <v>3146</v>
      </c>
      <c r="E59" s="3257" t="s">
        <v>4201</v>
      </c>
      <c r="F59" s="3257">
        <v>32.58</v>
      </c>
      <c r="G59" s="3245">
        <f t="shared" si="0"/>
        <v>7.94</v>
      </c>
      <c r="H59" s="3258"/>
    </row>
    <row r="60" spans="1:8">
      <c r="A60" s="3228">
        <v>57</v>
      </c>
      <c r="B60" s="3229" t="s">
        <v>3144</v>
      </c>
      <c r="C60" s="3229" t="s">
        <v>3145</v>
      </c>
      <c r="D60" s="3229" t="s">
        <v>3146</v>
      </c>
      <c r="E60" s="3257" t="s">
        <v>4202</v>
      </c>
      <c r="F60" s="3257">
        <v>32.58</v>
      </c>
      <c r="G60" s="3245">
        <f t="shared" si="0"/>
        <v>7.94</v>
      </c>
      <c r="H60" s="3258"/>
    </row>
    <row r="61" spans="1:8">
      <c r="A61" s="3228">
        <v>58</v>
      </c>
      <c r="B61" s="3229" t="s">
        <v>3144</v>
      </c>
      <c r="C61" s="3229" t="s">
        <v>3145</v>
      </c>
      <c r="D61" s="3229" t="s">
        <v>3146</v>
      </c>
      <c r="E61" s="3257" t="s">
        <v>4203</v>
      </c>
      <c r="F61" s="3257">
        <v>32.58</v>
      </c>
      <c r="G61" s="3245">
        <f t="shared" si="0"/>
        <v>7.94</v>
      </c>
      <c r="H61" s="3258"/>
    </row>
    <row r="62" spans="1:8">
      <c r="A62" s="3228">
        <v>59</v>
      </c>
      <c r="B62" s="3229" t="s">
        <v>3144</v>
      </c>
      <c r="C62" s="3229" t="s">
        <v>3145</v>
      </c>
      <c r="D62" s="3229" t="s">
        <v>3146</v>
      </c>
      <c r="E62" s="3257" t="s">
        <v>4204</v>
      </c>
      <c r="F62" s="3257">
        <v>32.58</v>
      </c>
      <c r="G62" s="3245">
        <f t="shared" si="0"/>
        <v>7.94</v>
      </c>
      <c r="H62" s="3258"/>
    </row>
    <row r="63" spans="1:8">
      <c r="A63" s="3228">
        <v>60</v>
      </c>
      <c r="B63" s="3229" t="s">
        <v>3144</v>
      </c>
      <c r="C63" s="3229" t="s">
        <v>3145</v>
      </c>
      <c r="D63" s="3229" t="s">
        <v>3146</v>
      </c>
      <c r="E63" s="3257" t="s">
        <v>4205</v>
      </c>
      <c r="F63" s="3257">
        <v>32.58</v>
      </c>
      <c r="G63" s="3245">
        <f t="shared" si="0"/>
        <v>7.94</v>
      </c>
      <c r="H63" s="3258"/>
    </row>
    <row r="64" spans="1:8">
      <c r="A64" s="3228">
        <v>61</v>
      </c>
      <c r="B64" s="3229" t="s">
        <v>3144</v>
      </c>
      <c r="C64" s="3229" t="s">
        <v>3145</v>
      </c>
      <c r="D64" s="3229" t="s">
        <v>3146</v>
      </c>
      <c r="E64" s="3257" t="s">
        <v>4206</v>
      </c>
      <c r="F64" s="3257">
        <v>32.58</v>
      </c>
      <c r="G64" s="3245">
        <f t="shared" si="0"/>
        <v>7.94</v>
      </c>
      <c r="H64" s="3258"/>
    </row>
    <row r="65" spans="1:8">
      <c r="A65" s="3228">
        <v>62</v>
      </c>
      <c r="B65" s="3229" t="s">
        <v>3144</v>
      </c>
      <c r="C65" s="3229" t="s">
        <v>3145</v>
      </c>
      <c r="D65" s="3229" t="s">
        <v>3146</v>
      </c>
      <c r="E65" s="3257" t="s">
        <v>4207</v>
      </c>
      <c r="F65" s="3257">
        <v>32.58</v>
      </c>
      <c r="G65" s="3245">
        <f t="shared" si="0"/>
        <v>7.94</v>
      </c>
      <c r="H65" s="3258"/>
    </row>
    <row r="66" spans="1:8">
      <c r="A66" s="3228">
        <v>63</v>
      </c>
      <c r="B66" s="3229" t="s">
        <v>3144</v>
      </c>
      <c r="C66" s="3229" t="s">
        <v>3145</v>
      </c>
      <c r="D66" s="3229" t="s">
        <v>3146</v>
      </c>
      <c r="E66" s="3257" t="s">
        <v>4208</v>
      </c>
      <c r="F66" s="3257">
        <v>32.58</v>
      </c>
      <c r="G66" s="3245">
        <f t="shared" si="0"/>
        <v>7.94</v>
      </c>
      <c r="H66" s="3258"/>
    </row>
    <row r="67" spans="1:8">
      <c r="A67" s="3228">
        <v>64</v>
      </c>
      <c r="B67" s="3229" t="s">
        <v>3144</v>
      </c>
      <c r="C67" s="3229" t="s">
        <v>3145</v>
      </c>
      <c r="D67" s="3229" t="s">
        <v>3146</v>
      </c>
      <c r="E67" s="3257" t="s">
        <v>4209</v>
      </c>
      <c r="F67" s="3257">
        <v>32.58</v>
      </c>
      <c r="G67" s="3245">
        <f t="shared" si="0"/>
        <v>7.94</v>
      </c>
      <c r="H67" s="3258"/>
    </row>
    <row r="68" spans="1:8">
      <c r="A68" s="3228">
        <v>65</v>
      </c>
      <c r="B68" s="3229" t="s">
        <v>3147</v>
      </c>
      <c r="C68" s="3229" t="s">
        <v>3148</v>
      </c>
      <c r="D68" s="3229" t="s">
        <v>3149</v>
      </c>
      <c r="E68" s="3257" t="s">
        <v>4210</v>
      </c>
      <c r="F68" s="3257">
        <v>32.58</v>
      </c>
      <c r="G68" s="3245">
        <f t="shared" ref="G68:G131" si="1">ROUND(F68/$C$909*$D$909,2)</f>
        <v>7.94</v>
      </c>
      <c r="H68" s="3258"/>
    </row>
    <row r="69" spans="1:8">
      <c r="A69" s="3228">
        <v>66</v>
      </c>
      <c r="B69" s="3229" t="s">
        <v>3147</v>
      </c>
      <c r="C69" s="3229" t="s">
        <v>3148</v>
      </c>
      <c r="D69" s="3229" t="s">
        <v>3149</v>
      </c>
      <c r="E69" s="3257" t="s">
        <v>4211</v>
      </c>
      <c r="F69" s="3257">
        <v>32.58</v>
      </c>
      <c r="G69" s="3245">
        <f t="shared" si="1"/>
        <v>7.94</v>
      </c>
      <c r="H69" s="3258"/>
    </row>
    <row r="70" spans="1:8">
      <c r="A70" s="3228">
        <v>67</v>
      </c>
      <c r="B70" s="3229" t="s">
        <v>3147</v>
      </c>
      <c r="C70" s="3229" t="s">
        <v>3148</v>
      </c>
      <c r="D70" s="3229" t="s">
        <v>3149</v>
      </c>
      <c r="E70" s="3257" t="s">
        <v>4212</v>
      </c>
      <c r="F70" s="3257">
        <v>32.58</v>
      </c>
      <c r="G70" s="3245">
        <f t="shared" si="1"/>
        <v>7.94</v>
      </c>
      <c r="H70" s="3258"/>
    </row>
    <row r="71" spans="1:8">
      <c r="A71" s="3228">
        <v>68</v>
      </c>
      <c r="B71" s="3229" t="s">
        <v>3147</v>
      </c>
      <c r="C71" s="3229" t="s">
        <v>3148</v>
      </c>
      <c r="D71" s="3229" t="s">
        <v>3149</v>
      </c>
      <c r="E71" s="3257" t="s">
        <v>4213</v>
      </c>
      <c r="F71" s="3257">
        <v>32.58</v>
      </c>
      <c r="G71" s="3245">
        <f t="shared" si="1"/>
        <v>7.94</v>
      </c>
      <c r="H71" s="3258"/>
    </row>
    <row r="72" spans="1:8">
      <c r="A72" s="3228">
        <v>69</v>
      </c>
      <c r="B72" s="3229" t="s">
        <v>3147</v>
      </c>
      <c r="C72" s="3229" t="s">
        <v>3148</v>
      </c>
      <c r="D72" s="3229" t="s">
        <v>3149</v>
      </c>
      <c r="E72" s="3257" t="s">
        <v>4214</v>
      </c>
      <c r="F72" s="3257">
        <v>32.58</v>
      </c>
      <c r="G72" s="3245">
        <f t="shared" si="1"/>
        <v>7.94</v>
      </c>
      <c r="H72" s="3258"/>
    </row>
    <row r="73" spans="1:8">
      <c r="A73" s="3228">
        <v>70</v>
      </c>
      <c r="B73" s="3229" t="s">
        <v>3147</v>
      </c>
      <c r="C73" s="3229" t="s">
        <v>3148</v>
      </c>
      <c r="D73" s="3229" t="s">
        <v>3149</v>
      </c>
      <c r="E73" s="3257" t="s">
        <v>4215</v>
      </c>
      <c r="F73" s="3257">
        <v>32.58</v>
      </c>
      <c r="G73" s="3245">
        <f t="shared" si="1"/>
        <v>7.94</v>
      </c>
      <c r="H73" s="3258"/>
    </row>
    <row r="74" spans="1:8">
      <c r="A74" s="3228">
        <v>71</v>
      </c>
      <c r="B74" s="3229" t="s">
        <v>3147</v>
      </c>
      <c r="C74" s="3229" t="s">
        <v>3148</v>
      </c>
      <c r="D74" s="3229" t="s">
        <v>3149</v>
      </c>
      <c r="E74" s="3257" t="s">
        <v>4216</v>
      </c>
      <c r="F74" s="3257">
        <v>32.58</v>
      </c>
      <c r="G74" s="3245">
        <f t="shared" si="1"/>
        <v>7.94</v>
      </c>
      <c r="H74" s="3258"/>
    </row>
    <row r="75" spans="1:8">
      <c r="A75" s="3228">
        <v>72</v>
      </c>
      <c r="B75" s="3229" t="s">
        <v>3147</v>
      </c>
      <c r="C75" s="3229" t="s">
        <v>3148</v>
      </c>
      <c r="D75" s="3229" t="s">
        <v>3149</v>
      </c>
      <c r="E75" s="3257" t="s">
        <v>4217</v>
      </c>
      <c r="F75" s="3257">
        <v>32.58</v>
      </c>
      <c r="G75" s="3245">
        <f t="shared" si="1"/>
        <v>7.94</v>
      </c>
      <c r="H75" s="3258"/>
    </row>
    <row r="76" spans="1:8">
      <c r="A76" s="3228">
        <v>73</v>
      </c>
      <c r="B76" s="3229" t="s">
        <v>3147</v>
      </c>
      <c r="C76" s="3229" t="s">
        <v>3148</v>
      </c>
      <c r="D76" s="3229" t="s">
        <v>3149</v>
      </c>
      <c r="E76" s="3257" t="s">
        <v>4218</v>
      </c>
      <c r="F76" s="3257">
        <v>32.58</v>
      </c>
      <c r="G76" s="3245">
        <f t="shared" si="1"/>
        <v>7.94</v>
      </c>
      <c r="H76" s="3258"/>
    </row>
    <row r="77" spans="1:8">
      <c r="A77" s="3228">
        <v>74</v>
      </c>
      <c r="B77" s="3229" t="s">
        <v>3147</v>
      </c>
      <c r="C77" s="3229" t="s">
        <v>3148</v>
      </c>
      <c r="D77" s="3229" t="s">
        <v>3149</v>
      </c>
      <c r="E77" s="3257" t="s">
        <v>4219</v>
      </c>
      <c r="F77" s="3257">
        <v>32.58</v>
      </c>
      <c r="G77" s="3245">
        <f t="shared" si="1"/>
        <v>7.94</v>
      </c>
      <c r="H77" s="3258"/>
    </row>
    <row r="78" spans="1:8">
      <c r="A78" s="3228">
        <v>75</v>
      </c>
      <c r="B78" s="3229" t="s">
        <v>3147</v>
      </c>
      <c r="C78" s="3229" t="s">
        <v>3148</v>
      </c>
      <c r="D78" s="3229" t="s">
        <v>3149</v>
      </c>
      <c r="E78" s="3257" t="s">
        <v>4220</v>
      </c>
      <c r="F78" s="3257">
        <v>33.93</v>
      </c>
      <c r="G78" s="3245">
        <f t="shared" si="1"/>
        <v>8.27</v>
      </c>
      <c r="H78" s="3258"/>
    </row>
    <row r="79" spans="1:8">
      <c r="A79" s="3228">
        <v>76</v>
      </c>
      <c r="B79" s="3229" t="s">
        <v>3147</v>
      </c>
      <c r="C79" s="3229" t="s">
        <v>3148</v>
      </c>
      <c r="D79" s="3229" t="s">
        <v>3149</v>
      </c>
      <c r="E79" s="3257" t="s">
        <v>4221</v>
      </c>
      <c r="F79" s="3257">
        <v>33.93</v>
      </c>
      <c r="G79" s="3245">
        <f t="shared" si="1"/>
        <v>8.27</v>
      </c>
      <c r="H79" s="3258"/>
    </row>
    <row r="80" spans="1:8">
      <c r="A80" s="3228">
        <v>77</v>
      </c>
      <c r="B80" s="3229" t="s">
        <v>3147</v>
      </c>
      <c r="C80" s="3229" t="s">
        <v>3148</v>
      </c>
      <c r="D80" s="3229" t="s">
        <v>3149</v>
      </c>
      <c r="E80" s="3257" t="s">
        <v>4222</v>
      </c>
      <c r="F80" s="3257">
        <v>33.93</v>
      </c>
      <c r="G80" s="3245">
        <f t="shared" si="1"/>
        <v>8.27</v>
      </c>
      <c r="H80" s="3258"/>
    </row>
    <row r="81" spans="1:8">
      <c r="A81" s="3228">
        <v>78</v>
      </c>
      <c r="B81" s="3229" t="s">
        <v>3147</v>
      </c>
      <c r="C81" s="3229" t="s">
        <v>3148</v>
      </c>
      <c r="D81" s="3229" t="s">
        <v>3149</v>
      </c>
      <c r="E81" s="3257" t="s">
        <v>4223</v>
      </c>
      <c r="F81" s="3257">
        <v>33.93</v>
      </c>
      <c r="G81" s="3245">
        <f t="shared" si="1"/>
        <v>8.27</v>
      </c>
      <c r="H81" s="3258"/>
    </row>
    <row r="82" spans="1:8">
      <c r="A82" s="3228">
        <v>79</v>
      </c>
      <c r="B82" s="3229" t="s">
        <v>3147</v>
      </c>
      <c r="C82" s="3229" t="s">
        <v>3148</v>
      </c>
      <c r="D82" s="3229" t="s">
        <v>3149</v>
      </c>
      <c r="E82" s="3257" t="s">
        <v>4224</v>
      </c>
      <c r="F82" s="3257">
        <v>33.93</v>
      </c>
      <c r="G82" s="3245">
        <f t="shared" si="1"/>
        <v>8.27</v>
      </c>
      <c r="H82" s="3258"/>
    </row>
    <row r="83" spans="1:8">
      <c r="A83" s="3228">
        <v>80</v>
      </c>
      <c r="B83" s="3229" t="s">
        <v>3147</v>
      </c>
      <c r="C83" s="3229" t="s">
        <v>3148</v>
      </c>
      <c r="D83" s="3229" t="s">
        <v>3149</v>
      </c>
      <c r="E83" s="3257" t="s">
        <v>4225</v>
      </c>
      <c r="F83" s="3257">
        <v>33.93</v>
      </c>
      <c r="G83" s="3245">
        <f t="shared" si="1"/>
        <v>8.27</v>
      </c>
      <c r="H83" s="3258"/>
    </row>
    <row r="84" spans="1:8">
      <c r="A84" s="3228">
        <v>81</v>
      </c>
      <c r="B84" s="3229" t="s">
        <v>3147</v>
      </c>
      <c r="C84" s="3229" t="s">
        <v>3148</v>
      </c>
      <c r="D84" s="3229" t="s">
        <v>3149</v>
      </c>
      <c r="E84" s="3257" t="s">
        <v>4226</v>
      </c>
      <c r="F84" s="3257">
        <v>33.93</v>
      </c>
      <c r="G84" s="3245">
        <f t="shared" si="1"/>
        <v>8.27</v>
      </c>
      <c r="H84" s="3258"/>
    </row>
    <row r="85" spans="1:8">
      <c r="A85" s="3228">
        <v>82</v>
      </c>
      <c r="B85" s="3229" t="s">
        <v>3147</v>
      </c>
      <c r="C85" s="3229" t="s">
        <v>3148</v>
      </c>
      <c r="D85" s="3229" t="s">
        <v>3149</v>
      </c>
      <c r="E85" s="3257" t="s">
        <v>4227</v>
      </c>
      <c r="F85" s="3257">
        <v>33.93</v>
      </c>
      <c r="G85" s="3245">
        <f t="shared" si="1"/>
        <v>8.27</v>
      </c>
      <c r="H85" s="3258"/>
    </row>
    <row r="86" spans="1:8">
      <c r="A86" s="3228">
        <v>83</v>
      </c>
      <c r="B86" s="3229" t="s">
        <v>3147</v>
      </c>
      <c r="C86" s="3229" t="s">
        <v>3148</v>
      </c>
      <c r="D86" s="3229" t="s">
        <v>3149</v>
      </c>
      <c r="E86" s="3257" t="s">
        <v>4228</v>
      </c>
      <c r="F86" s="3257">
        <v>33.93</v>
      </c>
      <c r="G86" s="3245">
        <f t="shared" si="1"/>
        <v>8.27</v>
      </c>
      <c r="H86" s="3258"/>
    </row>
    <row r="87" spans="1:8">
      <c r="A87" s="3228">
        <v>84</v>
      </c>
      <c r="B87" s="3229" t="s">
        <v>3147</v>
      </c>
      <c r="C87" s="3229" t="s">
        <v>3148</v>
      </c>
      <c r="D87" s="3229" t="s">
        <v>3149</v>
      </c>
      <c r="E87" s="3257" t="s">
        <v>4229</v>
      </c>
      <c r="F87" s="3257">
        <v>33.93</v>
      </c>
      <c r="G87" s="3245">
        <f t="shared" si="1"/>
        <v>8.27</v>
      </c>
      <c r="H87" s="3258"/>
    </row>
    <row r="88" spans="1:8">
      <c r="A88" s="3228">
        <v>85</v>
      </c>
      <c r="B88" s="3229" t="s">
        <v>3147</v>
      </c>
      <c r="C88" s="3229" t="s">
        <v>3148</v>
      </c>
      <c r="D88" s="3229" t="s">
        <v>3149</v>
      </c>
      <c r="E88" s="3257" t="s">
        <v>4230</v>
      </c>
      <c r="F88" s="3257">
        <v>33.93</v>
      </c>
      <c r="G88" s="3245">
        <f t="shared" si="1"/>
        <v>8.27</v>
      </c>
      <c r="H88" s="3258"/>
    </row>
    <row r="89" spans="1:8">
      <c r="A89" s="3228">
        <v>86</v>
      </c>
      <c r="B89" s="3229" t="s">
        <v>3147</v>
      </c>
      <c r="C89" s="3229" t="s">
        <v>3148</v>
      </c>
      <c r="D89" s="3229" t="s">
        <v>3149</v>
      </c>
      <c r="E89" s="3257" t="s">
        <v>4231</v>
      </c>
      <c r="F89" s="3257">
        <v>33.93</v>
      </c>
      <c r="G89" s="3245">
        <f t="shared" si="1"/>
        <v>8.27</v>
      </c>
      <c r="H89" s="3258"/>
    </row>
    <row r="90" spans="1:8">
      <c r="A90" s="3228">
        <v>87</v>
      </c>
      <c r="B90" s="3229" t="s">
        <v>3147</v>
      </c>
      <c r="C90" s="3229" t="s">
        <v>3148</v>
      </c>
      <c r="D90" s="3229" t="s">
        <v>3149</v>
      </c>
      <c r="E90" s="3257" t="s">
        <v>4232</v>
      </c>
      <c r="F90" s="3257">
        <v>33.36</v>
      </c>
      <c r="G90" s="3245">
        <f t="shared" si="1"/>
        <v>8.1300000000000008</v>
      </c>
      <c r="H90" s="3258"/>
    </row>
    <row r="91" spans="1:8">
      <c r="A91" s="3228">
        <v>88</v>
      </c>
      <c r="B91" s="3229" t="s">
        <v>3147</v>
      </c>
      <c r="C91" s="3229" t="s">
        <v>3148</v>
      </c>
      <c r="D91" s="3229" t="s">
        <v>3149</v>
      </c>
      <c r="E91" s="3257" t="s">
        <v>4233</v>
      </c>
      <c r="F91" s="3257">
        <v>33.36</v>
      </c>
      <c r="G91" s="3245">
        <f t="shared" si="1"/>
        <v>8.1300000000000008</v>
      </c>
      <c r="H91" s="3258"/>
    </row>
    <row r="92" spans="1:8">
      <c r="A92" s="3228">
        <v>89</v>
      </c>
      <c r="B92" s="3229" t="s">
        <v>3147</v>
      </c>
      <c r="C92" s="3229" t="s">
        <v>3148</v>
      </c>
      <c r="D92" s="3229" t="s">
        <v>3149</v>
      </c>
      <c r="E92" s="3257" t="s">
        <v>4234</v>
      </c>
      <c r="F92" s="3257">
        <v>32.020000000000003</v>
      </c>
      <c r="G92" s="3245">
        <f t="shared" si="1"/>
        <v>7.81</v>
      </c>
      <c r="H92" s="3258"/>
    </row>
    <row r="93" spans="1:8">
      <c r="A93" s="3228">
        <v>90</v>
      </c>
      <c r="B93" s="3229" t="s">
        <v>3147</v>
      </c>
      <c r="C93" s="3229" t="s">
        <v>3148</v>
      </c>
      <c r="D93" s="3229" t="s">
        <v>3149</v>
      </c>
      <c r="E93" s="3257" t="s">
        <v>4235</v>
      </c>
      <c r="F93" s="3257">
        <v>32.020000000000003</v>
      </c>
      <c r="G93" s="3245">
        <f t="shared" si="1"/>
        <v>7.81</v>
      </c>
      <c r="H93" s="3258"/>
    </row>
    <row r="94" spans="1:8">
      <c r="A94" s="3228">
        <v>91</v>
      </c>
      <c r="B94" s="3229" t="s">
        <v>3147</v>
      </c>
      <c r="C94" s="3229" t="s">
        <v>3148</v>
      </c>
      <c r="D94" s="3229" t="s">
        <v>3149</v>
      </c>
      <c r="E94" s="3257" t="s">
        <v>4236</v>
      </c>
      <c r="F94" s="3257">
        <v>32.020000000000003</v>
      </c>
      <c r="G94" s="3245">
        <f t="shared" si="1"/>
        <v>7.81</v>
      </c>
      <c r="H94" s="3258"/>
    </row>
    <row r="95" spans="1:8">
      <c r="A95" s="3228">
        <v>92</v>
      </c>
      <c r="B95" s="3229" t="s">
        <v>3147</v>
      </c>
      <c r="C95" s="3229" t="s">
        <v>3148</v>
      </c>
      <c r="D95" s="3229" t="s">
        <v>3149</v>
      </c>
      <c r="E95" s="3257" t="s">
        <v>4237</v>
      </c>
      <c r="F95" s="3257">
        <v>32.020000000000003</v>
      </c>
      <c r="G95" s="3245">
        <f t="shared" si="1"/>
        <v>7.81</v>
      </c>
      <c r="H95" s="3258"/>
    </row>
    <row r="96" spans="1:8">
      <c r="A96" s="3228">
        <v>93</v>
      </c>
      <c r="B96" s="3229" t="s">
        <v>3147</v>
      </c>
      <c r="C96" s="3229" t="s">
        <v>3148</v>
      </c>
      <c r="D96" s="3229" t="s">
        <v>3149</v>
      </c>
      <c r="E96" s="3257" t="s">
        <v>4238</v>
      </c>
      <c r="F96" s="3257">
        <v>32.020000000000003</v>
      </c>
      <c r="G96" s="3245">
        <f t="shared" si="1"/>
        <v>7.81</v>
      </c>
      <c r="H96" s="3258"/>
    </row>
    <row r="97" spans="1:8">
      <c r="A97" s="3228">
        <v>94</v>
      </c>
      <c r="B97" s="3229" t="s">
        <v>3147</v>
      </c>
      <c r="C97" s="3229" t="s">
        <v>3148</v>
      </c>
      <c r="D97" s="3229" t="s">
        <v>3149</v>
      </c>
      <c r="E97" s="3257" t="s">
        <v>4239</v>
      </c>
      <c r="F97" s="3257">
        <v>32.020000000000003</v>
      </c>
      <c r="G97" s="3245">
        <f t="shared" si="1"/>
        <v>7.81</v>
      </c>
      <c r="H97" s="3258"/>
    </row>
    <row r="98" spans="1:8">
      <c r="A98" s="3228">
        <v>95</v>
      </c>
      <c r="B98" s="3229" t="s">
        <v>3147</v>
      </c>
      <c r="C98" s="3229" t="s">
        <v>3148</v>
      </c>
      <c r="D98" s="3229" t="s">
        <v>3149</v>
      </c>
      <c r="E98" s="3257" t="s">
        <v>4240</v>
      </c>
      <c r="F98" s="3257">
        <v>32.020000000000003</v>
      </c>
      <c r="G98" s="3245">
        <f t="shared" si="1"/>
        <v>7.81</v>
      </c>
      <c r="H98" s="3258"/>
    </row>
    <row r="99" spans="1:8">
      <c r="A99" s="3228">
        <v>96</v>
      </c>
      <c r="B99" s="3229" t="s">
        <v>3147</v>
      </c>
      <c r="C99" s="3229" t="s">
        <v>3148</v>
      </c>
      <c r="D99" s="3229" t="s">
        <v>3149</v>
      </c>
      <c r="E99" s="3257" t="s">
        <v>4241</v>
      </c>
      <c r="F99" s="3257">
        <v>32.020000000000003</v>
      </c>
      <c r="G99" s="3245">
        <f t="shared" si="1"/>
        <v>7.81</v>
      </c>
      <c r="H99" s="3258"/>
    </row>
    <row r="100" spans="1:8">
      <c r="A100" s="3228">
        <v>97</v>
      </c>
      <c r="B100" s="3229" t="s">
        <v>3147</v>
      </c>
      <c r="C100" s="3229" t="s">
        <v>3148</v>
      </c>
      <c r="D100" s="3229" t="s">
        <v>3149</v>
      </c>
      <c r="E100" s="3257" t="s">
        <v>4242</v>
      </c>
      <c r="F100" s="3257">
        <v>32.020000000000003</v>
      </c>
      <c r="G100" s="3245">
        <f t="shared" si="1"/>
        <v>7.81</v>
      </c>
      <c r="H100" s="3258"/>
    </row>
    <row r="101" spans="1:8">
      <c r="A101" s="3228">
        <v>98</v>
      </c>
      <c r="B101" s="3229" t="s">
        <v>3144</v>
      </c>
      <c r="C101" s="3229" t="s">
        <v>3145</v>
      </c>
      <c r="D101" s="3229" t="s">
        <v>3146</v>
      </c>
      <c r="E101" s="3257" t="s">
        <v>4243</v>
      </c>
      <c r="F101" s="3257">
        <v>33.36</v>
      </c>
      <c r="G101" s="3245">
        <f t="shared" si="1"/>
        <v>8.1300000000000008</v>
      </c>
      <c r="H101" s="3258"/>
    </row>
    <row r="102" spans="1:8">
      <c r="A102" s="3228">
        <v>99</v>
      </c>
      <c r="B102" s="3229" t="s">
        <v>3144</v>
      </c>
      <c r="C102" s="3229" t="s">
        <v>3145</v>
      </c>
      <c r="D102" s="3229" t="s">
        <v>3146</v>
      </c>
      <c r="E102" s="3257" t="s">
        <v>4244</v>
      </c>
      <c r="F102" s="3257">
        <v>33.36</v>
      </c>
      <c r="G102" s="3245">
        <f t="shared" si="1"/>
        <v>8.1300000000000008</v>
      </c>
      <c r="H102" s="3258"/>
    </row>
    <row r="103" spans="1:8">
      <c r="A103" s="3228">
        <v>100</v>
      </c>
      <c r="B103" s="3229" t="s">
        <v>3144</v>
      </c>
      <c r="C103" s="3229" t="s">
        <v>3145</v>
      </c>
      <c r="D103" s="3229" t="s">
        <v>3146</v>
      </c>
      <c r="E103" s="3257" t="s">
        <v>4245</v>
      </c>
      <c r="F103" s="3257">
        <v>33.36</v>
      </c>
      <c r="G103" s="3245">
        <f t="shared" si="1"/>
        <v>8.1300000000000008</v>
      </c>
      <c r="H103" s="3258"/>
    </row>
    <row r="104" spans="1:8">
      <c r="A104" s="3228">
        <v>101</v>
      </c>
      <c r="B104" s="3229" t="s">
        <v>3144</v>
      </c>
      <c r="C104" s="3229" t="s">
        <v>3145</v>
      </c>
      <c r="D104" s="3229" t="s">
        <v>3146</v>
      </c>
      <c r="E104" s="3257" t="s">
        <v>4246</v>
      </c>
      <c r="F104" s="3257">
        <v>32.020000000000003</v>
      </c>
      <c r="G104" s="3245">
        <f t="shared" si="1"/>
        <v>7.81</v>
      </c>
      <c r="H104" s="3258"/>
    </row>
    <row r="105" spans="1:8">
      <c r="A105" s="3228">
        <v>102</v>
      </c>
      <c r="B105" s="3229" t="s">
        <v>3144</v>
      </c>
      <c r="C105" s="3229" t="s">
        <v>3145</v>
      </c>
      <c r="D105" s="3229" t="s">
        <v>3146</v>
      </c>
      <c r="E105" s="3257" t="s">
        <v>4247</v>
      </c>
      <c r="F105" s="3257">
        <v>32.020000000000003</v>
      </c>
      <c r="G105" s="3245">
        <f t="shared" si="1"/>
        <v>7.81</v>
      </c>
      <c r="H105" s="3258"/>
    </row>
    <row r="106" spans="1:8">
      <c r="A106" s="3228">
        <v>103</v>
      </c>
      <c r="B106" s="3229" t="s">
        <v>3144</v>
      </c>
      <c r="C106" s="3229" t="s">
        <v>3145</v>
      </c>
      <c r="D106" s="3229" t="s">
        <v>3146</v>
      </c>
      <c r="E106" s="3257" t="s">
        <v>4248</v>
      </c>
      <c r="F106" s="3257">
        <v>32.020000000000003</v>
      </c>
      <c r="G106" s="3245">
        <f t="shared" si="1"/>
        <v>7.81</v>
      </c>
      <c r="H106" s="3258"/>
    </row>
    <row r="107" spans="1:8">
      <c r="A107" s="3228">
        <v>104</v>
      </c>
      <c r="B107" s="3229" t="s">
        <v>3144</v>
      </c>
      <c r="C107" s="3229" t="s">
        <v>3145</v>
      </c>
      <c r="D107" s="3229" t="s">
        <v>3146</v>
      </c>
      <c r="E107" s="3257" t="s">
        <v>4249</v>
      </c>
      <c r="F107" s="3257">
        <v>32.020000000000003</v>
      </c>
      <c r="G107" s="3245">
        <f t="shared" si="1"/>
        <v>7.81</v>
      </c>
      <c r="H107" s="3258"/>
    </row>
    <row r="108" spans="1:8">
      <c r="A108" s="3228">
        <v>105</v>
      </c>
      <c r="B108" s="3229" t="s">
        <v>3144</v>
      </c>
      <c r="C108" s="3229" t="s">
        <v>3145</v>
      </c>
      <c r="D108" s="3229" t="s">
        <v>3146</v>
      </c>
      <c r="E108" s="3257" t="s">
        <v>4250</v>
      </c>
      <c r="F108" s="3257">
        <v>32.020000000000003</v>
      </c>
      <c r="G108" s="3245">
        <f t="shared" si="1"/>
        <v>7.81</v>
      </c>
      <c r="H108" s="3258"/>
    </row>
    <row r="109" spans="1:8">
      <c r="A109" s="3228">
        <v>106</v>
      </c>
      <c r="B109" s="3229" t="s">
        <v>3144</v>
      </c>
      <c r="C109" s="3229" t="s">
        <v>3145</v>
      </c>
      <c r="D109" s="3229" t="s">
        <v>3146</v>
      </c>
      <c r="E109" s="3257" t="s">
        <v>4251</v>
      </c>
      <c r="F109" s="3257">
        <v>32.020000000000003</v>
      </c>
      <c r="G109" s="3245">
        <f t="shared" si="1"/>
        <v>7.81</v>
      </c>
      <c r="H109" s="3258"/>
    </row>
    <row r="110" spans="1:8">
      <c r="A110" s="3228">
        <v>107</v>
      </c>
      <c r="B110" s="3229" t="s">
        <v>3144</v>
      </c>
      <c r="C110" s="3229" t="s">
        <v>3145</v>
      </c>
      <c r="D110" s="3229" t="s">
        <v>3146</v>
      </c>
      <c r="E110" s="3257" t="s">
        <v>4252</v>
      </c>
      <c r="F110" s="3257">
        <v>32.020000000000003</v>
      </c>
      <c r="G110" s="3245">
        <f t="shared" si="1"/>
        <v>7.81</v>
      </c>
      <c r="H110" s="3258"/>
    </row>
    <row r="111" spans="1:8">
      <c r="A111" s="3228">
        <v>108</v>
      </c>
      <c r="B111" s="3229" t="s">
        <v>3144</v>
      </c>
      <c r="C111" s="3229" t="s">
        <v>3145</v>
      </c>
      <c r="D111" s="3229" t="s">
        <v>3146</v>
      </c>
      <c r="E111" s="3257" t="s">
        <v>4253</v>
      </c>
      <c r="F111" s="3257">
        <v>32.020000000000003</v>
      </c>
      <c r="G111" s="3245">
        <f t="shared" si="1"/>
        <v>7.81</v>
      </c>
      <c r="H111" s="3258"/>
    </row>
    <row r="112" spans="1:8">
      <c r="A112" s="3228">
        <v>109</v>
      </c>
      <c r="B112" s="3229" t="s">
        <v>3144</v>
      </c>
      <c r="C112" s="3229" t="s">
        <v>3145</v>
      </c>
      <c r="D112" s="3229" t="s">
        <v>3146</v>
      </c>
      <c r="E112" s="3257" t="s">
        <v>4254</v>
      </c>
      <c r="F112" s="3257">
        <v>32.020000000000003</v>
      </c>
      <c r="G112" s="3245">
        <f t="shared" si="1"/>
        <v>7.81</v>
      </c>
      <c r="H112" s="3258"/>
    </row>
    <row r="113" spans="1:8">
      <c r="A113" s="3228">
        <v>110</v>
      </c>
      <c r="B113" s="3229" t="s">
        <v>3144</v>
      </c>
      <c r="C113" s="3229" t="s">
        <v>3145</v>
      </c>
      <c r="D113" s="3229" t="s">
        <v>3146</v>
      </c>
      <c r="E113" s="3257" t="s">
        <v>4255</v>
      </c>
      <c r="F113" s="3257">
        <v>32.020000000000003</v>
      </c>
      <c r="G113" s="3245">
        <f t="shared" si="1"/>
        <v>7.81</v>
      </c>
      <c r="H113" s="3258"/>
    </row>
    <row r="114" spans="1:8">
      <c r="A114" s="3228">
        <v>111</v>
      </c>
      <c r="B114" s="3229" t="s">
        <v>3144</v>
      </c>
      <c r="C114" s="3229" t="s">
        <v>3145</v>
      </c>
      <c r="D114" s="3229" t="s">
        <v>3146</v>
      </c>
      <c r="E114" s="3257" t="s">
        <v>4256</v>
      </c>
      <c r="F114" s="3257">
        <v>32.020000000000003</v>
      </c>
      <c r="G114" s="3245">
        <f t="shared" si="1"/>
        <v>7.81</v>
      </c>
      <c r="H114" s="3258"/>
    </row>
    <row r="115" spans="1:8">
      <c r="A115" s="3228">
        <v>112</v>
      </c>
      <c r="B115" s="3229" t="s">
        <v>3144</v>
      </c>
      <c r="C115" s="3229" t="s">
        <v>3145</v>
      </c>
      <c r="D115" s="3229" t="s">
        <v>3146</v>
      </c>
      <c r="E115" s="3257" t="s">
        <v>4257</v>
      </c>
      <c r="F115" s="3257">
        <v>32.020000000000003</v>
      </c>
      <c r="G115" s="3245">
        <f t="shared" si="1"/>
        <v>7.81</v>
      </c>
      <c r="H115" s="3258"/>
    </row>
    <row r="116" spans="1:8">
      <c r="A116" s="3228">
        <v>113</v>
      </c>
      <c r="B116" s="3229" t="s">
        <v>3144</v>
      </c>
      <c r="C116" s="3229" t="s">
        <v>3145</v>
      </c>
      <c r="D116" s="3229" t="s">
        <v>3146</v>
      </c>
      <c r="E116" s="3257" t="s">
        <v>4258</v>
      </c>
      <c r="F116" s="3257">
        <v>32.020000000000003</v>
      </c>
      <c r="G116" s="3245">
        <f t="shared" si="1"/>
        <v>7.81</v>
      </c>
      <c r="H116" s="3258"/>
    </row>
    <row r="117" spans="1:8">
      <c r="A117" s="3228">
        <v>114</v>
      </c>
      <c r="B117" s="3229" t="s">
        <v>3144</v>
      </c>
      <c r="C117" s="3229" t="s">
        <v>3145</v>
      </c>
      <c r="D117" s="3229" t="s">
        <v>3146</v>
      </c>
      <c r="E117" s="3257" t="s">
        <v>4259</v>
      </c>
      <c r="F117" s="3257">
        <v>32.020000000000003</v>
      </c>
      <c r="G117" s="3245">
        <f t="shared" si="1"/>
        <v>7.81</v>
      </c>
      <c r="H117" s="3258"/>
    </row>
    <row r="118" spans="1:8">
      <c r="A118" s="3228">
        <v>115</v>
      </c>
      <c r="B118" s="3229" t="s">
        <v>3144</v>
      </c>
      <c r="C118" s="3229" t="s">
        <v>3145</v>
      </c>
      <c r="D118" s="3229" t="s">
        <v>3146</v>
      </c>
      <c r="E118" s="3257" t="s">
        <v>4260</v>
      </c>
      <c r="F118" s="3257">
        <v>32.020000000000003</v>
      </c>
      <c r="G118" s="3245">
        <f t="shared" si="1"/>
        <v>7.81</v>
      </c>
      <c r="H118" s="3258"/>
    </row>
    <row r="119" spans="1:8">
      <c r="A119" s="3228">
        <v>116</v>
      </c>
      <c r="B119" s="3229" t="s">
        <v>3144</v>
      </c>
      <c r="C119" s="3229" t="s">
        <v>3145</v>
      </c>
      <c r="D119" s="3229" t="s">
        <v>3146</v>
      </c>
      <c r="E119" s="3257" t="s">
        <v>4261</v>
      </c>
      <c r="F119" s="3257">
        <v>32.020000000000003</v>
      </c>
      <c r="G119" s="3245">
        <f t="shared" si="1"/>
        <v>7.81</v>
      </c>
      <c r="H119" s="3258"/>
    </row>
    <row r="120" spans="1:8">
      <c r="A120" s="3228">
        <v>117</v>
      </c>
      <c r="B120" s="3229" t="s">
        <v>3144</v>
      </c>
      <c r="C120" s="3229" t="s">
        <v>3145</v>
      </c>
      <c r="D120" s="3229" t="s">
        <v>3146</v>
      </c>
      <c r="E120" s="3257" t="s">
        <v>4262</v>
      </c>
      <c r="F120" s="3257">
        <v>32.020000000000003</v>
      </c>
      <c r="G120" s="3245">
        <f t="shared" si="1"/>
        <v>7.81</v>
      </c>
      <c r="H120" s="3258"/>
    </row>
    <row r="121" spans="1:8">
      <c r="A121" s="3228">
        <v>118</v>
      </c>
      <c r="B121" s="3229" t="s">
        <v>3144</v>
      </c>
      <c r="C121" s="3229" t="s">
        <v>3145</v>
      </c>
      <c r="D121" s="3229" t="s">
        <v>3146</v>
      </c>
      <c r="E121" s="3257" t="s">
        <v>4263</v>
      </c>
      <c r="F121" s="3257">
        <v>32.020000000000003</v>
      </c>
      <c r="G121" s="3245">
        <f t="shared" si="1"/>
        <v>7.81</v>
      </c>
      <c r="H121" s="3258"/>
    </row>
    <row r="122" spans="1:8">
      <c r="A122" s="3228">
        <v>119</v>
      </c>
      <c r="B122" s="3229" t="s">
        <v>3144</v>
      </c>
      <c r="C122" s="3229" t="s">
        <v>3145</v>
      </c>
      <c r="D122" s="3229" t="s">
        <v>3146</v>
      </c>
      <c r="E122" s="3257" t="s">
        <v>4264</v>
      </c>
      <c r="F122" s="3257">
        <v>32.020000000000003</v>
      </c>
      <c r="G122" s="3245">
        <f t="shared" si="1"/>
        <v>7.81</v>
      </c>
      <c r="H122" s="3258"/>
    </row>
    <row r="123" spans="1:8">
      <c r="A123" s="3228">
        <v>120</v>
      </c>
      <c r="B123" s="3229" t="s">
        <v>3144</v>
      </c>
      <c r="C123" s="3229" t="s">
        <v>3145</v>
      </c>
      <c r="D123" s="3229" t="s">
        <v>3146</v>
      </c>
      <c r="E123" s="3257" t="s">
        <v>4265</v>
      </c>
      <c r="F123" s="3257">
        <v>32.020000000000003</v>
      </c>
      <c r="G123" s="3245">
        <f t="shared" si="1"/>
        <v>7.81</v>
      </c>
      <c r="H123" s="3258"/>
    </row>
    <row r="124" spans="1:8">
      <c r="A124" s="3228">
        <v>121</v>
      </c>
      <c r="B124" s="3229" t="s">
        <v>3144</v>
      </c>
      <c r="C124" s="3229" t="s">
        <v>3145</v>
      </c>
      <c r="D124" s="3229" t="s">
        <v>3146</v>
      </c>
      <c r="E124" s="3257" t="s">
        <v>4266</v>
      </c>
      <c r="F124" s="3257">
        <v>32.020000000000003</v>
      </c>
      <c r="G124" s="3245">
        <f t="shared" si="1"/>
        <v>7.81</v>
      </c>
      <c r="H124" s="3258"/>
    </row>
    <row r="125" spans="1:8">
      <c r="A125" s="3228">
        <v>122</v>
      </c>
      <c r="B125" s="3229" t="s">
        <v>3144</v>
      </c>
      <c r="C125" s="3229" t="s">
        <v>3145</v>
      </c>
      <c r="D125" s="3229" t="s">
        <v>3146</v>
      </c>
      <c r="E125" s="3257" t="s">
        <v>4267</v>
      </c>
      <c r="F125" s="3257">
        <v>32.020000000000003</v>
      </c>
      <c r="G125" s="3245">
        <f t="shared" si="1"/>
        <v>7.81</v>
      </c>
      <c r="H125" s="3258"/>
    </row>
    <row r="126" spans="1:8">
      <c r="A126" s="3228">
        <v>123</v>
      </c>
      <c r="B126" s="3229" t="s">
        <v>3144</v>
      </c>
      <c r="C126" s="3229" t="s">
        <v>3145</v>
      </c>
      <c r="D126" s="3229" t="s">
        <v>3146</v>
      </c>
      <c r="E126" s="3257" t="s">
        <v>4268</v>
      </c>
      <c r="F126" s="3257">
        <v>32.020000000000003</v>
      </c>
      <c r="G126" s="3245">
        <f t="shared" si="1"/>
        <v>7.81</v>
      </c>
      <c r="H126" s="3258"/>
    </row>
    <row r="127" spans="1:8">
      <c r="A127" s="3228">
        <v>124</v>
      </c>
      <c r="B127" s="3229" t="s">
        <v>3144</v>
      </c>
      <c r="C127" s="3229" t="s">
        <v>3145</v>
      </c>
      <c r="D127" s="3229" t="s">
        <v>3146</v>
      </c>
      <c r="E127" s="3257" t="s">
        <v>4269</v>
      </c>
      <c r="F127" s="3257">
        <v>32.020000000000003</v>
      </c>
      <c r="G127" s="3245">
        <f t="shared" si="1"/>
        <v>7.81</v>
      </c>
      <c r="H127" s="3258"/>
    </row>
    <row r="128" spans="1:8">
      <c r="A128" s="3228">
        <v>125</v>
      </c>
      <c r="B128" s="3229" t="s">
        <v>3144</v>
      </c>
      <c r="C128" s="3229" t="s">
        <v>3145</v>
      </c>
      <c r="D128" s="3229" t="s">
        <v>3146</v>
      </c>
      <c r="E128" s="3257" t="s">
        <v>4270</v>
      </c>
      <c r="F128" s="3257">
        <v>32.020000000000003</v>
      </c>
      <c r="G128" s="3245">
        <f t="shared" si="1"/>
        <v>7.81</v>
      </c>
      <c r="H128" s="3258"/>
    </row>
    <row r="129" spans="1:8">
      <c r="A129" s="3228">
        <v>126</v>
      </c>
      <c r="B129" s="3229" t="s">
        <v>3144</v>
      </c>
      <c r="C129" s="3229" t="s">
        <v>3145</v>
      </c>
      <c r="D129" s="3229" t="s">
        <v>3146</v>
      </c>
      <c r="E129" s="3257" t="s">
        <v>4271</v>
      </c>
      <c r="F129" s="3257">
        <v>32.020000000000003</v>
      </c>
      <c r="G129" s="3245">
        <f t="shared" si="1"/>
        <v>7.81</v>
      </c>
      <c r="H129" s="3258"/>
    </row>
    <row r="130" spans="1:8">
      <c r="A130" s="3228">
        <v>127</v>
      </c>
      <c r="B130" s="3229" t="s">
        <v>3144</v>
      </c>
      <c r="C130" s="3229" t="s">
        <v>3145</v>
      </c>
      <c r="D130" s="3229" t="s">
        <v>3146</v>
      </c>
      <c r="E130" s="3257" t="s">
        <v>4272</v>
      </c>
      <c r="F130" s="3257">
        <v>32.020000000000003</v>
      </c>
      <c r="G130" s="3245">
        <f t="shared" si="1"/>
        <v>7.81</v>
      </c>
      <c r="H130" s="3258"/>
    </row>
    <row r="131" spans="1:8">
      <c r="A131" s="3228">
        <v>128</v>
      </c>
      <c r="B131" s="3229" t="s">
        <v>3144</v>
      </c>
      <c r="C131" s="3229" t="s">
        <v>3145</v>
      </c>
      <c r="D131" s="3229" t="s">
        <v>3146</v>
      </c>
      <c r="E131" s="3257" t="s">
        <v>4273</v>
      </c>
      <c r="F131" s="3257">
        <v>32.020000000000003</v>
      </c>
      <c r="G131" s="3245">
        <f t="shared" si="1"/>
        <v>7.81</v>
      </c>
      <c r="H131" s="3258"/>
    </row>
    <row r="132" spans="1:8">
      <c r="A132" s="3228">
        <v>129</v>
      </c>
      <c r="B132" s="3229" t="s">
        <v>3144</v>
      </c>
      <c r="C132" s="3229" t="s">
        <v>3145</v>
      </c>
      <c r="D132" s="3229" t="s">
        <v>3146</v>
      </c>
      <c r="E132" s="3257" t="s">
        <v>4274</v>
      </c>
      <c r="F132" s="3257">
        <v>32.020000000000003</v>
      </c>
      <c r="G132" s="3245">
        <f t="shared" ref="G132:G195" si="2">ROUND(F132/$C$909*$D$909,2)</f>
        <v>7.81</v>
      </c>
      <c r="H132" s="3258"/>
    </row>
    <row r="133" spans="1:8">
      <c r="A133" s="3228">
        <v>130</v>
      </c>
      <c r="B133" s="3229" t="s">
        <v>3144</v>
      </c>
      <c r="C133" s="3229" t="s">
        <v>3145</v>
      </c>
      <c r="D133" s="3229" t="s">
        <v>3146</v>
      </c>
      <c r="E133" s="3257" t="s">
        <v>4275</v>
      </c>
      <c r="F133" s="3257">
        <v>32.020000000000003</v>
      </c>
      <c r="G133" s="3245">
        <f t="shared" si="2"/>
        <v>7.81</v>
      </c>
      <c r="H133" s="3258"/>
    </row>
    <row r="134" spans="1:8">
      <c r="A134" s="3228">
        <v>131</v>
      </c>
      <c r="B134" s="3229" t="s">
        <v>3144</v>
      </c>
      <c r="C134" s="3229" t="s">
        <v>3145</v>
      </c>
      <c r="D134" s="3229" t="s">
        <v>3146</v>
      </c>
      <c r="E134" s="3257" t="s">
        <v>4276</v>
      </c>
      <c r="F134" s="3257">
        <v>32.020000000000003</v>
      </c>
      <c r="G134" s="3245">
        <f t="shared" si="2"/>
        <v>7.81</v>
      </c>
      <c r="H134" s="3258"/>
    </row>
    <row r="135" spans="1:8">
      <c r="A135" s="3228">
        <v>132</v>
      </c>
      <c r="B135" s="3229" t="s">
        <v>3144</v>
      </c>
      <c r="C135" s="3229" t="s">
        <v>3145</v>
      </c>
      <c r="D135" s="3229" t="s">
        <v>3146</v>
      </c>
      <c r="E135" s="3257" t="s">
        <v>4277</v>
      </c>
      <c r="F135" s="3257">
        <v>32.020000000000003</v>
      </c>
      <c r="G135" s="3245">
        <f t="shared" si="2"/>
        <v>7.81</v>
      </c>
      <c r="H135" s="3258"/>
    </row>
    <row r="136" spans="1:8">
      <c r="A136" s="3228">
        <v>133</v>
      </c>
      <c r="B136" s="3229" t="s">
        <v>3144</v>
      </c>
      <c r="C136" s="3229" t="s">
        <v>3145</v>
      </c>
      <c r="D136" s="3229" t="s">
        <v>3146</v>
      </c>
      <c r="E136" s="3257" t="s">
        <v>4278</v>
      </c>
      <c r="F136" s="3257">
        <v>32.020000000000003</v>
      </c>
      <c r="G136" s="3245">
        <f t="shared" si="2"/>
        <v>7.81</v>
      </c>
      <c r="H136" s="3258"/>
    </row>
    <row r="137" spans="1:8">
      <c r="A137" s="3228">
        <v>134</v>
      </c>
      <c r="B137" s="3229" t="s">
        <v>3144</v>
      </c>
      <c r="C137" s="3229" t="s">
        <v>3145</v>
      </c>
      <c r="D137" s="3229" t="s">
        <v>3146</v>
      </c>
      <c r="E137" s="3257" t="s">
        <v>4279</v>
      </c>
      <c r="F137" s="3257">
        <v>32.020000000000003</v>
      </c>
      <c r="G137" s="3245">
        <f t="shared" si="2"/>
        <v>7.81</v>
      </c>
      <c r="H137" s="3258"/>
    </row>
    <row r="138" spans="1:8">
      <c r="A138" s="3228">
        <v>135</v>
      </c>
      <c r="B138" s="3229" t="s">
        <v>3144</v>
      </c>
      <c r="C138" s="3229" t="s">
        <v>3145</v>
      </c>
      <c r="D138" s="3229" t="s">
        <v>3146</v>
      </c>
      <c r="E138" s="3257" t="s">
        <v>4280</v>
      </c>
      <c r="F138" s="3257">
        <v>32.020000000000003</v>
      </c>
      <c r="G138" s="3245">
        <f t="shared" si="2"/>
        <v>7.81</v>
      </c>
      <c r="H138" s="3258"/>
    </row>
    <row r="139" spans="1:8">
      <c r="A139" s="3228">
        <v>136</v>
      </c>
      <c r="B139" s="3229" t="s">
        <v>3147</v>
      </c>
      <c r="C139" s="3229" t="s">
        <v>3148</v>
      </c>
      <c r="D139" s="3229" t="s">
        <v>3149</v>
      </c>
      <c r="E139" s="3257" t="s">
        <v>4281</v>
      </c>
      <c r="F139" s="3257">
        <v>32.020000000000003</v>
      </c>
      <c r="G139" s="3245">
        <f t="shared" si="2"/>
        <v>7.81</v>
      </c>
      <c r="H139" s="3258"/>
    </row>
    <row r="140" spans="1:8">
      <c r="A140" s="3228">
        <v>137</v>
      </c>
      <c r="B140" s="3229" t="s">
        <v>3147</v>
      </c>
      <c r="C140" s="3229" t="s">
        <v>3148</v>
      </c>
      <c r="D140" s="3229" t="s">
        <v>3149</v>
      </c>
      <c r="E140" s="3257" t="s">
        <v>4282</v>
      </c>
      <c r="F140" s="3257">
        <v>32.020000000000003</v>
      </c>
      <c r="G140" s="3245">
        <f t="shared" si="2"/>
        <v>7.81</v>
      </c>
      <c r="H140" s="3258"/>
    </row>
    <row r="141" spans="1:8">
      <c r="A141" s="3228">
        <v>138</v>
      </c>
      <c r="B141" s="3229" t="s">
        <v>3147</v>
      </c>
      <c r="C141" s="3229" t="s">
        <v>3148</v>
      </c>
      <c r="D141" s="3229" t="s">
        <v>3149</v>
      </c>
      <c r="E141" s="3257" t="s">
        <v>4283</v>
      </c>
      <c r="F141" s="3257">
        <v>32.020000000000003</v>
      </c>
      <c r="G141" s="3245">
        <f t="shared" si="2"/>
        <v>7.81</v>
      </c>
      <c r="H141" s="3258"/>
    </row>
    <row r="142" spans="1:8">
      <c r="A142" s="3228">
        <v>139</v>
      </c>
      <c r="B142" s="3229" t="s">
        <v>3147</v>
      </c>
      <c r="C142" s="3229" t="s">
        <v>3148</v>
      </c>
      <c r="D142" s="3229" t="s">
        <v>3149</v>
      </c>
      <c r="E142" s="3257" t="s">
        <v>4284</v>
      </c>
      <c r="F142" s="3257">
        <v>32.020000000000003</v>
      </c>
      <c r="G142" s="3245">
        <f t="shared" si="2"/>
        <v>7.81</v>
      </c>
      <c r="H142" s="3258"/>
    </row>
    <row r="143" spans="1:8">
      <c r="A143" s="3228">
        <v>140</v>
      </c>
      <c r="B143" s="3229" t="s">
        <v>3147</v>
      </c>
      <c r="C143" s="3229" t="s">
        <v>3148</v>
      </c>
      <c r="D143" s="3229" t="s">
        <v>3149</v>
      </c>
      <c r="E143" s="3257" t="s">
        <v>4285</v>
      </c>
      <c r="F143" s="3257">
        <v>32.020000000000003</v>
      </c>
      <c r="G143" s="3245">
        <f t="shared" si="2"/>
        <v>7.81</v>
      </c>
      <c r="H143" s="3258"/>
    </row>
    <row r="144" spans="1:8">
      <c r="A144" s="3228">
        <v>141</v>
      </c>
      <c r="B144" s="3229" t="s">
        <v>3147</v>
      </c>
      <c r="C144" s="3229" t="s">
        <v>3148</v>
      </c>
      <c r="D144" s="3229" t="s">
        <v>3149</v>
      </c>
      <c r="E144" s="3257" t="s">
        <v>4286</v>
      </c>
      <c r="F144" s="3257">
        <v>32.020000000000003</v>
      </c>
      <c r="G144" s="3245">
        <f t="shared" si="2"/>
        <v>7.81</v>
      </c>
      <c r="H144" s="3258"/>
    </row>
    <row r="145" spans="1:8">
      <c r="A145" s="3228">
        <v>142</v>
      </c>
      <c r="B145" s="3229" t="s">
        <v>3147</v>
      </c>
      <c r="C145" s="3229" t="s">
        <v>3148</v>
      </c>
      <c r="D145" s="3229" t="s">
        <v>3149</v>
      </c>
      <c r="E145" s="3257" t="s">
        <v>4287</v>
      </c>
      <c r="F145" s="3257">
        <v>32.020000000000003</v>
      </c>
      <c r="G145" s="3245">
        <f t="shared" si="2"/>
        <v>7.81</v>
      </c>
      <c r="H145" s="3258"/>
    </row>
    <row r="146" spans="1:8">
      <c r="A146" s="3228">
        <v>143</v>
      </c>
      <c r="B146" s="3229" t="s">
        <v>3147</v>
      </c>
      <c r="C146" s="3229" t="s">
        <v>3148</v>
      </c>
      <c r="D146" s="3229" t="s">
        <v>3149</v>
      </c>
      <c r="E146" s="3257" t="s">
        <v>4288</v>
      </c>
      <c r="F146" s="3257">
        <v>32.020000000000003</v>
      </c>
      <c r="G146" s="3245">
        <f t="shared" si="2"/>
        <v>7.81</v>
      </c>
      <c r="H146" s="3258"/>
    </row>
    <row r="147" spans="1:8">
      <c r="A147" s="3228">
        <v>144</v>
      </c>
      <c r="B147" s="3229" t="s">
        <v>3147</v>
      </c>
      <c r="C147" s="3229" t="s">
        <v>3148</v>
      </c>
      <c r="D147" s="3229" t="s">
        <v>3149</v>
      </c>
      <c r="E147" s="3257" t="s">
        <v>4289</v>
      </c>
      <c r="F147" s="3257">
        <v>32.020000000000003</v>
      </c>
      <c r="G147" s="3245">
        <f t="shared" si="2"/>
        <v>7.81</v>
      </c>
      <c r="H147" s="3258"/>
    </row>
    <row r="148" spans="1:8">
      <c r="A148" s="3228">
        <v>145</v>
      </c>
      <c r="B148" s="3229" t="s">
        <v>3147</v>
      </c>
      <c r="C148" s="3229" t="s">
        <v>3148</v>
      </c>
      <c r="D148" s="3229" t="s">
        <v>3149</v>
      </c>
      <c r="E148" s="3257" t="s">
        <v>4290</v>
      </c>
      <c r="F148" s="3257">
        <v>32.020000000000003</v>
      </c>
      <c r="G148" s="3245">
        <f t="shared" si="2"/>
        <v>7.81</v>
      </c>
      <c r="H148" s="3258"/>
    </row>
    <row r="149" spans="1:8">
      <c r="A149" s="3228">
        <v>146</v>
      </c>
      <c r="B149" s="3229" t="s">
        <v>3147</v>
      </c>
      <c r="C149" s="3229" t="s">
        <v>3148</v>
      </c>
      <c r="D149" s="3229" t="s">
        <v>3149</v>
      </c>
      <c r="E149" s="3257" t="s">
        <v>4291</v>
      </c>
      <c r="F149" s="3257">
        <v>32.020000000000003</v>
      </c>
      <c r="G149" s="3245">
        <f t="shared" si="2"/>
        <v>7.81</v>
      </c>
      <c r="H149" s="3258"/>
    </row>
    <row r="150" spans="1:8">
      <c r="A150" s="3228">
        <v>147</v>
      </c>
      <c r="B150" s="3229" t="s">
        <v>3147</v>
      </c>
      <c r="C150" s="3229" t="s">
        <v>3148</v>
      </c>
      <c r="D150" s="3229" t="s">
        <v>3149</v>
      </c>
      <c r="E150" s="3257" t="s">
        <v>4292</v>
      </c>
      <c r="F150" s="3257">
        <v>32.020000000000003</v>
      </c>
      <c r="G150" s="3245">
        <f t="shared" si="2"/>
        <v>7.81</v>
      </c>
      <c r="H150" s="3258"/>
    </row>
    <row r="151" spans="1:8">
      <c r="A151" s="3228">
        <v>148</v>
      </c>
      <c r="B151" s="3229" t="s">
        <v>3147</v>
      </c>
      <c r="C151" s="3229" t="s">
        <v>3148</v>
      </c>
      <c r="D151" s="3229" t="s">
        <v>3149</v>
      </c>
      <c r="E151" s="3257" t="s">
        <v>4293</v>
      </c>
      <c r="F151" s="3257">
        <v>32.020000000000003</v>
      </c>
      <c r="G151" s="3245">
        <f t="shared" si="2"/>
        <v>7.81</v>
      </c>
      <c r="H151" s="3258"/>
    </row>
    <row r="152" spans="1:8">
      <c r="A152" s="3228">
        <v>149</v>
      </c>
      <c r="B152" s="3229" t="s">
        <v>3147</v>
      </c>
      <c r="C152" s="3229" t="s">
        <v>3148</v>
      </c>
      <c r="D152" s="3229" t="s">
        <v>3149</v>
      </c>
      <c r="E152" s="3257" t="s">
        <v>4294</v>
      </c>
      <c r="F152" s="3257">
        <v>32.020000000000003</v>
      </c>
      <c r="G152" s="3245">
        <f t="shared" si="2"/>
        <v>7.81</v>
      </c>
      <c r="H152" s="3258"/>
    </row>
    <row r="153" spans="1:8">
      <c r="A153" s="3228">
        <v>150</v>
      </c>
      <c r="B153" s="3229" t="s">
        <v>3147</v>
      </c>
      <c r="C153" s="3229" t="s">
        <v>3148</v>
      </c>
      <c r="D153" s="3229" t="s">
        <v>3149</v>
      </c>
      <c r="E153" s="3257" t="s">
        <v>4295</v>
      </c>
      <c r="F153" s="3257">
        <v>33.36</v>
      </c>
      <c r="G153" s="3245">
        <f t="shared" si="2"/>
        <v>8.1300000000000008</v>
      </c>
      <c r="H153" s="3258"/>
    </row>
    <row r="154" spans="1:8">
      <c r="A154" s="3228">
        <v>151</v>
      </c>
      <c r="B154" s="3229" t="s">
        <v>3147</v>
      </c>
      <c r="C154" s="3229" t="s">
        <v>3148</v>
      </c>
      <c r="D154" s="3229" t="s">
        <v>3149</v>
      </c>
      <c r="E154" s="3257" t="s">
        <v>4296</v>
      </c>
      <c r="F154" s="3257">
        <v>33.36</v>
      </c>
      <c r="G154" s="3245">
        <f t="shared" si="2"/>
        <v>8.1300000000000008</v>
      </c>
      <c r="H154" s="3258"/>
    </row>
    <row r="155" spans="1:8">
      <c r="A155" s="3228">
        <v>152</v>
      </c>
      <c r="B155" s="3229" t="s">
        <v>3147</v>
      </c>
      <c r="C155" s="3229" t="s">
        <v>3148</v>
      </c>
      <c r="D155" s="3229" t="s">
        <v>3149</v>
      </c>
      <c r="E155" s="3257" t="s">
        <v>4297</v>
      </c>
      <c r="F155" s="3257">
        <v>33.36</v>
      </c>
      <c r="G155" s="3245">
        <f t="shared" si="2"/>
        <v>8.1300000000000008</v>
      </c>
      <c r="H155" s="3258"/>
    </row>
    <row r="156" spans="1:8">
      <c r="A156" s="3228">
        <v>153</v>
      </c>
      <c r="B156" s="3229" t="s">
        <v>3147</v>
      </c>
      <c r="C156" s="3229" t="s">
        <v>3148</v>
      </c>
      <c r="D156" s="3229" t="s">
        <v>3149</v>
      </c>
      <c r="E156" s="3257" t="s">
        <v>4298</v>
      </c>
      <c r="F156" s="3257">
        <v>32.020000000000003</v>
      </c>
      <c r="G156" s="3245">
        <f t="shared" si="2"/>
        <v>7.81</v>
      </c>
      <c r="H156" s="3258"/>
    </row>
    <row r="157" spans="1:8">
      <c r="A157" s="3228">
        <v>154</v>
      </c>
      <c r="B157" s="3229" t="s">
        <v>3147</v>
      </c>
      <c r="C157" s="3229" t="s">
        <v>3148</v>
      </c>
      <c r="D157" s="3229" t="s">
        <v>3149</v>
      </c>
      <c r="E157" s="3257" t="s">
        <v>4299</v>
      </c>
      <c r="F157" s="3257">
        <v>32.020000000000003</v>
      </c>
      <c r="G157" s="3245">
        <f t="shared" si="2"/>
        <v>7.81</v>
      </c>
      <c r="H157" s="3258"/>
    </row>
    <row r="158" spans="1:8">
      <c r="A158" s="3228">
        <v>155</v>
      </c>
      <c r="B158" s="3229" t="s">
        <v>3147</v>
      </c>
      <c r="C158" s="3229" t="s">
        <v>3148</v>
      </c>
      <c r="D158" s="3229" t="s">
        <v>3149</v>
      </c>
      <c r="E158" s="3257" t="s">
        <v>4300</v>
      </c>
      <c r="F158" s="3257">
        <v>32.020000000000003</v>
      </c>
      <c r="G158" s="3245">
        <f t="shared" si="2"/>
        <v>7.81</v>
      </c>
      <c r="H158" s="3258"/>
    </row>
    <row r="159" spans="1:8">
      <c r="A159" s="3228">
        <v>156</v>
      </c>
      <c r="B159" s="3229" t="s">
        <v>3147</v>
      </c>
      <c r="C159" s="3229" t="s">
        <v>3148</v>
      </c>
      <c r="D159" s="3229" t="s">
        <v>3149</v>
      </c>
      <c r="E159" s="3257" t="s">
        <v>4301</v>
      </c>
      <c r="F159" s="3257">
        <v>32.020000000000003</v>
      </c>
      <c r="G159" s="3245">
        <f t="shared" si="2"/>
        <v>7.81</v>
      </c>
      <c r="H159" s="3258"/>
    </row>
    <row r="160" spans="1:8">
      <c r="A160" s="3228">
        <v>157</v>
      </c>
      <c r="B160" s="3229" t="s">
        <v>3147</v>
      </c>
      <c r="C160" s="3229" t="s">
        <v>3148</v>
      </c>
      <c r="D160" s="3229" t="s">
        <v>3149</v>
      </c>
      <c r="E160" s="3257" t="s">
        <v>4302</v>
      </c>
      <c r="F160" s="3257">
        <v>32.020000000000003</v>
      </c>
      <c r="G160" s="3245">
        <f t="shared" si="2"/>
        <v>7.81</v>
      </c>
      <c r="H160" s="3258"/>
    </row>
    <row r="161" spans="1:8">
      <c r="A161" s="3228">
        <v>158</v>
      </c>
      <c r="B161" s="3229" t="s">
        <v>3147</v>
      </c>
      <c r="C161" s="3229" t="s">
        <v>3148</v>
      </c>
      <c r="D161" s="3229" t="s">
        <v>3149</v>
      </c>
      <c r="E161" s="3257" t="s">
        <v>4303</v>
      </c>
      <c r="F161" s="3257">
        <v>32.020000000000003</v>
      </c>
      <c r="G161" s="3245">
        <f t="shared" si="2"/>
        <v>7.81</v>
      </c>
      <c r="H161" s="3258"/>
    </row>
    <row r="162" spans="1:8">
      <c r="A162" s="3228">
        <v>159</v>
      </c>
      <c r="B162" s="3229" t="s">
        <v>3147</v>
      </c>
      <c r="C162" s="3229" t="s">
        <v>3148</v>
      </c>
      <c r="D162" s="3229" t="s">
        <v>3149</v>
      </c>
      <c r="E162" s="3257" t="s">
        <v>4304</v>
      </c>
      <c r="F162" s="3257">
        <v>32.020000000000003</v>
      </c>
      <c r="G162" s="3245">
        <f t="shared" si="2"/>
        <v>7.81</v>
      </c>
      <c r="H162" s="3258"/>
    </row>
    <row r="163" spans="1:8">
      <c r="A163" s="3228">
        <v>160</v>
      </c>
      <c r="B163" s="3229" t="s">
        <v>3147</v>
      </c>
      <c r="C163" s="3229" t="s">
        <v>3148</v>
      </c>
      <c r="D163" s="3229" t="s">
        <v>3149</v>
      </c>
      <c r="E163" s="3257" t="s">
        <v>4305</v>
      </c>
      <c r="F163" s="3257">
        <v>32.020000000000003</v>
      </c>
      <c r="G163" s="3245">
        <f t="shared" si="2"/>
        <v>7.81</v>
      </c>
      <c r="H163" s="3258"/>
    </row>
    <row r="164" spans="1:8">
      <c r="A164" s="3228">
        <v>161</v>
      </c>
      <c r="B164" s="3229" t="s">
        <v>3147</v>
      </c>
      <c r="C164" s="3229" t="s">
        <v>3148</v>
      </c>
      <c r="D164" s="3229" t="s">
        <v>3149</v>
      </c>
      <c r="E164" s="3257" t="s">
        <v>4306</v>
      </c>
      <c r="F164" s="3257">
        <v>32.020000000000003</v>
      </c>
      <c r="G164" s="3245">
        <f t="shared" si="2"/>
        <v>7.81</v>
      </c>
      <c r="H164" s="3258"/>
    </row>
    <row r="165" spans="1:8">
      <c r="A165" s="3228">
        <v>162</v>
      </c>
      <c r="B165" s="3229" t="s">
        <v>3147</v>
      </c>
      <c r="C165" s="3229" t="s">
        <v>3148</v>
      </c>
      <c r="D165" s="3229" t="s">
        <v>3149</v>
      </c>
      <c r="E165" s="3257" t="s">
        <v>4307</v>
      </c>
      <c r="F165" s="3257">
        <v>32.020000000000003</v>
      </c>
      <c r="G165" s="3245">
        <f t="shared" si="2"/>
        <v>7.81</v>
      </c>
      <c r="H165" s="3258"/>
    </row>
    <row r="166" spans="1:8">
      <c r="A166" s="3228">
        <v>163</v>
      </c>
      <c r="B166" s="3229" t="s">
        <v>3147</v>
      </c>
      <c r="C166" s="3229" t="s">
        <v>3148</v>
      </c>
      <c r="D166" s="3229" t="s">
        <v>3149</v>
      </c>
      <c r="E166" s="3257" t="s">
        <v>4308</v>
      </c>
      <c r="F166" s="3257">
        <v>32.020000000000003</v>
      </c>
      <c r="G166" s="3245">
        <f t="shared" si="2"/>
        <v>7.81</v>
      </c>
      <c r="H166" s="3258"/>
    </row>
    <row r="167" spans="1:8">
      <c r="A167" s="3228">
        <v>164</v>
      </c>
      <c r="B167" s="3229" t="s">
        <v>3147</v>
      </c>
      <c r="C167" s="3229" t="s">
        <v>3148</v>
      </c>
      <c r="D167" s="3229" t="s">
        <v>3149</v>
      </c>
      <c r="E167" s="3257" t="s">
        <v>4309</v>
      </c>
      <c r="F167" s="3257">
        <v>32.020000000000003</v>
      </c>
      <c r="G167" s="3245">
        <f t="shared" si="2"/>
        <v>7.81</v>
      </c>
      <c r="H167" s="3258"/>
    </row>
    <row r="168" spans="1:8">
      <c r="A168" s="3228">
        <v>165</v>
      </c>
      <c r="B168" s="3229" t="s">
        <v>3147</v>
      </c>
      <c r="C168" s="3229" t="s">
        <v>3148</v>
      </c>
      <c r="D168" s="3229" t="s">
        <v>3149</v>
      </c>
      <c r="E168" s="3257" t="s">
        <v>4310</v>
      </c>
      <c r="F168" s="3257">
        <v>32.020000000000003</v>
      </c>
      <c r="G168" s="3245">
        <f t="shared" si="2"/>
        <v>7.81</v>
      </c>
      <c r="H168" s="3258"/>
    </row>
    <row r="169" spans="1:8">
      <c r="A169" s="3228">
        <v>166</v>
      </c>
      <c r="B169" s="3229" t="s">
        <v>3147</v>
      </c>
      <c r="C169" s="3229" t="s">
        <v>3148</v>
      </c>
      <c r="D169" s="3229" t="s">
        <v>3149</v>
      </c>
      <c r="E169" s="3257" t="s">
        <v>4311</v>
      </c>
      <c r="F169" s="3257">
        <v>32.020000000000003</v>
      </c>
      <c r="G169" s="3245">
        <f t="shared" si="2"/>
        <v>7.81</v>
      </c>
      <c r="H169" s="3258"/>
    </row>
    <row r="170" spans="1:8">
      <c r="A170" s="3228">
        <v>167</v>
      </c>
      <c r="B170" s="3229" t="s">
        <v>3147</v>
      </c>
      <c r="C170" s="3229" t="s">
        <v>3148</v>
      </c>
      <c r="D170" s="3229" t="s">
        <v>3149</v>
      </c>
      <c r="E170" s="3257" t="s">
        <v>4312</v>
      </c>
      <c r="F170" s="3257">
        <v>32.020000000000003</v>
      </c>
      <c r="G170" s="3245">
        <f t="shared" si="2"/>
        <v>7.81</v>
      </c>
      <c r="H170" s="3258"/>
    </row>
    <row r="171" spans="1:8">
      <c r="A171" s="3228">
        <v>168</v>
      </c>
      <c r="B171" s="3229" t="s">
        <v>3147</v>
      </c>
      <c r="C171" s="3229" t="s">
        <v>3148</v>
      </c>
      <c r="D171" s="3229" t="s">
        <v>3149</v>
      </c>
      <c r="E171" s="3257" t="s">
        <v>4313</v>
      </c>
      <c r="F171" s="3257">
        <v>32.020000000000003</v>
      </c>
      <c r="G171" s="3245">
        <f t="shared" si="2"/>
        <v>7.81</v>
      </c>
      <c r="H171" s="3258"/>
    </row>
    <row r="172" spans="1:8">
      <c r="A172" s="3228">
        <v>169</v>
      </c>
      <c r="B172" s="3229" t="s">
        <v>3147</v>
      </c>
      <c r="C172" s="3229" t="s">
        <v>3148</v>
      </c>
      <c r="D172" s="3229" t="s">
        <v>3149</v>
      </c>
      <c r="E172" s="3257" t="s">
        <v>4314</v>
      </c>
      <c r="F172" s="3257">
        <v>32.020000000000003</v>
      </c>
      <c r="G172" s="3245">
        <f t="shared" si="2"/>
        <v>7.81</v>
      </c>
      <c r="H172" s="3258"/>
    </row>
    <row r="173" spans="1:8">
      <c r="A173" s="3228">
        <v>170</v>
      </c>
      <c r="B173" s="3229" t="s">
        <v>3147</v>
      </c>
      <c r="C173" s="3229" t="s">
        <v>3148</v>
      </c>
      <c r="D173" s="3229" t="s">
        <v>3149</v>
      </c>
      <c r="E173" s="3257" t="s">
        <v>4315</v>
      </c>
      <c r="F173" s="3257">
        <v>32.020000000000003</v>
      </c>
      <c r="G173" s="3245">
        <f t="shared" si="2"/>
        <v>7.81</v>
      </c>
      <c r="H173" s="3258"/>
    </row>
    <row r="174" spans="1:8">
      <c r="A174" s="3228">
        <v>171</v>
      </c>
      <c r="B174" s="3229" t="s">
        <v>3147</v>
      </c>
      <c r="C174" s="3229" t="s">
        <v>3148</v>
      </c>
      <c r="D174" s="3229" t="s">
        <v>3149</v>
      </c>
      <c r="E174" s="3257" t="s">
        <v>4316</v>
      </c>
      <c r="F174" s="3257">
        <v>32.020000000000003</v>
      </c>
      <c r="G174" s="3245">
        <f t="shared" si="2"/>
        <v>7.81</v>
      </c>
      <c r="H174" s="3258"/>
    </row>
    <row r="175" spans="1:8">
      <c r="A175" s="3228">
        <v>172</v>
      </c>
      <c r="B175" s="3229" t="s">
        <v>3147</v>
      </c>
      <c r="C175" s="3229" t="s">
        <v>3148</v>
      </c>
      <c r="D175" s="3229" t="s">
        <v>3149</v>
      </c>
      <c r="E175" s="3257" t="s">
        <v>4317</v>
      </c>
      <c r="F175" s="3257">
        <v>33.36</v>
      </c>
      <c r="G175" s="3245">
        <f t="shared" si="2"/>
        <v>8.1300000000000008</v>
      </c>
      <c r="H175" s="3258"/>
    </row>
    <row r="176" spans="1:8">
      <c r="A176" s="3228">
        <v>173</v>
      </c>
      <c r="B176" s="3229" t="s">
        <v>3147</v>
      </c>
      <c r="C176" s="3229" t="s">
        <v>3148</v>
      </c>
      <c r="D176" s="3229" t="s">
        <v>3149</v>
      </c>
      <c r="E176" s="3257" t="s">
        <v>4318</v>
      </c>
      <c r="F176" s="3257">
        <v>33.36</v>
      </c>
      <c r="G176" s="3245">
        <f t="shared" si="2"/>
        <v>8.1300000000000008</v>
      </c>
      <c r="H176" s="3258"/>
    </row>
    <row r="177" spans="1:8">
      <c r="A177" s="3228">
        <v>174</v>
      </c>
      <c r="B177" s="3229" t="s">
        <v>3147</v>
      </c>
      <c r="C177" s="3229" t="s">
        <v>3148</v>
      </c>
      <c r="D177" s="3229" t="s">
        <v>3149</v>
      </c>
      <c r="E177" s="3257" t="s">
        <v>4319</v>
      </c>
      <c r="F177" s="3257">
        <v>33.36</v>
      </c>
      <c r="G177" s="3245">
        <f t="shared" si="2"/>
        <v>8.1300000000000008</v>
      </c>
      <c r="H177" s="3258"/>
    </row>
    <row r="178" spans="1:8">
      <c r="A178" s="3228">
        <v>175</v>
      </c>
      <c r="B178" s="3229" t="s">
        <v>3147</v>
      </c>
      <c r="C178" s="3229" t="s">
        <v>3148</v>
      </c>
      <c r="D178" s="3229" t="s">
        <v>3149</v>
      </c>
      <c r="E178" s="3257" t="s">
        <v>4320</v>
      </c>
      <c r="F178" s="3257">
        <v>33.36</v>
      </c>
      <c r="G178" s="3245">
        <f t="shared" si="2"/>
        <v>8.1300000000000008</v>
      </c>
      <c r="H178" s="3258"/>
    </row>
    <row r="179" spans="1:8">
      <c r="A179" s="3228">
        <v>176</v>
      </c>
      <c r="B179" s="3229" t="s">
        <v>3147</v>
      </c>
      <c r="C179" s="3229" t="s">
        <v>3148</v>
      </c>
      <c r="D179" s="3229" t="s">
        <v>3149</v>
      </c>
      <c r="E179" s="3257" t="s">
        <v>4321</v>
      </c>
      <c r="F179" s="3257">
        <v>32.020000000000003</v>
      </c>
      <c r="G179" s="3245">
        <f t="shared" si="2"/>
        <v>7.81</v>
      </c>
      <c r="H179" s="3258"/>
    </row>
    <row r="180" spans="1:8">
      <c r="A180" s="3228">
        <v>177</v>
      </c>
      <c r="B180" s="3229" t="s">
        <v>3147</v>
      </c>
      <c r="C180" s="3229" t="s">
        <v>3148</v>
      </c>
      <c r="D180" s="3229" t="s">
        <v>3149</v>
      </c>
      <c r="E180" s="3257" t="s">
        <v>4322</v>
      </c>
      <c r="F180" s="3257">
        <v>32.020000000000003</v>
      </c>
      <c r="G180" s="3245">
        <f t="shared" si="2"/>
        <v>7.81</v>
      </c>
      <c r="H180" s="3258"/>
    </row>
    <row r="181" spans="1:8">
      <c r="A181" s="3228">
        <v>178</v>
      </c>
      <c r="B181" s="3229" t="s">
        <v>3147</v>
      </c>
      <c r="C181" s="3229" t="s">
        <v>3148</v>
      </c>
      <c r="D181" s="3229" t="s">
        <v>3149</v>
      </c>
      <c r="E181" s="3257" t="s">
        <v>4323</v>
      </c>
      <c r="F181" s="3257">
        <v>32.020000000000003</v>
      </c>
      <c r="G181" s="3245">
        <f t="shared" si="2"/>
        <v>7.81</v>
      </c>
      <c r="H181" s="3258"/>
    </row>
    <row r="182" spans="1:8">
      <c r="A182" s="3228">
        <v>179</v>
      </c>
      <c r="B182" s="3229" t="s">
        <v>3147</v>
      </c>
      <c r="C182" s="3229" t="s">
        <v>3148</v>
      </c>
      <c r="D182" s="3229" t="s">
        <v>3149</v>
      </c>
      <c r="E182" s="3257" t="s">
        <v>4324</v>
      </c>
      <c r="F182" s="3257">
        <v>32.020000000000003</v>
      </c>
      <c r="G182" s="3245">
        <f t="shared" si="2"/>
        <v>7.81</v>
      </c>
      <c r="H182" s="3258"/>
    </row>
    <row r="183" spans="1:8">
      <c r="A183" s="3228">
        <v>180</v>
      </c>
      <c r="B183" s="3229" t="s">
        <v>3147</v>
      </c>
      <c r="C183" s="3229" t="s">
        <v>3148</v>
      </c>
      <c r="D183" s="3229" t="s">
        <v>3149</v>
      </c>
      <c r="E183" s="3257" t="s">
        <v>4325</v>
      </c>
      <c r="F183" s="3257">
        <v>32.020000000000003</v>
      </c>
      <c r="G183" s="3245">
        <f t="shared" si="2"/>
        <v>7.81</v>
      </c>
      <c r="H183" s="3258"/>
    </row>
    <row r="184" spans="1:8">
      <c r="A184" s="3228">
        <v>181</v>
      </c>
      <c r="B184" s="3229" t="s">
        <v>3147</v>
      </c>
      <c r="C184" s="3229" t="s">
        <v>3148</v>
      </c>
      <c r="D184" s="3229" t="s">
        <v>3149</v>
      </c>
      <c r="E184" s="3257" t="s">
        <v>4326</v>
      </c>
      <c r="F184" s="3257">
        <v>32.020000000000003</v>
      </c>
      <c r="G184" s="3245">
        <f t="shared" si="2"/>
        <v>7.81</v>
      </c>
      <c r="H184" s="3258"/>
    </row>
    <row r="185" spans="1:8">
      <c r="A185" s="3228">
        <v>182</v>
      </c>
      <c r="B185" s="3229" t="s">
        <v>3147</v>
      </c>
      <c r="C185" s="3229" t="s">
        <v>3148</v>
      </c>
      <c r="D185" s="3229" t="s">
        <v>3149</v>
      </c>
      <c r="E185" s="3257" t="s">
        <v>4327</v>
      </c>
      <c r="F185" s="3257">
        <v>32.020000000000003</v>
      </c>
      <c r="G185" s="3245">
        <f t="shared" si="2"/>
        <v>7.81</v>
      </c>
      <c r="H185" s="3258"/>
    </row>
    <row r="186" spans="1:8">
      <c r="A186" s="3228">
        <v>183</v>
      </c>
      <c r="B186" s="3229" t="s">
        <v>3147</v>
      </c>
      <c r="C186" s="3229" t="s">
        <v>3148</v>
      </c>
      <c r="D186" s="3229" t="s">
        <v>3149</v>
      </c>
      <c r="E186" s="3257" t="s">
        <v>4328</v>
      </c>
      <c r="F186" s="3257">
        <v>32.020000000000003</v>
      </c>
      <c r="G186" s="3245">
        <f t="shared" si="2"/>
        <v>7.81</v>
      </c>
      <c r="H186" s="3258"/>
    </row>
    <row r="187" spans="1:8">
      <c r="A187" s="3228">
        <v>184</v>
      </c>
      <c r="B187" s="3229" t="s">
        <v>3147</v>
      </c>
      <c r="C187" s="3229" t="s">
        <v>3148</v>
      </c>
      <c r="D187" s="3229" t="s">
        <v>3149</v>
      </c>
      <c r="E187" s="3257" t="s">
        <v>4329</v>
      </c>
      <c r="F187" s="3257">
        <v>32.020000000000003</v>
      </c>
      <c r="G187" s="3245">
        <f t="shared" si="2"/>
        <v>7.81</v>
      </c>
      <c r="H187" s="3258"/>
    </row>
    <row r="188" spans="1:8">
      <c r="A188" s="3228">
        <v>185</v>
      </c>
      <c r="B188" s="3229" t="s">
        <v>3147</v>
      </c>
      <c r="C188" s="3229" t="s">
        <v>3148</v>
      </c>
      <c r="D188" s="3229" t="s">
        <v>3149</v>
      </c>
      <c r="E188" s="3257" t="s">
        <v>4330</v>
      </c>
      <c r="F188" s="3257">
        <v>32.020000000000003</v>
      </c>
      <c r="G188" s="3245">
        <f t="shared" si="2"/>
        <v>7.81</v>
      </c>
      <c r="H188" s="3258"/>
    </row>
    <row r="189" spans="1:8">
      <c r="A189" s="3228">
        <v>186</v>
      </c>
      <c r="B189" s="3229" t="s">
        <v>3147</v>
      </c>
      <c r="C189" s="3229" t="s">
        <v>3148</v>
      </c>
      <c r="D189" s="3229" t="s">
        <v>3149</v>
      </c>
      <c r="E189" s="3257" t="s">
        <v>4331</v>
      </c>
      <c r="F189" s="3257">
        <v>32.020000000000003</v>
      </c>
      <c r="G189" s="3245">
        <f t="shared" si="2"/>
        <v>7.81</v>
      </c>
      <c r="H189" s="3258"/>
    </row>
    <row r="190" spans="1:8">
      <c r="A190" s="3228">
        <v>187</v>
      </c>
      <c r="B190" s="3229" t="s">
        <v>3147</v>
      </c>
      <c r="C190" s="3229" t="s">
        <v>3148</v>
      </c>
      <c r="D190" s="3229" t="s">
        <v>3149</v>
      </c>
      <c r="E190" s="3257" t="s">
        <v>4332</v>
      </c>
      <c r="F190" s="3257">
        <v>32.020000000000003</v>
      </c>
      <c r="G190" s="3245">
        <f t="shared" si="2"/>
        <v>7.81</v>
      </c>
      <c r="H190" s="3258"/>
    </row>
    <row r="191" spans="1:8">
      <c r="A191" s="3228">
        <v>188</v>
      </c>
      <c r="B191" s="3229" t="s">
        <v>3147</v>
      </c>
      <c r="C191" s="3229" t="s">
        <v>3148</v>
      </c>
      <c r="D191" s="3229" t="s">
        <v>3149</v>
      </c>
      <c r="E191" s="3257" t="s">
        <v>4333</v>
      </c>
      <c r="F191" s="3257">
        <v>32.020000000000003</v>
      </c>
      <c r="G191" s="3245">
        <f t="shared" si="2"/>
        <v>7.81</v>
      </c>
      <c r="H191" s="3258"/>
    </row>
    <row r="192" spans="1:8">
      <c r="A192" s="3228">
        <v>189</v>
      </c>
      <c r="B192" s="3229" t="s">
        <v>3147</v>
      </c>
      <c r="C192" s="3229" t="s">
        <v>3148</v>
      </c>
      <c r="D192" s="3229" t="s">
        <v>3149</v>
      </c>
      <c r="E192" s="3257" t="s">
        <v>4334</v>
      </c>
      <c r="F192" s="3257">
        <v>32.020000000000003</v>
      </c>
      <c r="G192" s="3245">
        <f t="shared" si="2"/>
        <v>7.81</v>
      </c>
      <c r="H192" s="3258"/>
    </row>
    <row r="193" spans="1:8">
      <c r="A193" s="3228">
        <v>190</v>
      </c>
      <c r="B193" s="3229" t="s">
        <v>3147</v>
      </c>
      <c r="C193" s="3229" t="s">
        <v>3148</v>
      </c>
      <c r="D193" s="3229" t="s">
        <v>3149</v>
      </c>
      <c r="E193" s="3257" t="s">
        <v>4335</v>
      </c>
      <c r="F193" s="3257">
        <v>32.020000000000003</v>
      </c>
      <c r="G193" s="3245">
        <f t="shared" si="2"/>
        <v>7.81</v>
      </c>
      <c r="H193" s="3258"/>
    </row>
    <row r="194" spans="1:8">
      <c r="A194" s="3228">
        <v>191</v>
      </c>
      <c r="B194" s="3229" t="s">
        <v>3147</v>
      </c>
      <c r="C194" s="3229" t="s">
        <v>3148</v>
      </c>
      <c r="D194" s="3229" t="s">
        <v>3149</v>
      </c>
      <c r="E194" s="3257" t="s">
        <v>4336</v>
      </c>
      <c r="F194" s="3257">
        <v>32.020000000000003</v>
      </c>
      <c r="G194" s="3245">
        <f t="shared" si="2"/>
        <v>7.81</v>
      </c>
      <c r="H194" s="3258"/>
    </row>
    <row r="195" spans="1:8">
      <c r="A195" s="3228">
        <v>192</v>
      </c>
      <c r="B195" s="3229" t="s">
        <v>3147</v>
      </c>
      <c r="C195" s="3229" t="s">
        <v>3148</v>
      </c>
      <c r="D195" s="3229" t="s">
        <v>3149</v>
      </c>
      <c r="E195" s="3257" t="s">
        <v>4337</v>
      </c>
      <c r="F195" s="3257">
        <v>32.020000000000003</v>
      </c>
      <c r="G195" s="3245">
        <f t="shared" si="2"/>
        <v>7.81</v>
      </c>
      <c r="H195" s="3258"/>
    </row>
    <row r="196" spans="1:8">
      <c r="A196" s="3228">
        <v>193</v>
      </c>
      <c r="B196" s="3229" t="s">
        <v>3147</v>
      </c>
      <c r="C196" s="3229" t="s">
        <v>3148</v>
      </c>
      <c r="D196" s="3229" t="s">
        <v>3149</v>
      </c>
      <c r="E196" s="3257" t="s">
        <v>4338</v>
      </c>
      <c r="F196" s="3257">
        <v>32.020000000000003</v>
      </c>
      <c r="G196" s="3245">
        <f t="shared" ref="G196:G259" si="3">ROUND(F196/$C$909*$D$909,2)</f>
        <v>7.81</v>
      </c>
      <c r="H196" s="3258"/>
    </row>
    <row r="197" spans="1:8">
      <c r="A197" s="3228">
        <v>194</v>
      </c>
      <c r="B197" s="3229" t="s">
        <v>3147</v>
      </c>
      <c r="C197" s="3229" t="s">
        <v>3148</v>
      </c>
      <c r="D197" s="3229" t="s">
        <v>3149</v>
      </c>
      <c r="E197" s="3257" t="s">
        <v>4339</v>
      </c>
      <c r="F197" s="3257">
        <v>32.020000000000003</v>
      </c>
      <c r="G197" s="3245">
        <f t="shared" si="3"/>
        <v>7.81</v>
      </c>
      <c r="H197" s="3258"/>
    </row>
    <row r="198" spans="1:8">
      <c r="A198" s="3228">
        <v>195</v>
      </c>
      <c r="B198" s="3229" t="s">
        <v>3147</v>
      </c>
      <c r="C198" s="3229" t="s">
        <v>3148</v>
      </c>
      <c r="D198" s="3229" t="s">
        <v>3149</v>
      </c>
      <c r="E198" s="3257" t="s">
        <v>4340</v>
      </c>
      <c r="F198" s="3257">
        <v>32.020000000000003</v>
      </c>
      <c r="G198" s="3245">
        <f t="shared" si="3"/>
        <v>7.81</v>
      </c>
      <c r="H198" s="3258"/>
    </row>
    <row r="199" spans="1:8">
      <c r="A199" s="3228">
        <v>196</v>
      </c>
      <c r="B199" s="3229" t="s">
        <v>3147</v>
      </c>
      <c r="C199" s="3229" t="s">
        <v>3148</v>
      </c>
      <c r="D199" s="3229" t="s">
        <v>3149</v>
      </c>
      <c r="E199" s="3257" t="s">
        <v>4341</v>
      </c>
      <c r="F199" s="3257">
        <v>32.020000000000003</v>
      </c>
      <c r="G199" s="3245">
        <f t="shared" si="3"/>
        <v>7.81</v>
      </c>
      <c r="H199" s="3258"/>
    </row>
    <row r="200" spans="1:8">
      <c r="A200" s="3228">
        <v>197</v>
      </c>
      <c r="B200" s="3229" t="s">
        <v>3147</v>
      </c>
      <c r="C200" s="3229" t="s">
        <v>3148</v>
      </c>
      <c r="D200" s="3229" t="s">
        <v>3149</v>
      </c>
      <c r="E200" s="3257" t="s">
        <v>4342</v>
      </c>
      <c r="F200" s="3257">
        <v>32.020000000000003</v>
      </c>
      <c r="G200" s="3245">
        <f t="shared" si="3"/>
        <v>7.81</v>
      </c>
      <c r="H200" s="3258"/>
    </row>
    <row r="201" spans="1:8">
      <c r="A201" s="3228">
        <v>198</v>
      </c>
      <c r="B201" s="3229" t="s">
        <v>3147</v>
      </c>
      <c r="C201" s="3229" t="s">
        <v>3148</v>
      </c>
      <c r="D201" s="3229" t="s">
        <v>3149</v>
      </c>
      <c r="E201" s="3257" t="s">
        <v>4343</v>
      </c>
      <c r="F201" s="3257">
        <v>32.020000000000003</v>
      </c>
      <c r="G201" s="3245">
        <f t="shared" si="3"/>
        <v>7.81</v>
      </c>
      <c r="H201" s="3258"/>
    </row>
    <row r="202" spans="1:8">
      <c r="A202" s="3228">
        <v>199</v>
      </c>
      <c r="B202" s="3229" t="s">
        <v>3147</v>
      </c>
      <c r="C202" s="3229" t="s">
        <v>3148</v>
      </c>
      <c r="D202" s="3229" t="s">
        <v>3149</v>
      </c>
      <c r="E202" s="3257" t="s">
        <v>4344</v>
      </c>
      <c r="F202" s="3257">
        <v>32.020000000000003</v>
      </c>
      <c r="G202" s="3245">
        <f t="shared" si="3"/>
        <v>7.81</v>
      </c>
      <c r="H202" s="3258"/>
    </row>
    <row r="203" spans="1:8">
      <c r="A203" s="3228">
        <v>200</v>
      </c>
      <c r="B203" s="3229" t="s">
        <v>3147</v>
      </c>
      <c r="C203" s="3229" t="s">
        <v>3148</v>
      </c>
      <c r="D203" s="3229" t="s">
        <v>3149</v>
      </c>
      <c r="E203" s="3257" t="s">
        <v>4345</v>
      </c>
      <c r="F203" s="3257">
        <v>32.020000000000003</v>
      </c>
      <c r="G203" s="3245">
        <f t="shared" si="3"/>
        <v>7.81</v>
      </c>
      <c r="H203" s="3258"/>
    </row>
    <row r="204" spans="1:8">
      <c r="A204" s="3228">
        <v>201</v>
      </c>
      <c r="B204" s="3229" t="s">
        <v>3147</v>
      </c>
      <c r="C204" s="3229" t="s">
        <v>3148</v>
      </c>
      <c r="D204" s="3229" t="s">
        <v>3149</v>
      </c>
      <c r="E204" s="3257" t="s">
        <v>4346</v>
      </c>
      <c r="F204" s="3257">
        <v>32.020000000000003</v>
      </c>
      <c r="G204" s="3245">
        <f t="shared" si="3"/>
        <v>7.81</v>
      </c>
      <c r="H204" s="3258"/>
    </row>
    <row r="205" spans="1:8">
      <c r="A205" s="3228">
        <v>202</v>
      </c>
      <c r="B205" s="3229" t="s">
        <v>3147</v>
      </c>
      <c r="C205" s="3229" t="s">
        <v>3148</v>
      </c>
      <c r="D205" s="3229" t="s">
        <v>3149</v>
      </c>
      <c r="E205" s="3257" t="s">
        <v>4347</v>
      </c>
      <c r="F205" s="3257">
        <v>32.020000000000003</v>
      </c>
      <c r="G205" s="3245">
        <f t="shared" si="3"/>
        <v>7.81</v>
      </c>
      <c r="H205" s="3258"/>
    </row>
    <row r="206" spans="1:8">
      <c r="A206" s="3228">
        <v>203</v>
      </c>
      <c r="B206" s="3229" t="s">
        <v>3147</v>
      </c>
      <c r="C206" s="3229" t="s">
        <v>3148</v>
      </c>
      <c r="D206" s="3229" t="s">
        <v>3149</v>
      </c>
      <c r="E206" s="3257" t="s">
        <v>4348</v>
      </c>
      <c r="F206" s="3257">
        <v>32.020000000000003</v>
      </c>
      <c r="G206" s="3245">
        <f t="shared" si="3"/>
        <v>7.81</v>
      </c>
      <c r="H206" s="3258"/>
    </row>
    <row r="207" spans="1:8">
      <c r="A207" s="3228">
        <v>204</v>
      </c>
      <c r="B207" s="3229" t="s">
        <v>3147</v>
      </c>
      <c r="C207" s="3229" t="s">
        <v>3148</v>
      </c>
      <c r="D207" s="3229" t="s">
        <v>3149</v>
      </c>
      <c r="E207" s="3257" t="s">
        <v>4349</v>
      </c>
      <c r="F207" s="3257">
        <v>32.020000000000003</v>
      </c>
      <c r="G207" s="3245">
        <f t="shared" si="3"/>
        <v>7.81</v>
      </c>
      <c r="H207" s="3258"/>
    </row>
    <row r="208" spans="1:8">
      <c r="A208" s="3228">
        <v>205</v>
      </c>
      <c r="B208" s="3229" t="s">
        <v>3147</v>
      </c>
      <c r="C208" s="3229" t="s">
        <v>3148</v>
      </c>
      <c r="D208" s="3229" t="s">
        <v>3149</v>
      </c>
      <c r="E208" s="3257" t="s">
        <v>4350</v>
      </c>
      <c r="F208" s="3257">
        <v>32.020000000000003</v>
      </c>
      <c r="G208" s="3245">
        <f t="shared" si="3"/>
        <v>7.81</v>
      </c>
      <c r="H208" s="3258"/>
    </row>
    <row r="209" spans="1:8">
      <c r="A209" s="3228">
        <v>206</v>
      </c>
      <c r="B209" s="3229" t="s">
        <v>3147</v>
      </c>
      <c r="C209" s="3229" t="s">
        <v>3148</v>
      </c>
      <c r="D209" s="3229" t="s">
        <v>3149</v>
      </c>
      <c r="E209" s="3257" t="s">
        <v>4351</v>
      </c>
      <c r="F209" s="3257">
        <v>32.020000000000003</v>
      </c>
      <c r="G209" s="3245">
        <f t="shared" si="3"/>
        <v>7.81</v>
      </c>
      <c r="H209" s="3258"/>
    </row>
    <row r="210" spans="1:8">
      <c r="A210" s="3228">
        <v>207</v>
      </c>
      <c r="B210" s="3229" t="s">
        <v>3147</v>
      </c>
      <c r="C210" s="3229" t="s">
        <v>3148</v>
      </c>
      <c r="D210" s="3229" t="s">
        <v>3149</v>
      </c>
      <c r="E210" s="3257" t="s">
        <v>4352</v>
      </c>
      <c r="F210" s="3257">
        <v>32.020000000000003</v>
      </c>
      <c r="G210" s="3245">
        <f t="shared" si="3"/>
        <v>7.81</v>
      </c>
      <c r="H210" s="3258"/>
    </row>
    <row r="211" spans="1:8">
      <c r="A211" s="3228">
        <v>208</v>
      </c>
      <c r="B211" s="3229" t="s">
        <v>3147</v>
      </c>
      <c r="C211" s="3229" t="s">
        <v>3148</v>
      </c>
      <c r="D211" s="3229" t="s">
        <v>3149</v>
      </c>
      <c r="E211" s="3257" t="s">
        <v>4353</v>
      </c>
      <c r="F211" s="3257">
        <v>32.020000000000003</v>
      </c>
      <c r="G211" s="3245">
        <f t="shared" si="3"/>
        <v>7.81</v>
      </c>
      <c r="H211" s="3258"/>
    </row>
    <row r="212" spans="1:8">
      <c r="A212" s="3228">
        <v>209</v>
      </c>
      <c r="B212" s="3229" t="s">
        <v>3147</v>
      </c>
      <c r="C212" s="3229" t="s">
        <v>3148</v>
      </c>
      <c r="D212" s="3229" t="s">
        <v>3149</v>
      </c>
      <c r="E212" s="3257" t="s">
        <v>4354</v>
      </c>
      <c r="F212" s="3257">
        <v>32.020000000000003</v>
      </c>
      <c r="G212" s="3245">
        <f t="shared" si="3"/>
        <v>7.81</v>
      </c>
      <c r="H212" s="3258"/>
    </row>
    <row r="213" spans="1:8">
      <c r="A213" s="3228">
        <v>210</v>
      </c>
      <c r="B213" s="3229" t="s">
        <v>3147</v>
      </c>
      <c r="C213" s="3229" t="s">
        <v>3148</v>
      </c>
      <c r="D213" s="3229" t="s">
        <v>3149</v>
      </c>
      <c r="E213" s="3257" t="s">
        <v>4355</v>
      </c>
      <c r="F213" s="3257">
        <v>32.020000000000003</v>
      </c>
      <c r="G213" s="3245">
        <f t="shared" si="3"/>
        <v>7.81</v>
      </c>
      <c r="H213" s="3258"/>
    </row>
    <row r="214" spans="1:8">
      <c r="A214" s="3228">
        <v>211</v>
      </c>
      <c r="B214" s="3229" t="s">
        <v>3147</v>
      </c>
      <c r="C214" s="3229" t="s">
        <v>3148</v>
      </c>
      <c r="D214" s="3229" t="s">
        <v>3149</v>
      </c>
      <c r="E214" s="3257" t="s">
        <v>4356</v>
      </c>
      <c r="F214" s="3257">
        <v>32.020000000000003</v>
      </c>
      <c r="G214" s="3245">
        <f t="shared" si="3"/>
        <v>7.81</v>
      </c>
      <c r="H214" s="3258"/>
    </row>
    <row r="215" spans="1:8">
      <c r="A215" s="3228">
        <v>212</v>
      </c>
      <c r="B215" s="3229" t="s">
        <v>3147</v>
      </c>
      <c r="C215" s="3229" t="s">
        <v>3148</v>
      </c>
      <c r="D215" s="3229" t="s">
        <v>3149</v>
      </c>
      <c r="E215" s="3257" t="s">
        <v>4357</v>
      </c>
      <c r="F215" s="3257">
        <v>32.020000000000003</v>
      </c>
      <c r="G215" s="3245">
        <f t="shared" si="3"/>
        <v>7.81</v>
      </c>
      <c r="H215" s="3258"/>
    </row>
    <row r="216" spans="1:8">
      <c r="A216" s="3228">
        <v>213</v>
      </c>
      <c r="B216" s="3229" t="s">
        <v>3147</v>
      </c>
      <c r="C216" s="3229" t="s">
        <v>3148</v>
      </c>
      <c r="D216" s="3229" t="s">
        <v>3149</v>
      </c>
      <c r="E216" s="3257" t="s">
        <v>4358</v>
      </c>
      <c r="F216" s="3257">
        <v>32.020000000000003</v>
      </c>
      <c r="G216" s="3245">
        <f t="shared" si="3"/>
        <v>7.81</v>
      </c>
      <c r="H216" s="3258"/>
    </row>
    <row r="217" spans="1:8">
      <c r="A217" s="3228">
        <v>214</v>
      </c>
      <c r="B217" s="3229" t="s">
        <v>3147</v>
      </c>
      <c r="C217" s="3229" t="s">
        <v>3148</v>
      </c>
      <c r="D217" s="3229" t="s">
        <v>3149</v>
      </c>
      <c r="E217" s="3257" t="s">
        <v>4359</v>
      </c>
      <c r="F217" s="3257">
        <v>32.020000000000003</v>
      </c>
      <c r="G217" s="3245">
        <f t="shared" si="3"/>
        <v>7.81</v>
      </c>
      <c r="H217" s="3258"/>
    </row>
    <row r="218" spans="1:8">
      <c r="A218" s="3228">
        <v>215</v>
      </c>
      <c r="B218" s="3229" t="s">
        <v>3147</v>
      </c>
      <c r="C218" s="3229" t="s">
        <v>3148</v>
      </c>
      <c r="D218" s="3229" t="s">
        <v>3149</v>
      </c>
      <c r="E218" s="3257" t="s">
        <v>4360</v>
      </c>
      <c r="F218" s="3257">
        <v>32.020000000000003</v>
      </c>
      <c r="G218" s="3245">
        <f t="shared" si="3"/>
        <v>7.81</v>
      </c>
      <c r="H218" s="3258"/>
    </row>
    <row r="219" spans="1:8">
      <c r="A219" s="3228">
        <v>216</v>
      </c>
      <c r="B219" s="3229" t="s">
        <v>3147</v>
      </c>
      <c r="C219" s="3229" t="s">
        <v>3148</v>
      </c>
      <c r="D219" s="3229" t="s">
        <v>3149</v>
      </c>
      <c r="E219" s="3257" t="s">
        <v>4361</v>
      </c>
      <c r="F219" s="3257">
        <v>32.020000000000003</v>
      </c>
      <c r="G219" s="3245">
        <f t="shared" si="3"/>
        <v>7.81</v>
      </c>
      <c r="H219" s="3258"/>
    </row>
    <row r="220" spans="1:8">
      <c r="A220" s="3228">
        <v>217</v>
      </c>
      <c r="B220" s="3229" t="s">
        <v>3147</v>
      </c>
      <c r="C220" s="3229" t="s">
        <v>3148</v>
      </c>
      <c r="D220" s="3229" t="s">
        <v>3149</v>
      </c>
      <c r="E220" s="3257" t="s">
        <v>4362</v>
      </c>
      <c r="F220" s="3257">
        <v>32.020000000000003</v>
      </c>
      <c r="G220" s="3245">
        <f t="shared" si="3"/>
        <v>7.81</v>
      </c>
      <c r="H220" s="3258"/>
    </row>
    <row r="221" spans="1:8">
      <c r="A221" s="3228">
        <v>218</v>
      </c>
      <c r="B221" s="3229" t="s">
        <v>3147</v>
      </c>
      <c r="C221" s="3229" t="s">
        <v>3148</v>
      </c>
      <c r="D221" s="3229" t="s">
        <v>3149</v>
      </c>
      <c r="E221" s="3257" t="s">
        <v>4363</v>
      </c>
      <c r="F221" s="3257">
        <v>32.020000000000003</v>
      </c>
      <c r="G221" s="3245">
        <f t="shared" si="3"/>
        <v>7.81</v>
      </c>
      <c r="H221" s="3258"/>
    </row>
    <row r="222" spans="1:8">
      <c r="A222" s="3228">
        <v>219</v>
      </c>
      <c r="B222" s="3229" t="s">
        <v>3147</v>
      </c>
      <c r="C222" s="3229" t="s">
        <v>3148</v>
      </c>
      <c r="D222" s="3229" t="s">
        <v>3149</v>
      </c>
      <c r="E222" s="3257" t="s">
        <v>4364</v>
      </c>
      <c r="F222" s="3257">
        <v>32.020000000000003</v>
      </c>
      <c r="G222" s="3245">
        <f t="shared" si="3"/>
        <v>7.81</v>
      </c>
      <c r="H222" s="3258"/>
    </row>
    <row r="223" spans="1:8">
      <c r="A223" s="3228">
        <v>220</v>
      </c>
      <c r="B223" s="3229" t="s">
        <v>3147</v>
      </c>
      <c r="C223" s="3229" t="s">
        <v>3148</v>
      </c>
      <c r="D223" s="3229" t="s">
        <v>3149</v>
      </c>
      <c r="E223" s="3257" t="s">
        <v>4365</v>
      </c>
      <c r="F223" s="3257">
        <v>32.020000000000003</v>
      </c>
      <c r="G223" s="3245">
        <f t="shared" si="3"/>
        <v>7.81</v>
      </c>
      <c r="H223" s="3258"/>
    </row>
    <row r="224" spans="1:8">
      <c r="A224" s="3228">
        <v>221</v>
      </c>
      <c r="B224" s="3229" t="s">
        <v>3147</v>
      </c>
      <c r="C224" s="3229" t="s">
        <v>3148</v>
      </c>
      <c r="D224" s="3229" t="s">
        <v>3149</v>
      </c>
      <c r="E224" s="3257" t="s">
        <v>4366</v>
      </c>
      <c r="F224" s="3257">
        <v>33.36</v>
      </c>
      <c r="G224" s="3245">
        <f t="shared" si="3"/>
        <v>8.1300000000000008</v>
      </c>
      <c r="H224" s="3258"/>
    </row>
    <row r="225" spans="1:8">
      <c r="A225" s="3228">
        <v>222</v>
      </c>
      <c r="B225" s="3229" t="s">
        <v>3147</v>
      </c>
      <c r="C225" s="3229" t="s">
        <v>3148</v>
      </c>
      <c r="D225" s="3229" t="s">
        <v>3149</v>
      </c>
      <c r="E225" s="3257" t="s">
        <v>4367</v>
      </c>
      <c r="F225" s="3257">
        <v>32.020000000000003</v>
      </c>
      <c r="G225" s="3245">
        <f t="shared" si="3"/>
        <v>7.81</v>
      </c>
      <c r="H225" s="3258"/>
    </row>
    <row r="226" spans="1:8">
      <c r="A226" s="3228">
        <v>223</v>
      </c>
      <c r="B226" s="3229" t="s">
        <v>3147</v>
      </c>
      <c r="C226" s="3229" t="s">
        <v>3148</v>
      </c>
      <c r="D226" s="3229" t="s">
        <v>3149</v>
      </c>
      <c r="E226" s="3257" t="s">
        <v>4368</v>
      </c>
      <c r="F226" s="3257">
        <v>32.020000000000003</v>
      </c>
      <c r="G226" s="3245">
        <f t="shared" si="3"/>
        <v>7.81</v>
      </c>
      <c r="H226" s="3258"/>
    </row>
    <row r="227" spans="1:8">
      <c r="A227" s="3228">
        <v>224</v>
      </c>
      <c r="B227" s="3229" t="s">
        <v>3147</v>
      </c>
      <c r="C227" s="3229" t="s">
        <v>3148</v>
      </c>
      <c r="D227" s="3229" t="s">
        <v>3149</v>
      </c>
      <c r="E227" s="3257" t="s">
        <v>4369</v>
      </c>
      <c r="F227" s="3257">
        <v>32.020000000000003</v>
      </c>
      <c r="G227" s="3245">
        <f t="shared" si="3"/>
        <v>7.81</v>
      </c>
      <c r="H227" s="3258"/>
    </row>
    <row r="228" spans="1:8">
      <c r="A228" s="3228">
        <v>225</v>
      </c>
      <c r="B228" s="3229" t="s">
        <v>3147</v>
      </c>
      <c r="C228" s="3229" t="s">
        <v>3148</v>
      </c>
      <c r="D228" s="3229" t="s">
        <v>3149</v>
      </c>
      <c r="E228" s="3257" t="s">
        <v>4370</v>
      </c>
      <c r="F228" s="3257">
        <v>32.020000000000003</v>
      </c>
      <c r="G228" s="3245">
        <f t="shared" si="3"/>
        <v>7.81</v>
      </c>
      <c r="H228" s="3258"/>
    </row>
    <row r="229" spans="1:8">
      <c r="A229" s="3228">
        <v>226</v>
      </c>
      <c r="B229" s="3229" t="s">
        <v>3147</v>
      </c>
      <c r="C229" s="3229" t="s">
        <v>3148</v>
      </c>
      <c r="D229" s="3229" t="s">
        <v>3149</v>
      </c>
      <c r="E229" s="3257" t="s">
        <v>4371</v>
      </c>
      <c r="F229" s="3257">
        <v>32.020000000000003</v>
      </c>
      <c r="G229" s="3245">
        <f t="shared" si="3"/>
        <v>7.81</v>
      </c>
      <c r="H229" s="3258"/>
    </row>
    <row r="230" spans="1:8">
      <c r="A230" s="3228">
        <v>227</v>
      </c>
      <c r="B230" s="3229" t="s">
        <v>3147</v>
      </c>
      <c r="C230" s="3229" t="s">
        <v>3148</v>
      </c>
      <c r="D230" s="3229" t="s">
        <v>3149</v>
      </c>
      <c r="E230" s="3257" t="s">
        <v>4372</v>
      </c>
      <c r="F230" s="3257">
        <v>32.020000000000003</v>
      </c>
      <c r="G230" s="3245">
        <f t="shared" si="3"/>
        <v>7.81</v>
      </c>
      <c r="H230" s="3258"/>
    </row>
    <row r="231" spans="1:8">
      <c r="A231" s="3228">
        <v>228</v>
      </c>
      <c r="B231" s="3229" t="s">
        <v>3147</v>
      </c>
      <c r="C231" s="3229" t="s">
        <v>3148</v>
      </c>
      <c r="D231" s="3229" t="s">
        <v>3149</v>
      </c>
      <c r="E231" s="3257" t="s">
        <v>4373</v>
      </c>
      <c r="F231" s="3257">
        <v>32.020000000000003</v>
      </c>
      <c r="G231" s="3245">
        <f t="shared" si="3"/>
        <v>7.81</v>
      </c>
      <c r="H231" s="3258"/>
    </row>
    <row r="232" spans="1:8">
      <c r="A232" s="3228">
        <v>229</v>
      </c>
      <c r="B232" s="3229" t="s">
        <v>3147</v>
      </c>
      <c r="C232" s="3229" t="s">
        <v>3148</v>
      </c>
      <c r="D232" s="3229" t="s">
        <v>3149</v>
      </c>
      <c r="E232" s="3257" t="s">
        <v>4374</v>
      </c>
      <c r="F232" s="3257">
        <v>32.020000000000003</v>
      </c>
      <c r="G232" s="3245">
        <f t="shared" si="3"/>
        <v>7.81</v>
      </c>
      <c r="H232" s="3258"/>
    </row>
    <row r="233" spans="1:8">
      <c r="A233" s="3228">
        <v>230</v>
      </c>
      <c r="B233" s="3229" t="s">
        <v>3147</v>
      </c>
      <c r="C233" s="3229" t="s">
        <v>3148</v>
      </c>
      <c r="D233" s="3229" t="s">
        <v>3149</v>
      </c>
      <c r="E233" s="3257" t="s">
        <v>4375</v>
      </c>
      <c r="F233" s="3257">
        <v>32.020000000000003</v>
      </c>
      <c r="G233" s="3245">
        <f t="shared" si="3"/>
        <v>7.81</v>
      </c>
      <c r="H233" s="3258"/>
    </row>
    <row r="234" spans="1:8">
      <c r="A234" s="3228">
        <v>231</v>
      </c>
      <c r="B234" s="3229" t="s">
        <v>3147</v>
      </c>
      <c r="C234" s="3229" t="s">
        <v>3148</v>
      </c>
      <c r="D234" s="3229" t="s">
        <v>3149</v>
      </c>
      <c r="E234" s="3257" t="s">
        <v>4376</v>
      </c>
      <c r="F234" s="3257">
        <v>32.020000000000003</v>
      </c>
      <c r="G234" s="3245">
        <f t="shared" si="3"/>
        <v>7.81</v>
      </c>
      <c r="H234" s="3258"/>
    </row>
    <row r="235" spans="1:8">
      <c r="A235" s="3228">
        <v>232</v>
      </c>
      <c r="B235" s="3229" t="s">
        <v>3147</v>
      </c>
      <c r="C235" s="3229" t="s">
        <v>3148</v>
      </c>
      <c r="D235" s="3229" t="s">
        <v>3149</v>
      </c>
      <c r="E235" s="3257" t="s">
        <v>4377</v>
      </c>
      <c r="F235" s="3257">
        <v>32.020000000000003</v>
      </c>
      <c r="G235" s="3245">
        <f t="shared" si="3"/>
        <v>7.81</v>
      </c>
      <c r="H235" s="3258"/>
    </row>
    <row r="236" spans="1:8">
      <c r="A236" s="3228">
        <v>233</v>
      </c>
      <c r="B236" s="3229" t="s">
        <v>3147</v>
      </c>
      <c r="C236" s="3229" t="s">
        <v>3148</v>
      </c>
      <c r="D236" s="3229" t="s">
        <v>3149</v>
      </c>
      <c r="E236" s="3257" t="s">
        <v>4378</v>
      </c>
      <c r="F236" s="3257">
        <v>32.020000000000003</v>
      </c>
      <c r="G236" s="3245">
        <f t="shared" si="3"/>
        <v>7.81</v>
      </c>
      <c r="H236" s="3258"/>
    </row>
    <row r="237" spans="1:8">
      <c r="A237" s="3228">
        <v>234</v>
      </c>
      <c r="B237" s="3229" t="s">
        <v>3147</v>
      </c>
      <c r="C237" s="3229" t="s">
        <v>3148</v>
      </c>
      <c r="D237" s="3229" t="s">
        <v>3149</v>
      </c>
      <c r="E237" s="3257" t="s">
        <v>4379</v>
      </c>
      <c r="F237" s="3257">
        <v>32.020000000000003</v>
      </c>
      <c r="G237" s="3245">
        <f t="shared" si="3"/>
        <v>7.81</v>
      </c>
      <c r="H237" s="3258"/>
    </row>
    <row r="238" spans="1:8">
      <c r="A238" s="3228">
        <v>235</v>
      </c>
      <c r="B238" s="3229" t="s">
        <v>3147</v>
      </c>
      <c r="C238" s="3229" t="s">
        <v>3148</v>
      </c>
      <c r="D238" s="3229" t="s">
        <v>3149</v>
      </c>
      <c r="E238" s="3257" t="s">
        <v>4380</v>
      </c>
      <c r="F238" s="3257">
        <v>32.020000000000003</v>
      </c>
      <c r="G238" s="3245">
        <f t="shared" si="3"/>
        <v>7.81</v>
      </c>
      <c r="H238" s="3258"/>
    </row>
    <row r="239" spans="1:8">
      <c r="A239" s="3228">
        <v>236</v>
      </c>
      <c r="B239" s="3229" t="s">
        <v>3147</v>
      </c>
      <c r="C239" s="3229" t="s">
        <v>3148</v>
      </c>
      <c r="D239" s="3229" t="s">
        <v>3149</v>
      </c>
      <c r="E239" s="3257" t="s">
        <v>4381</v>
      </c>
      <c r="F239" s="3257">
        <v>32.020000000000003</v>
      </c>
      <c r="G239" s="3245">
        <f t="shared" si="3"/>
        <v>7.81</v>
      </c>
      <c r="H239" s="3258"/>
    </row>
    <row r="240" spans="1:8">
      <c r="A240" s="3228">
        <v>237</v>
      </c>
      <c r="B240" s="3229" t="s">
        <v>3147</v>
      </c>
      <c r="C240" s="3229" t="s">
        <v>3148</v>
      </c>
      <c r="D240" s="3229" t="s">
        <v>3149</v>
      </c>
      <c r="E240" s="3257" t="s">
        <v>4382</v>
      </c>
      <c r="F240" s="3257">
        <v>32.020000000000003</v>
      </c>
      <c r="G240" s="3245">
        <f t="shared" si="3"/>
        <v>7.81</v>
      </c>
      <c r="H240" s="3258"/>
    </row>
    <row r="241" spans="1:8">
      <c r="A241" s="3228">
        <v>238</v>
      </c>
      <c r="B241" s="3229" t="s">
        <v>3147</v>
      </c>
      <c r="C241" s="3229" t="s">
        <v>3148</v>
      </c>
      <c r="D241" s="3229" t="s">
        <v>3149</v>
      </c>
      <c r="E241" s="3257" t="s">
        <v>4383</v>
      </c>
      <c r="F241" s="3257">
        <v>33.36</v>
      </c>
      <c r="G241" s="3245">
        <f t="shared" si="3"/>
        <v>8.1300000000000008</v>
      </c>
      <c r="H241" s="3258"/>
    </row>
    <row r="242" spans="1:8">
      <c r="A242" s="3228">
        <v>239</v>
      </c>
      <c r="B242" s="3229" t="s">
        <v>3147</v>
      </c>
      <c r="C242" s="3229" t="s">
        <v>3148</v>
      </c>
      <c r="D242" s="3229" t="s">
        <v>3149</v>
      </c>
      <c r="E242" s="3257" t="s">
        <v>4384</v>
      </c>
      <c r="F242" s="3257">
        <v>33.36</v>
      </c>
      <c r="G242" s="3245">
        <f t="shared" si="3"/>
        <v>8.1300000000000008</v>
      </c>
      <c r="H242" s="3258"/>
    </row>
    <row r="243" spans="1:8">
      <c r="A243" s="3228">
        <v>240</v>
      </c>
      <c r="B243" s="3229" t="s">
        <v>3147</v>
      </c>
      <c r="C243" s="3229" t="s">
        <v>3148</v>
      </c>
      <c r="D243" s="3229" t="s">
        <v>3149</v>
      </c>
      <c r="E243" s="3257" t="s">
        <v>4385</v>
      </c>
      <c r="F243" s="3257">
        <v>33.36</v>
      </c>
      <c r="G243" s="3245">
        <f t="shared" si="3"/>
        <v>8.1300000000000008</v>
      </c>
      <c r="H243" s="3258"/>
    </row>
    <row r="244" spans="1:8">
      <c r="A244" s="3228">
        <v>241</v>
      </c>
      <c r="B244" s="3229" t="s">
        <v>3147</v>
      </c>
      <c r="C244" s="3229" t="s">
        <v>3148</v>
      </c>
      <c r="D244" s="3229" t="s">
        <v>3149</v>
      </c>
      <c r="E244" s="3257" t="s">
        <v>4386</v>
      </c>
      <c r="F244" s="3257">
        <v>33.36</v>
      </c>
      <c r="G244" s="3245">
        <f t="shared" si="3"/>
        <v>8.1300000000000008</v>
      </c>
      <c r="H244" s="3258"/>
    </row>
    <row r="245" spans="1:8">
      <c r="A245" s="3228">
        <v>242</v>
      </c>
      <c r="B245" s="3229" t="s">
        <v>3147</v>
      </c>
      <c r="C245" s="3229" t="s">
        <v>3148</v>
      </c>
      <c r="D245" s="3229" t="s">
        <v>3149</v>
      </c>
      <c r="E245" s="3257" t="s">
        <v>4387</v>
      </c>
      <c r="F245" s="3257">
        <v>33.36</v>
      </c>
      <c r="G245" s="3245">
        <f t="shared" si="3"/>
        <v>8.1300000000000008</v>
      </c>
      <c r="H245" s="3258"/>
    </row>
    <row r="246" spans="1:8">
      <c r="A246" s="3228">
        <v>243</v>
      </c>
      <c r="B246" s="3229" t="s">
        <v>3147</v>
      </c>
      <c r="C246" s="3229" t="s">
        <v>3148</v>
      </c>
      <c r="D246" s="3229" t="s">
        <v>3149</v>
      </c>
      <c r="E246" s="3257" t="s">
        <v>4388</v>
      </c>
      <c r="F246" s="3257">
        <v>33.36</v>
      </c>
      <c r="G246" s="3245">
        <f t="shared" si="3"/>
        <v>8.1300000000000008</v>
      </c>
      <c r="H246" s="3258"/>
    </row>
    <row r="247" spans="1:8">
      <c r="A247" s="3228">
        <v>244</v>
      </c>
      <c r="B247" s="3229" t="s">
        <v>3147</v>
      </c>
      <c r="C247" s="3229" t="s">
        <v>3148</v>
      </c>
      <c r="D247" s="3229" t="s">
        <v>3149</v>
      </c>
      <c r="E247" s="3257" t="s">
        <v>4389</v>
      </c>
      <c r="F247" s="3257">
        <v>32.020000000000003</v>
      </c>
      <c r="G247" s="3245">
        <f t="shared" si="3"/>
        <v>7.81</v>
      </c>
      <c r="H247" s="3258"/>
    </row>
    <row r="248" spans="1:8">
      <c r="A248" s="3228">
        <v>245</v>
      </c>
      <c r="B248" s="3229" t="s">
        <v>3147</v>
      </c>
      <c r="C248" s="3229" t="s">
        <v>3148</v>
      </c>
      <c r="D248" s="3229" t="s">
        <v>3149</v>
      </c>
      <c r="E248" s="3257" t="s">
        <v>4390</v>
      </c>
      <c r="F248" s="3257">
        <v>32.020000000000003</v>
      </c>
      <c r="G248" s="3245">
        <f t="shared" si="3"/>
        <v>7.81</v>
      </c>
      <c r="H248" s="3258"/>
    </row>
    <row r="249" spans="1:8">
      <c r="A249" s="3228">
        <v>246</v>
      </c>
      <c r="B249" s="3229" t="s">
        <v>3147</v>
      </c>
      <c r="C249" s="3229" t="s">
        <v>3148</v>
      </c>
      <c r="D249" s="3229" t="s">
        <v>3149</v>
      </c>
      <c r="E249" s="3257" t="s">
        <v>4391</v>
      </c>
      <c r="F249" s="3257">
        <v>32.020000000000003</v>
      </c>
      <c r="G249" s="3245">
        <f t="shared" si="3"/>
        <v>7.81</v>
      </c>
      <c r="H249" s="3258"/>
    </row>
    <row r="250" spans="1:8">
      <c r="A250" s="3228">
        <v>247</v>
      </c>
      <c r="B250" s="3229" t="s">
        <v>3147</v>
      </c>
      <c r="C250" s="3229" t="s">
        <v>3148</v>
      </c>
      <c r="D250" s="3229" t="s">
        <v>3149</v>
      </c>
      <c r="E250" s="3257" t="s">
        <v>4392</v>
      </c>
      <c r="F250" s="3257">
        <v>32.020000000000003</v>
      </c>
      <c r="G250" s="3245">
        <f t="shared" si="3"/>
        <v>7.81</v>
      </c>
      <c r="H250" s="3258"/>
    </row>
    <row r="251" spans="1:8">
      <c r="A251" s="3228">
        <v>248</v>
      </c>
      <c r="B251" s="3229" t="s">
        <v>3147</v>
      </c>
      <c r="C251" s="3229" t="s">
        <v>3148</v>
      </c>
      <c r="D251" s="3229" t="s">
        <v>3149</v>
      </c>
      <c r="E251" s="3257" t="s">
        <v>4393</v>
      </c>
      <c r="F251" s="3257">
        <v>32.020000000000003</v>
      </c>
      <c r="G251" s="3245">
        <f t="shared" si="3"/>
        <v>7.81</v>
      </c>
      <c r="H251" s="3258"/>
    </row>
    <row r="252" spans="1:8">
      <c r="A252" s="3228">
        <v>249</v>
      </c>
      <c r="B252" s="3229" t="s">
        <v>3147</v>
      </c>
      <c r="C252" s="3229" t="s">
        <v>3148</v>
      </c>
      <c r="D252" s="3229" t="s">
        <v>3149</v>
      </c>
      <c r="E252" s="3257" t="s">
        <v>4394</v>
      </c>
      <c r="F252" s="3257">
        <v>32.020000000000003</v>
      </c>
      <c r="G252" s="3245">
        <f t="shared" si="3"/>
        <v>7.81</v>
      </c>
      <c r="H252" s="3258"/>
    </row>
    <row r="253" spans="1:8">
      <c r="A253" s="3228">
        <v>250</v>
      </c>
      <c r="B253" s="3229" t="s">
        <v>3147</v>
      </c>
      <c r="C253" s="3229" t="s">
        <v>3148</v>
      </c>
      <c r="D253" s="3229" t="s">
        <v>3149</v>
      </c>
      <c r="E253" s="3257" t="s">
        <v>4395</v>
      </c>
      <c r="F253" s="3257">
        <v>32.020000000000003</v>
      </c>
      <c r="G253" s="3245">
        <f t="shared" si="3"/>
        <v>7.81</v>
      </c>
      <c r="H253" s="3258"/>
    </row>
    <row r="254" spans="1:8">
      <c r="A254" s="3228">
        <v>251</v>
      </c>
      <c r="B254" s="3229" t="s">
        <v>3147</v>
      </c>
      <c r="C254" s="3229" t="s">
        <v>3148</v>
      </c>
      <c r="D254" s="3229" t="s">
        <v>3149</v>
      </c>
      <c r="E254" s="3257" t="s">
        <v>4396</v>
      </c>
      <c r="F254" s="3257">
        <v>32.020000000000003</v>
      </c>
      <c r="G254" s="3245">
        <f t="shared" si="3"/>
        <v>7.81</v>
      </c>
      <c r="H254" s="3258"/>
    </row>
    <row r="255" spans="1:8">
      <c r="A255" s="3228">
        <v>252</v>
      </c>
      <c r="B255" s="3229" t="s">
        <v>3147</v>
      </c>
      <c r="C255" s="3229" t="s">
        <v>3148</v>
      </c>
      <c r="D255" s="3229" t="s">
        <v>3149</v>
      </c>
      <c r="E255" s="3257" t="s">
        <v>4397</v>
      </c>
      <c r="F255" s="3257">
        <v>32.020000000000003</v>
      </c>
      <c r="G255" s="3245">
        <f t="shared" si="3"/>
        <v>7.81</v>
      </c>
      <c r="H255" s="3258"/>
    </row>
    <row r="256" spans="1:8">
      <c r="A256" s="3228">
        <v>253</v>
      </c>
      <c r="B256" s="3229" t="s">
        <v>3150</v>
      </c>
      <c r="C256" s="3229" t="s">
        <v>3151</v>
      </c>
      <c r="D256" s="3229" t="s">
        <v>3152</v>
      </c>
      <c r="E256" s="3257" t="s">
        <v>4398</v>
      </c>
      <c r="F256" s="3257">
        <v>33.36</v>
      </c>
      <c r="G256" s="3245">
        <f t="shared" si="3"/>
        <v>8.1300000000000008</v>
      </c>
      <c r="H256" s="3258"/>
    </row>
    <row r="257" spans="1:8">
      <c r="A257" s="3228">
        <v>254</v>
      </c>
      <c r="B257" s="3229" t="s">
        <v>3150</v>
      </c>
      <c r="C257" s="3229" t="s">
        <v>3151</v>
      </c>
      <c r="D257" s="3229" t="s">
        <v>3152</v>
      </c>
      <c r="E257" s="3257" t="s">
        <v>4399</v>
      </c>
      <c r="F257" s="3257">
        <v>33.36</v>
      </c>
      <c r="G257" s="3245">
        <f t="shared" si="3"/>
        <v>8.1300000000000008</v>
      </c>
      <c r="H257" s="3258"/>
    </row>
    <row r="258" spans="1:8">
      <c r="A258" s="3228">
        <v>255</v>
      </c>
      <c r="B258" s="3229" t="s">
        <v>3150</v>
      </c>
      <c r="C258" s="3229" t="s">
        <v>3151</v>
      </c>
      <c r="D258" s="3229" t="s">
        <v>3152</v>
      </c>
      <c r="E258" s="3257" t="s">
        <v>4400</v>
      </c>
      <c r="F258" s="3257">
        <v>33.36</v>
      </c>
      <c r="G258" s="3245">
        <f t="shared" si="3"/>
        <v>8.1300000000000008</v>
      </c>
      <c r="H258" s="3258"/>
    </row>
    <row r="259" spans="1:8">
      <c r="A259" s="3228">
        <v>256</v>
      </c>
      <c r="B259" s="3229" t="s">
        <v>3150</v>
      </c>
      <c r="C259" s="3229" t="s">
        <v>3151</v>
      </c>
      <c r="D259" s="3229" t="s">
        <v>3152</v>
      </c>
      <c r="E259" s="3257" t="s">
        <v>4401</v>
      </c>
      <c r="F259" s="3257">
        <v>33.36</v>
      </c>
      <c r="G259" s="3245">
        <f t="shared" si="3"/>
        <v>8.1300000000000008</v>
      </c>
      <c r="H259" s="3258"/>
    </row>
    <row r="260" spans="1:8">
      <c r="A260" s="3228">
        <v>257</v>
      </c>
      <c r="B260" s="3229" t="s">
        <v>3150</v>
      </c>
      <c r="C260" s="3229" t="s">
        <v>3151</v>
      </c>
      <c r="D260" s="3229" t="s">
        <v>3152</v>
      </c>
      <c r="E260" s="3257" t="s">
        <v>4402</v>
      </c>
      <c r="F260" s="3257">
        <v>33.36</v>
      </c>
      <c r="G260" s="3245">
        <f t="shared" ref="G260:G323" si="4">ROUND(F260/$C$909*$D$909,2)</f>
        <v>8.1300000000000008</v>
      </c>
      <c r="H260" s="3258"/>
    </row>
    <row r="261" spans="1:8">
      <c r="A261" s="3228">
        <v>258</v>
      </c>
      <c r="B261" s="3229" t="s">
        <v>3150</v>
      </c>
      <c r="C261" s="3229" t="s">
        <v>3151</v>
      </c>
      <c r="D261" s="3229" t="s">
        <v>3152</v>
      </c>
      <c r="E261" s="3257" t="s">
        <v>4403</v>
      </c>
      <c r="F261" s="3257">
        <v>33.36</v>
      </c>
      <c r="G261" s="3245">
        <f t="shared" ref="G261:G295" si="5">ROUND(F261/$C$909*$D$909,2)</f>
        <v>8.1300000000000008</v>
      </c>
      <c r="H261" s="3258"/>
    </row>
    <row r="262" spans="1:8">
      <c r="A262" s="3228">
        <v>259</v>
      </c>
      <c r="B262" s="3229" t="s">
        <v>3150</v>
      </c>
      <c r="C262" s="3229" t="s">
        <v>3151</v>
      </c>
      <c r="D262" s="3229" t="s">
        <v>3152</v>
      </c>
      <c r="E262" s="3257" t="s">
        <v>4404</v>
      </c>
      <c r="F262" s="3257">
        <v>33.36</v>
      </c>
      <c r="G262" s="3245">
        <f t="shared" si="5"/>
        <v>8.1300000000000008</v>
      </c>
      <c r="H262" s="3258"/>
    </row>
    <row r="263" spans="1:8">
      <c r="A263" s="3228">
        <v>260</v>
      </c>
      <c r="B263" s="3229" t="s">
        <v>3150</v>
      </c>
      <c r="C263" s="3229" t="s">
        <v>3151</v>
      </c>
      <c r="D263" s="3229" t="s">
        <v>3152</v>
      </c>
      <c r="E263" s="3257" t="s">
        <v>4405</v>
      </c>
      <c r="F263" s="3257">
        <v>33.36</v>
      </c>
      <c r="G263" s="3245">
        <f t="shared" si="5"/>
        <v>8.1300000000000008</v>
      </c>
      <c r="H263" s="3258"/>
    </row>
    <row r="264" spans="1:8">
      <c r="A264" s="3228">
        <v>261</v>
      </c>
      <c r="B264" s="3229" t="s">
        <v>3150</v>
      </c>
      <c r="C264" s="3229" t="s">
        <v>3151</v>
      </c>
      <c r="D264" s="3229" t="s">
        <v>3152</v>
      </c>
      <c r="E264" s="3257" t="s">
        <v>4406</v>
      </c>
      <c r="F264" s="3257">
        <v>32.020000000000003</v>
      </c>
      <c r="G264" s="3245">
        <f t="shared" si="5"/>
        <v>7.81</v>
      </c>
      <c r="H264" s="3258"/>
    </row>
    <row r="265" spans="1:8">
      <c r="A265" s="3228">
        <v>262</v>
      </c>
      <c r="B265" s="3229" t="s">
        <v>3150</v>
      </c>
      <c r="C265" s="3229" t="s">
        <v>3151</v>
      </c>
      <c r="D265" s="3229" t="s">
        <v>3152</v>
      </c>
      <c r="E265" s="3257" t="s">
        <v>4407</v>
      </c>
      <c r="F265" s="3257">
        <v>32.020000000000003</v>
      </c>
      <c r="G265" s="3245">
        <f t="shared" si="5"/>
        <v>7.81</v>
      </c>
      <c r="H265" s="3258"/>
    </row>
    <row r="266" spans="1:8">
      <c r="A266" s="3228">
        <v>263</v>
      </c>
      <c r="B266" s="3229" t="s">
        <v>3150</v>
      </c>
      <c r="C266" s="3229" t="s">
        <v>3151</v>
      </c>
      <c r="D266" s="3229" t="s">
        <v>3152</v>
      </c>
      <c r="E266" s="3257" t="s">
        <v>4408</v>
      </c>
      <c r="F266" s="3257">
        <v>32.020000000000003</v>
      </c>
      <c r="G266" s="3245">
        <f t="shared" si="5"/>
        <v>7.81</v>
      </c>
      <c r="H266" s="3258"/>
    </row>
    <row r="267" spans="1:8">
      <c r="A267" s="3228">
        <v>264</v>
      </c>
      <c r="B267" s="3229" t="s">
        <v>3150</v>
      </c>
      <c r="C267" s="3229" t="s">
        <v>3151</v>
      </c>
      <c r="D267" s="3229" t="s">
        <v>3152</v>
      </c>
      <c r="E267" s="3257" t="s">
        <v>4409</v>
      </c>
      <c r="F267" s="3257">
        <v>32.020000000000003</v>
      </c>
      <c r="G267" s="3245">
        <f t="shared" si="5"/>
        <v>7.81</v>
      </c>
      <c r="H267" s="3258"/>
    </row>
    <row r="268" spans="1:8">
      <c r="A268" s="3228">
        <v>265</v>
      </c>
      <c r="B268" s="3229" t="s">
        <v>3150</v>
      </c>
      <c r="C268" s="3229" t="s">
        <v>3151</v>
      </c>
      <c r="D268" s="3229" t="s">
        <v>3152</v>
      </c>
      <c r="E268" s="3257" t="s">
        <v>4410</v>
      </c>
      <c r="F268" s="3257">
        <v>32.020000000000003</v>
      </c>
      <c r="G268" s="3245">
        <f t="shared" si="5"/>
        <v>7.81</v>
      </c>
      <c r="H268" s="3258"/>
    </row>
    <row r="269" spans="1:8">
      <c r="A269" s="3228">
        <v>266</v>
      </c>
      <c r="B269" s="3229" t="s">
        <v>3150</v>
      </c>
      <c r="C269" s="3229" t="s">
        <v>3151</v>
      </c>
      <c r="D269" s="3229" t="s">
        <v>3152</v>
      </c>
      <c r="E269" s="3257" t="s">
        <v>4411</v>
      </c>
      <c r="F269" s="3257">
        <v>32.020000000000003</v>
      </c>
      <c r="G269" s="3245">
        <f t="shared" si="5"/>
        <v>7.81</v>
      </c>
      <c r="H269" s="3258"/>
    </row>
    <row r="270" spans="1:8">
      <c r="A270" s="3228">
        <v>267</v>
      </c>
      <c r="B270" s="3229" t="s">
        <v>3150</v>
      </c>
      <c r="C270" s="3229" t="s">
        <v>3151</v>
      </c>
      <c r="D270" s="3229" t="s">
        <v>3152</v>
      </c>
      <c r="E270" s="3257" t="s">
        <v>4412</v>
      </c>
      <c r="F270" s="3257">
        <v>32.020000000000003</v>
      </c>
      <c r="G270" s="3245">
        <f t="shared" si="5"/>
        <v>7.81</v>
      </c>
      <c r="H270" s="3258"/>
    </row>
    <row r="271" spans="1:8">
      <c r="A271" s="3228">
        <v>268</v>
      </c>
      <c r="B271" s="3229" t="s">
        <v>3150</v>
      </c>
      <c r="C271" s="3229" t="s">
        <v>3151</v>
      </c>
      <c r="D271" s="3229" t="s">
        <v>3152</v>
      </c>
      <c r="E271" s="3257" t="s">
        <v>4413</v>
      </c>
      <c r="F271" s="3257">
        <v>32.020000000000003</v>
      </c>
      <c r="G271" s="3245">
        <f t="shared" si="5"/>
        <v>7.81</v>
      </c>
      <c r="H271" s="3258"/>
    </row>
    <row r="272" spans="1:8">
      <c r="A272" s="3228">
        <v>269</v>
      </c>
      <c r="B272" s="3229" t="s">
        <v>3150</v>
      </c>
      <c r="C272" s="3229" t="s">
        <v>3151</v>
      </c>
      <c r="D272" s="3229" t="s">
        <v>3152</v>
      </c>
      <c r="E272" s="3257" t="s">
        <v>4414</v>
      </c>
      <c r="F272" s="3257">
        <v>32.020000000000003</v>
      </c>
      <c r="G272" s="3245">
        <f t="shared" si="5"/>
        <v>7.81</v>
      </c>
      <c r="H272" s="3258"/>
    </row>
    <row r="273" spans="1:8">
      <c r="A273" s="3228">
        <v>270</v>
      </c>
      <c r="B273" s="3229" t="s">
        <v>3150</v>
      </c>
      <c r="C273" s="3229" t="s">
        <v>3151</v>
      </c>
      <c r="D273" s="3229" t="s">
        <v>3152</v>
      </c>
      <c r="E273" s="3257" t="s">
        <v>4415</v>
      </c>
      <c r="F273" s="3257">
        <v>32.020000000000003</v>
      </c>
      <c r="G273" s="3245">
        <f t="shared" si="5"/>
        <v>7.81</v>
      </c>
      <c r="H273" s="3258"/>
    </row>
    <row r="274" spans="1:8">
      <c r="A274" s="3228">
        <v>271</v>
      </c>
      <c r="B274" s="3229" t="s">
        <v>3150</v>
      </c>
      <c r="C274" s="3229" t="s">
        <v>3151</v>
      </c>
      <c r="D274" s="3229" t="s">
        <v>3152</v>
      </c>
      <c r="E274" s="3257" t="s">
        <v>4416</v>
      </c>
      <c r="F274" s="3257">
        <v>32.020000000000003</v>
      </c>
      <c r="G274" s="3245">
        <f t="shared" si="5"/>
        <v>7.81</v>
      </c>
      <c r="H274" s="3258"/>
    </row>
    <row r="275" spans="1:8">
      <c r="A275" s="3228">
        <v>272</v>
      </c>
      <c r="B275" s="3229" t="s">
        <v>3150</v>
      </c>
      <c r="C275" s="3229" t="s">
        <v>3151</v>
      </c>
      <c r="D275" s="3229" t="s">
        <v>3152</v>
      </c>
      <c r="E275" s="3257" t="s">
        <v>4417</v>
      </c>
      <c r="F275" s="3257">
        <v>32.020000000000003</v>
      </c>
      <c r="G275" s="3245">
        <f t="shared" si="5"/>
        <v>7.81</v>
      </c>
      <c r="H275" s="3258"/>
    </row>
    <row r="276" spans="1:8">
      <c r="A276" s="3228">
        <v>273</v>
      </c>
      <c r="B276" s="3229" t="s">
        <v>3150</v>
      </c>
      <c r="C276" s="3229" t="s">
        <v>3151</v>
      </c>
      <c r="D276" s="3229" t="s">
        <v>3152</v>
      </c>
      <c r="E276" s="3257" t="s">
        <v>4418</v>
      </c>
      <c r="F276" s="3257">
        <v>32.020000000000003</v>
      </c>
      <c r="G276" s="3245">
        <f t="shared" si="5"/>
        <v>7.81</v>
      </c>
      <c r="H276" s="3258"/>
    </row>
    <row r="277" spans="1:8">
      <c r="A277" s="3228">
        <v>274</v>
      </c>
      <c r="B277" s="3229" t="s">
        <v>3150</v>
      </c>
      <c r="C277" s="3229" t="s">
        <v>3151</v>
      </c>
      <c r="D277" s="3229" t="s">
        <v>3152</v>
      </c>
      <c r="E277" s="3257" t="s">
        <v>4419</v>
      </c>
      <c r="F277" s="3257">
        <v>32.020000000000003</v>
      </c>
      <c r="G277" s="3245">
        <f t="shared" si="5"/>
        <v>7.81</v>
      </c>
      <c r="H277" s="3258"/>
    </row>
    <row r="278" spans="1:8">
      <c r="A278" s="3228">
        <v>275</v>
      </c>
      <c r="B278" s="3229" t="s">
        <v>3150</v>
      </c>
      <c r="C278" s="3229" t="s">
        <v>3151</v>
      </c>
      <c r="D278" s="3229" t="s">
        <v>3152</v>
      </c>
      <c r="E278" s="3257" t="s">
        <v>4420</v>
      </c>
      <c r="F278" s="3257">
        <v>32.020000000000003</v>
      </c>
      <c r="G278" s="3245">
        <f t="shared" si="5"/>
        <v>7.81</v>
      </c>
      <c r="H278" s="3258"/>
    </row>
    <row r="279" spans="1:8">
      <c r="A279" s="3228">
        <v>276</v>
      </c>
      <c r="B279" s="3229" t="s">
        <v>3150</v>
      </c>
      <c r="C279" s="3229" t="s">
        <v>3151</v>
      </c>
      <c r="D279" s="3229" t="s">
        <v>3152</v>
      </c>
      <c r="E279" s="3257" t="s">
        <v>4421</v>
      </c>
      <c r="F279" s="3257">
        <v>32.020000000000003</v>
      </c>
      <c r="G279" s="3245">
        <f t="shared" si="5"/>
        <v>7.81</v>
      </c>
      <c r="H279" s="3258"/>
    </row>
    <row r="280" spans="1:8">
      <c r="A280" s="3228">
        <v>277</v>
      </c>
      <c r="B280" s="3229" t="s">
        <v>3150</v>
      </c>
      <c r="C280" s="3229" t="s">
        <v>3151</v>
      </c>
      <c r="D280" s="3229" t="s">
        <v>3152</v>
      </c>
      <c r="E280" s="3257" t="s">
        <v>4422</v>
      </c>
      <c r="F280" s="3257">
        <v>32.020000000000003</v>
      </c>
      <c r="G280" s="3245">
        <f t="shared" si="5"/>
        <v>7.81</v>
      </c>
      <c r="H280" s="3258"/>
    </row>
    <row r="281" spans="1:8">
      <c r="A281" s="3228">
        <v>278</v>
      </c>
      <c r="B281" s="3229" t="s">
        <v>3150</v>
      </c>
      <c r="C281" s="3229" t="s">
        <v>3151</v>
      </c>
      <c r="D281" s="3229" t="s">
        <v>3152</v>
      </c>
      <c r="E281" s="3257" t="s">
        <v>4423</v>
      </c>
      <c r="F281" s="3257">
        <v>32.020000000000003</v>
      </c>
      <c r="G281" s="3245">
        <f t="shared" si="5"/>
        <v>7.81</v>
      </c>
      <c r="H281" s="3258"/>
    </row>
    <row r="282" spans="1:8">
      <c r="A282" s="3228">
        <v>279</v>
      </c>
      <c r="B282" s="3229" t="s">
        <v>3150</v>
      </c>
      <c r="C282" s="3229" t="s">
        <v>3151</v>
      </c>
      <c r="D282" s="3229" t="s">
        <v>3152</v>
      </c>
      <c r="E282" s="3257" t="s">
        <v>4424</v>
      </c>
      <c r="F282" s="3257">
        <v>32.020000000000003</v>
      </c>
      <c r="G282" s="3245">
        <f t="shared" si="5"/>
        <v>7.81</v>
      </c>
      <c r="H282" s="3258"/>
    </row>
    <row r="283" spans="1:8">
      <c r="A283" s="3228">
        <v>280</v>
      </c>
      <c r="B283" s="3229" t="s">
        <v>3150</v>
      </c>
      <c r="C283" s="3229" t="s">
        <v>3151</v>
      </c>
      <c r="D283" s="3229" t="s">
        <v>3152</v>
      </c>
      <c r="E283" s="3257" t="s">
        <v>4425</v>
      </c>
      <c r="F283" s="3257">
        <v>32.020000000000003</v>
      </c>
      <c r="G283" s="3245">
        <f t="shared" si="5"/>
        <v>7.81</v>
      </c>
      <c r="H283" s="3258"/>
    </row>
    <row r="284" spans="1:8">
      <c r="A284" s="3228">
        <v>281</v>
      </c>
      <c r="B284" s="3229" t="s">
        <v>3150</v>
      </c>
      <c r="C284" s="3229" t="s">
        <v>3151</v>
      </c>
      <c r="D284" s="3229" t="s">
        <v>3152</v>
      </c>
      <c r="E284" s="3257" t="s">
        <v>4426</v>
      </c>
      <c r="F284" s="3257">
        <v>32.020000000000003</v>
      </c>
      <c r="G284" s="3245">
        <f t="shared" si="5"/>
        <v>7.81</v>
      </c>
      <c r="H284" s="3258"/>
    </row>
    <row r="285" spans="1:8">
      <c r="A285" s="3228">
        <v>282</v>
      </c>
      <c r="B285" s="3229" t="s">
        <v>3150</v>
      </c>
      <c r="C285" s="3229" t="s">
        <v>3151</v>
      </c>
      <c r="D285" s="3229" t="s">
        <v>3152</v>
      </c>
      <c r="E285" s="3257" t="s">
        <v>4427</v>
      </c>
      <c r="F285" s="3257">
        <v>32.020000000000003</v>
      </c>
      <c r="G285" s="3245">
        <f t="shared" si="5"/>
        <v>7.81</v>
      </c>
      <c r="H285" s="3258"/>
    </row>
    <row r="286" spans="1:8">
      <c r="A286" s="3228">
        <v>283</v>
      </c>
      <c r="B286" s="3229" t="s">
        <v>3150</v>
      </c>
      <c r="C286" s="3229" t="s">
        <v>3151</v>
      </c>
      <c r="D286" s="3229" t="s">
        <v>3152</v>
      </c>
      <c r="E286" s="3257" t="s">
        <v>4428</v>
      </c>
      <c r="F286" s="3257">
        <v>32.020000000000003</v>
      </c>
      <c r="G286" s="3245">
        <f t="shared" si="5"/>
        <v>7.81</v>
      </c>
      <c r="H286" s="3258"/>
    </row>
    <row r="287" spans="1:8">
      <c r="A287" s="3228">
        <v>284</v>
      </c>
      <c r="B287" s="3229" t="s">
        <v>3150</v>
      </c>
      <c r="C287" s="3229" t="s">
        <v>3151</v>
      </c>
      <c r="D287" s="3229" t="s">
        <v>3152</v>
      </c>
      <c r="E287" s="3257" t="s">
        <v>4429</v>
      </c>
      <c r="F287" s="3257">
        <v>32.020000000000003</v>
      </c>
      <c r="G287" s="3245">
        <f t="shared" si="5"/>
        <v>7.81</v>
      </c>
      <c r="H287" s="3258"/>
    </row>
    <row r="288" spans="1:8">
      <c r="A288" s="3228">
        <v>285</v>
      </c>
      <c r="B288" s="3229" t="s">
        <v>3150</v>
      </c>
      <c r="C288" s="3229" t="s">
        <v>3151</v>
      </c>
      <c r="D288" s="3229" t="s">
        <v>3152</v>
      </c>
      <c r="E288" s="3257" t="s">
        <v>4430</v>
      </c>
      <c r="F288" s="3257">
        <v>33.36</v>
      </c>
      <c r="G288" s="3245">
        <f t="shared" si="5"/>
        <v>8.1300000000000008</v>
      </c>
      <c r="H288" s="3258"/>
    </row>
    <row r="289" spans="1:9">
      <c r="A289" s="3228">
        <v>286</v>
      </c>
      <c r="B289" s="3229" t="s">
        <v>3150</v>
      </c>
      <c r="C289" s="3229" t="s">
        <v>3151</v>
      </c>
      <c r="D289" s="3229" t="s">
        <v>3152</v>
      </c>
      <c r="E289" s="3257" t="s">
        <v>4431</v>
      </c>
      <c r="F289" s="3257">
        <v>32.020000000000003</v>
      </c>
      <c r="G289" s="3245">
        <f t="shared" si="5"/>
        <v>7.81</v>
      </c>
      <c r="H289" s="3258"/>
    </row>
    <row r="290" spans="1:9">
      <c r="A290" s="3228">
        <v>287</v>
      </c>
      <c r="B290" s="3229" t="s">
        <v>3150</v>
      </c>
      <c r="C290" s="3229" t="s">
        <v>3151</v>
      </c>
      <c r="D290" s="3229" t="s">
        <v>3152</v>
      </c>
      <c r="E290" s="3257" t="s">
        <v>4432</v>
      </c>
      <c r="F290" s="3257">
        <v>33.36</v>
      </c>
      <c r="G290" s="3245">
        <f t="shared" si="5"/>
        <v>8.1300000000000008</v>
      </c>
      <c r="H290" s="3258"/>
    </row>
    <row r="291" spans="1:9">
      <c r="A291" s="3228">
        <v>288</v>
      </c>
      <c r="B291" s="3229" t="s">
        <v>3150</v>
      </c>
      <c r="C291" s="3229" t="s">
        <v>3151</v>
      </c>
      <c r="D291" s="3229" t="s">
        <v>3152</v>
      </c>
      <c r="E291" s="3257" t="s">
        <v>4433</v>
      </c>
      <c r="F291" s="3257">
        <v>27.57</v>
      </c>
      <c r="G291" s="3245">
        <f>ROUND(F291/$C$909*$D$909,2)+0.12</f>
        <v>6.84</v>
      </c>
      <c r="H291" s="3258"/>
    </row>
    <row r="292" spans="1:9">
      <c r="A292" s="3228">
        <v>289</v>
      </c>
      <c r="B292" s="3229" t="s">
        <v>3150</v>
      </c>
      <c r="C292" s="3229" t="s">
        <v>3151</v>
      </c>
      <c r="D292" s="3229" t="s">
        <v>3152</v>
      </c>
      <c r="E292" s="3257" t="s">
        <v>4434</v>
      </c>
      <c r="F292" s="3257">
        <v>32.020000000000003</v>
      </c>
      <c r="G292" s="3245">
        <f t="shared" si="5"/>
        <v>7.81</v>
      </c>
      <c r="H292" s="3258"/>
    </row>
    <row r="293" spans="1:9">
      <c r="A293" s="3228">
        <v>290</v>
      </c>
      <c r="B293" s="3229" t="s">
        <v>3150</v>
      </c>
      <c r="C293" s="3229" t="s">
        <v>3151</v>
      </c>
      <c r="D293" s="3229" t="s">
        <v>3152</v>
      </c>
      <c r="E293" s="3257" t="s">
        <v>4435</v>
      </c>
      <c r="F293" s="3257">
        <v>32.020000000000003</v>
      </c>
      <c r="G293" s="3245">
        <f t="shared" si="5"/>
        <v>7.81</v>
      </c>
      <c r="H293" s="3258"/>
    </row>
    <row r="294" spans="1:9">
      <c r="A294" s="3228">
        <v>291</v>
      </c>
      <c r="B294" s="3229" t="s">
        <v>3150</v>
      </c>
      <c r="C294" s="3229" t="s">
        <v>3151</v>
      </c>
      <c r="D294" s="3229" t="s">
        <v>3152</v>
      </c>
      <c r="E294" s="3257" t="s">
        <v>4436</v>
      </c>
      <c r="F294" s="3257">
        <v>32.020000000000003</v>
      </c>
      <c r="G294" s="3245">
        <f t="shared" si="5"/>
        <v>7.81</v>
      </c>
      <c r="H294" s="3258"/>
    </row>
    <row r="295" spans="1:9">
      <c r="A295" s="3228">
        <v>292</v>
      </c>
      <c r="B295" s="3229" t="s">
        <v>3150</v>
      </c>
      <c r="C295" s="3229" t="s">
        <v>3151</v>
      </c>
      <c r="D295" s="3229" t="s">
        <v>5059</v>
      </c>
      <c r="E295" s="3257" t="s">
        <v>4437</v>
      </c>
      <c r="F295" s="3257">
        <v>32.020000000000003</v>
      </c>
      <c r="G295" s="3245">
        <f t="shared" si="5"/>
        <v>7.81</v>
      </c>
      <c r="H295" s="3260">
        <f>SUM(G4:G295)</f>
        <v>2311.2299999999932</v>
      </c>
      <c r="I295" s="3245">
        <f>D909-H295</f>
        <v>1.9737076218007132E-3</v>
      </c>
    </row>
    <row r="296" spans="1:9">
      <c r="A296" s="3228">
        <v>293</v>
      </c>
      <c r="B296" s="3229" t="s">
        <v>3150</v>
      </c>
      <c r="C296" s="3229" t="s">
        <v>3151</v>
      </c>
      <c r="D296" s="3229" t="s">
        <v>3153</v>
      </c>
      <c r="E296" s="3257" t="s">
        <v>4441</v>
      </c>
      <c r="F296" s="3257">
        <v>37.11</v>
      </c>
      <c r="G296" s="3245">
        <f t="shared" ref="G296:G359" si="6">ROUND(F296/$C$910*$D$910,2)</f>
        <v>7.62</v>
      </c>
      <c r="H296" s="3259"/>
    </row>
    <row r="297" spans="1:9">
      <c r="A297" s="3228">
        <v>294</v>
      </c>
      <c r="B297" s="3229" t="s">
        <v>3150</v>
      </c>
      <c r="C297" s="3229" t="s">
        <v>3151</v>
      </c>
      <c r="D297" s="3229" t="s">
        <v>3153</v>
      </c>
      <c r="E297" s="3257" t="s">
        <v>4442</v>
      </c>
      <c r="F297" s="3257">
        <v>37.11</v>
      </c>
      <c r="G297" s="3245">
        <f t="shared" si="6"/>
        <v>7.62</v>
      </c>
      <c r="H297" s="3259"/>
    </row>
    <row r="298" spans="1:9">
      <c r="A298" s="3228">
        <v>295</v>
      </c>
      <c r="B298" s="3229" t="s">
        <v>3150</v>
      </c>
      <c r="C298" s="3229" t="s">
        <v>3151</v>
      </c>
      <c r="D298" s="3229" t="s">
        <v>3153</v>
      </c>
      <c r="E298" s="3257" t="s">
        <v>4443</v>
      </c>
      <c r="F298" s="3257">
        <v>37.11</v>
      </c>
      <c r="G298" s="3245">
        <f t="shared" si="6"/>
        <v>7.62</v>
      </c>
      <c r="H298" s="3259"/>
    </row>
    <row r="299" spans="1:9">
      <c r="A299" s="3228">
        <v>296</v>
      </c>
      <c r="B299" s="3229" t="s">
        <v>3150</v>
      </c>
      <c r="C299" s="3229" t="s">
        <v>3151</v>
      </c>
      <c r="D299" s="3229" t="s">
        <v>3153</v>
      </c>
      <c r="E299" s="3257" t="s">
        <v>4444</v>
      </c>
      <c r="F299" s="3257">
        <v>37.11</v>
      </c>
      <c r="G299" s="3245">
        <f t="shared" si="6"/>
        <v>7.62</v>
      </c>
      <c r="H299" s="3259"/>
    </row>
    <row r="300" spans="1:9">
      <c r="A300" s="3228">
        <v>297</v>
      </c>
      <c r="B300" s="3229" t="s">
        <v>3150</v>
      </c>
      <c r="C300" s="3229" t="s">
        <v>3151</v>
      </c>
      <c r="D300" s="3229" t="s">
        <v>3153</v>
      </c>
      <c r="E300" s="3257" t="s">
        <v>4445</v>
      </c>
      <c r="F300" s="3257">
        <v>37.11</v>
      </c>
      <c r="G300" s="3245">
        <f t="shared" si="6"/>
        <v>7.62</v>
      </c>
      <c r="H300" s="3259"/>
    </row>
    <row r="301" spans="1:9">
      <c r="A301" s="3228">
        <v>298</v>
      </c>
      <c r="B301" s="3229" t="s">
        <v>3150</v>
      </c>
      <c r="C301" s="3229" t="s">
        <v>3151</v>
      </c>
      <c r="D301" s="3229" t="s">
        <v>3153</v>
      </c>
      <c r="E301" s="3257" t="s">
        <v>4446</v>
      </c>
      <c r="F301" s="3257">
        <v>37.11</v>
      </c>
      <c r="G301" s="3245">
        <f t="shared" si="6"/>
        <v>7.62</v>
      </c>
      <c r="H301" s="3259"/>
    </row>
    <row r="302" spans="1:9">
      <c r="A302" s="3228">
        <v>299</v>
      </c>
      <c r="B302" s="3229" t="s">
        <v>3150</v>
      </c>
      <c r="C302" s="3229" t="s">
        <v>3151</v>
      </c>
      <c r="D302" s="3229" t="s">
        <v>3153</v>
      </c>
      <c r="E302" s="3257" t="s">
        <v>4447</v>
      </c>
      <c r="F302" s="3257">
        <v>37.11</v>
      </c>
      <c r="G302" s="3245">
        <f t="shared" si="6"/>
        <v>7.62</v>
      </c>
      <c r="H302" s="3259"/>
    </row>
    <row r="303" spans="1:9">
      <c r="A303" s="3228">
        <v>300</v>
      </c>
      <c r="B303" s="3229" t="s">
        <v>3150</v>
      </c>
      <c r="C303" s="3229" t="s">
        <v>3151</v>
      </c>
      <c r="D303" s="3229" t="s">
        <v>3153</v>
      </c>
      <c r="E303" s="3257" t="s">
        <v>4448</v>
      </c>
      <c r="F303" s="3257">
        <v>37.11</v>
      </c>
      <c r="G303" s="3245">
        <f t="shared" si="6"/>
        <v>7.62</v>
      </c>
      <c r="H303" s="3259"/>
    </row>
    <row r="304" spans="1:9">
      <c r="A304" s="3228">
        <v>301</v>
      </c>
      <c r="B304" s="3229" t="s">
        <v>3150</v>
      </c>
      <c r="C304" s="3229" t="s">
        <v>3151</v>
      </c>
      <c r="D304" s="3229" t="s">
        <v>3153</v>
      </c>
      <c r="E304" s="3257" t="s">
        <v>4449</v>
      </c>
      <c r="F304" s="3257">
        <v>37.11</v>
      </c>
      <c r="G304" s="3245">
        <f t="shared" si="6"/>
        <v>7.62</v>
      </c>
      <c r="H304" s="3259"/>
    </row>
    <row r="305" spans="1:8">
      <c r="A305" s="3228">
        <v>302</v>
      </c>
      <c r="B305" s="3229" t="s">
        <v>3150</v>
      </c>
      <c r="C305" s="3229" t="s">
        <v>3151</v>
      </c>
      <c r="D305" s="3229" t="s">
        <v>3153</v>
      </c>
      <c r="E305" s="3257" t="s">
        <v>4450</v>
      </c>
      <c r="F305" s="3257">
        <v>38.659999999999997</v>
      </c>
      <c r="G305" s="3245">
        <f t="shared" si="6"/>
        <v>7.93</v>
      </c>
      <c r="H305" s="3259"/>
    </row>
    <row r="306" spans="1:8">
      <c r="A306" s="3228">
        <v>303</v>
      </c>
      <c r="B306" s="3229" t="s">
        <v>3150</v>
      </c>
      <c r="C306" s="3229" t="s">
        <v>3151</v>
      </c>
      <c r="D306" s="3229" t="s">
        <v>3153</v>
      </c>
      <c r="E306" s="3257" t="s">
        <v>4451</v>
      </c>
      <c r="F306" s="3257">
        <v>38.659999999999997</v>
      </c>
      <c r="G306" s="3245">
        <f t="shared" si="6"/>
        <v>7.93</v>
      </c>
      <c r="H306" s="3259"/>
    </row>
    <row r="307" spans="1:8">
      <c r="A307" s="3228">
        <v>304</v>
      </c>
      <c r="B307" s="3229" t="s">
        <v>3150</v>
      </c>
      <c r="C307" s="3229" t="s">
        <v>3151</v>
      </c>
      <c r="D307" s="3229" t="s">
        <v>3153</v>
      </c>
      <c r="E307" s="3257" t="s">
        <v>4452</v>
      </c>
      <c r="F307" s="3257">
        <v>37.11</v>
      </c>
      <c r="G307" s="3245">
        <f t="shared" si="6"/>
        <v>7.62</v>
      </c>
      <c r="H307" s="3259"/>
    </row>
    <row r="308" spans="1:8">
      <c r="A308" s="3228">
        <v>305</v>
      </c>
      <c r="B308" s="3229" t="s">
        <v>3150</v>
      </c>
      <c r="C308" s="3229" t="s">
        <v>3151</v>
      </c>
      <c r="D308" s="3229" t="s">
        <v>3153</v>
      </c>
      <c r="E308" s="3257" t="s">
        <v>4453</v>
      </c>
      <c r="F308" s="3257">
        <v>37.11</v>
      </c>
      <c r="G308" s="3245">
        <f t="shared" si="6"/>
        <v>7.62</v>
      </c>
      <c r="H308" s="3259"/>
    </row>
    <row r="309" spans="1:8">
      <c r="A309" s="3228">
        <v>306</v>
      </c>
      <c r="B309" s="3229" t="s">
        <v>3150</v>
      </c>
      <c r="C309" s="3229" t="s">
        <v>3151</v>
      </c>
      <c r="D309" s="3229" t="s">
        <v>3153</v>
      </c>
      <c r="E309" s="3257" t="s">
        <v>4454</v>
      </c>
      <c r="F309" s="3257">
        <v>36.369999999999997</v>
      </c>
      <c r="G309" s="3245">
        <f t="shared" si="6"/>
        <v>7.46</v>
      </c>
      <c r="H309" s="3259"/>
    </row>
    <row r="310" spans="1:8">
      <c r="A310" s="3228">
        <v>307</v>
      </c>
      <c r="B310" s="3229" t="s">
        <v>3150</v>
      </c>
      <c r="C310" s="3229" t="s">
        <v>3151</v>
      </c>
      <c r="D310" s="3229" t="s">
        <v>3153</v>
      </c>
      <c r="E310" s="3257" t="s">
        <v>4455</v>
      </c>
      <c r="F310" s="3257">
        <v>37.11</v>
      </c>
      <c r="G310" s="3245">
        <f t="shared" si="6"/>
        <v>7.62</v>
      </c>
      <c r="H310" s="3259"/>
    </row>
    <row r="311" spans="1:8">
      <c r="A311" s="3228">
        <v>308</v>
      </c>
      <c r="B311" s="3229" t="s">
        <v>3150</v>
      </c>
      <c r="C311" s="3229" t="s">
        <v>3151</v>
      </c>
      <c r="D311" s="3229" t="s">
        <v>3153</v>
      </c>
      <c r="E311" s="3257" t="s">
        <v>4456</v>
      </c>
      <c r="F311" s="3257">
        <v>40.200000000000003</v>
      </c>
      <c r="G311" s="3245">
        <f t="shared" si="6"/>
        <v>8.25</v>
      </c>
      <c r="H311" s="3259"/>
    </row>
    <row r="312" spans="1:8">
      <c r="A312" s="3228">
        <v>309</v>
      </c>
      <c r="B312" s="3229" t="s">
        <v>3150</v>
      </c>
      <c r="C312" s="3229" t="s">
        <v>3151</v>
      </c>
      <c r="D312" s="3229" t="s">
        <v>3153</v>
      </c>
      <c r="E312" s="3257" t="s">
        <v>4457</v>
      </c>
      <c r="F312" s="3257">
        <v>37.11</v>
      </c>
      <c r="G312" s="3245">
        <f t="shared" si="6"/>
        <v>7.62</v>
      </c>
      <c r="H312" s="3259"/>
    </row>
    <row r="313" spans="1:8">
      <c r="A313" s="3228">
        <v>310</v>
      </c>
      <c r="B313" s="3229" t="s">
        <v>3150</v>
      </c>
      <c r="C313" s="3229" t="s">
        <v>3151</v>
      </c>
      <c r="D313" s="3229" t="s">
        <v>3153</v>
      </c>
      <c r="E313" s="3257" t="s">
        <v>4458</v>
      </c>
      <c r="F313" s="3257">
        <v>37.11</v>
      </c>
      <c r="G313" s="3245">
        <f t="shared" si="6"/>
        <v>7.62</v>
      </c>
      <c r="H313" s="3259"/>
    </row>
    <row r="314" spans="1:8">
      <c r="A314" s="3228">
        <v>311</v>
      </c>
      <c r="B314" s="3229" t="s">
        <v>3150</v>
      </c>
      <c r="C314" s="3229" t="s">
        <v>3151</v>
      </c>
      <c r="D314" s="3229" t="s">
        <v>3153</v>
      </c>
      <c r="E314" s="3257" t="s">
        <v>4459</v>
      </c>
      <c r="F314" s="3257">
        <v>37.11</v>
      </c>
      <c r="G314" s="3245">
        <f t="shared" si="6"/>
        <v>7.62</v>
      </c>
      <c r="H314" s="3259"/>
    </row>
    <row r="315" spans="1:8">
      <c r="A315" s="3228">
        <v>312</v>
      </c>
      <c r="B315" s="3229" t="s">
        <v>3150</v>
      </c>
      <c r="C315" s="3229" t="s">
        <v>3151</v>
      </c>
      <c r="D315" s="3229" t="s">
        <v>3153</v>
      </c>
      <c r="E315" s="3257" t="s">
        <v>4460</v>
      </c>
      <c r="F315" s="3257">
        <v>37.49</v>
      </c>
      <c r="G315" s="3245">
        <f t="shared" si="6"/>
        <v>7.69</v>
      </c>
      <c r="H315" s="3259"/>
    </row>
    <row r="316" spans="1:8">
      <c r="A316" s="3228">
        <v>313</v>
      </c>
      <c r="B316" s="3229" t="s">
        <v>3150</v>
      </c>
      <c r="C316" s="3229" t="s">
        <v>3151</v>
      </c>
      <c r="D316" s="3229" t="s">
        <v>3153</v>
      </c>
      <c r="E316" s="3257" t="s">
        <v>4461</v>
      </c>
      <c r="F316" s="3257">
        <v>37.49</v>
      </c>
      <c r="G316" s="3245">
        <f t="shared" si="6"/>
        <v>7.69</v>
      </c>
      <c r="H316" s="3259"/>
    </row>
    <row r="317" spans="1:8">
      <c r="A317" s="3228">
        <v>314</v>
      </c>
      <c r="B317" s="3229" t="s">
        <v>3150</v>
      </c>
      <c r="C317" s="3229" t="s">
        <v>3151</v>
      </c>
      <c r="D317" s="3229" t="s">
        <v>3153</v>
      </c>
      <c r="E317" s="3257" t="s">
        <v>4462</v>
      </c>
      <c r="F317" s="3257">
        <v>37.49</v>
      </c>
      <c r="G317" s="3245">
        <f t="shared" si="6"/>
        <v>7.69</v>
      </c>
      <c r="H317" s="3259"/>
    </row>
    <row r="318" spans="1:8">
      <c r="A318" s="3228">
        <v>315</v>
      </c>
      <c r="B318" s="3229" t="s">
        <v>3150</v>
      </c>
      <c r="C318" s="3229" t="s">
        <v>3151</v>
      </c>
      <c r="D318" s="3229" t="s">
        <v>3153</v>
      </c>
      <c r="E318" s="3257" t="s">
        <v>4463</v>
      </c>
      <c r="F318" s="3257">
        <v>37.49</v>
      </c>
      <c r="G318" s="3245">
        <f t="shared" si="6"/>
        <v>7.69</v>
      </c>
      <c r="H318" s="3259"/>
    </row>
    <row r="319" spans="1:8">
      <c r="A319" s="3228">
        <v>316</v>
      </c>
      <c r="B319" s="3229" t="s">
        <v>3150</v>
      </c>
      <c r="C319" s="3229" t="s">
        <v>3151</v>
      </c>
      <c r="D319" s="3229" t="s">
        <v>3153</v>
      </c>
      <c r="E319" s="3257" t="s">
        <v>4464</v>
      </c>
      <c r="F319" s="3257">
        <v>37.49</v>
      </c>
      <c r="G319" s="3245">
        <f t="shared" si="6"/>
        <v>7.69</v>
      </c>
      <c r="H319" s="3259"/>
    </row>
    <row r="320" spans="1:8">
      <c r="A320" s="3228">
        <v>317</v>
      </c>
      <c r="B320" s="3229" t="s">
        <v>3150</v>
      </c>
      <c r="C320" s="3229" t="s">
        <v>3151</v>
      </c>
      <c r="D320" s="3229" t="s">
        <v>3153</v>
      </c>
      <c r="E320" s="3257" t="s">
        <v>4465</v>
      </c>
      <c r="F320" s="3257">
        <v>37.49</v>
      </c>
      <c r="G320" s="3245">
        <f t="shared" si="6"/>
        <v>7.69</v>
      </c>
      <c r="H320" s="3259"/>
    </row>
    <row r="321" spans="1:8">
      <c r="A321" s="3228">
        <v>318</v>
      </c>
      <c r="B321" s="3229" t="s">
        <v>3150</v>
      </c>
      <c r="C321" s="3229" t="s">
        <v>3151</v>
      </c>
      <c r="D321" s="3229" t="s">
        <v>3153</v>
      </c>
      <c r="E321" s="3257" t="s">
        <v>4466</v>
      </c>
      <c r="F321" s="3257">
        <v>37.49</v>
      </c>
      <c r="G321" s="3245">
        <f t="shared" si="6"/>
        <v>7.69</v>
      </c>
      <c r="H321" s="3259"/>
    </row>
    <row r="322" spans="1:8">
      <c r="A322" s="3228">
        <v>319</v>
      </c>
      <c r="B322" s="3229" t="s">
        <v>3150</v>
      </c>
      <c r="C322" s="3229" t="s">
        <v>3151</v>
      </c>
      <c r="D322" s="3229" t="s">
        <v>3153</v>
      </c>
      <c r="E322" s="3257" t="s">
        <v>4467</v>
      </c>
      <c r="F322" s="3257">
        <v>37.49</v>
      </c>
      <c r="G322" s="3245">
        <f t="shared" si="6"/>
        <v>7.69</v>
      </c>
      <c r="H322" s="3259"/>
    </row>
    <row r="323" spans="1:8">
      <c r="A323" s="3228">
        <v>320</v>
      </c>
      <c r="B323" s="3229" t="s">
        <v>3150</v>
      </c>
      <c r="C323" s="3229" t="s">
        <v>3151</v>
      </c>
      <c r="D323" s="3229" t="s">
        <v>3153</v>
      </c>
      <c r="E323" s="3257" t="s">
        <v>4468</v>
      </c>
      <c r="F323" s="3257">
        <v>37.49</v>
      </c>
      <c r="G323" s="3245">
        <f t="shared" si="6"/>
        <v>7.69</v>
      </c>
      <c r="H323" s="3259"/>
    </row>
    <row r="324" spans="1:8">
      <c r="A324" s="3228">
        <v>321</v>
      </c>
      <c r="B324" s="3229" t="s">
        <v>3150</v>
      </c>
      <c r="C324" s="3229" t="s">
        <v>3151</v>
      </c>
      <c r="D324" s="3229" t="s">
        <v>3153</v>
      </c>
      <c r="E324" s="3257" t="s">
        <v>4469</v>
      </c>
      <c r="F324" s="3257">
        <v>37.49</v>
      </c>
      <c r="G324" s="3245">
        <f t="shared" si="6"/>
        <v>7.69</v>
      </c>
      <c r="H324" s="3259"/>
    </row>
    <row r="325" spans="1:8">
      <c r="A325" s="3228">
        <v>322</v>
      </c>
      <c r="B325" s="3229" t="s">
        <v>3150</v>
      </c>
      <c r="C325" s="3229" t="s">
        <v>3151</v>
      </c>
      <c r="D325" s="3229" t="s">
        <v>3153</v>
      </c>
      <c r="E325" s="3257" t="s">
        <v>4470</v>
      </c>
      <c r="F325" s="3257">
        <v>37.49</v>
      </c>
      <c r="G325" s="3245">
        <f t="shared" si="6"/>
        <v>7.69</v>
      </c>
      <c r="H325" s="3259"/>
    </row>
    <row r="326" spans="1:8">
      <c r="A326" s="3228">
        <v>323</v>
      </c>
      <c r="B326" s="3229" t="s">
        <v>3150</v>
      </c>
      <c r="C326" s="3229" t="s">
        <v>3151</v>
      </c>
      <c r="D326" s="3229" t="s">
        <v>3153</v>
      </c>
      <c r="E326" s="3257" t="s">
        <v>4471</v>
      </c>
      <c r="F326" s="3257">
        <v>37.49</v>
      </c>
      <c r="G326" s="3245">
        <f t="shared" si="6"/>
        <v>7.69</v>
      </c>
      <c r="H326" s="3259"/>
    </row>
    <row r="327" spans="1:8">
      <c r="A327" s="3228">
        <v>324</v>
      </c>
      <c r="B327" s="3229" t="s">
        <v>3150</v>
      </c>
      <c r="C327" s="3229" t="s">
        <v>3151</v>
      </c>
      <c r="D327" s="3229" t="s">
        <v>3153</v>
      </c>
      <c r="E327" s="3257" t="s">
        <v>4472</v>
      </c>
      <c r="F327" s="3257">
        <v>37.49</v>
      </c>
      <c r="G327" s="3245">
        <f t="shared" si="6"/>
        <v>7.69</v>
      </c>
      <c r="H327" s="3259"/>
    </row>
    <row r="328" spans="1:8">
      <c r="A328" s="3228">
        <v>325</v>
      </c>
      <c r="B328" s="3229" t="s">
        <v>3150</v>
      </c>
      <c r="C328" s="3229" t="s">
        <v>3151</v>
      </c>
      <c r="D328" s="3229" t="s">
        <v>3153</v>
      </c>
      <c r="E328" s="3257" t="s">
        <v>4473</v>
      </c>
      <c r="F328" s="3257">
        <v>37.49</v>
      </c>
      <c r="G328" s="3245">
        <f t="shared" si="6"/>
        <v>7.69</v>
      </c>
      <c r="H328" s="3259"/>
    </row>
    <row r="329" spans="1:8">
      <c r="A329" s="3228">
        <v>326</v>
      </c>
      <c r="B329" s="3229" t="s">
        <v>3150</v>
      </c>
      <c r="C329" s="3229" t="s">
        <v>3151</v>
      </c>
      <c r="D329" s="3229" t="s">
        <v>3153</v>
      </c>
      <c r="E329" s="3257" t="s">
        <v>4474</v>
      </c>
      <c r="F329" s="3257">
        <v>37.49</v>
      </c>
      <c r="G329" s="3245">
        <f t="shared" si="6"/>
        <v>7.69</v>
      </c>
      <c r="H329" s="3259"/>
    </row>
    <row r="330" spans="1:8">
      <c r="A330" s="3228">
        <v>327</v>
      </c>
      <c r="B330" s="3229" t="s">
        <v>3150</v>
      </c>
      <c r="C330" s="3229" t="s">
        <v>3151</v>
      </c>
      <c r="D330" s="3229" t="s">
        <v>3153</v>
      </c>
      <c r="E330" s="3257" t="s">
        <v>4475</v>
      </c>
      <c r="F330" s="3257">
        <v>37.49</v>
      </c>
      <c r="G330" s="3245">
        <f t="shared" si="6"/>
        <v>7.69</v>
      </c>
      <c r="H330" s="3259"/>
    </row>
    <row r="331" spans="1:8">
      <c r="A331" s="3228">
        <v>328</v>
      </c>
      <c r="B331" s="3229" t="s">
        <v>3150</v>
      </c>
      <c r="C331" s="3229" t="s">
        <v>3151</v>
      </c>
      <c r="D331" s="3229" t="s">
        <v>3153</v>
      </c>
      <c r="E331" s="3257" t="s">
        <v>4476</v>
      </c>
      <c r="F331" s="3257">
        <v>37.49</v>
      </c>
      <c r="G331" s="3245">
        <f t="shared" si="6"/>
        <v>7.69</v>
      </c>
      <c r="H331" s="3259"/>
    </row>
    <row r="332" spans="1:8">
      <c r="A332" s="3228">
        <v>329</v>
      </c>
      <c r="B332" s="3229" t="s">
        <v>3150</v>
      </c>
      <c r="C332" s="3229" t="s">
        <v>3151</v>
      </c>
      <c r="D332" s="3229" t="s">
        <v>3153</v>
      </c>
      <c r="E332" s="3257" t="s">
        <v>4477</v>
      </c>
      <c r="F332" s="3257">
        <v>37.49</v>
      </c>
      <c r="G332" s="3245">
        <f t="shared" si="6"/>
        <v>7.69</v>
      </c>
      <c r="H332" s="3259"/>
    </row>
    <row r="333" spans="1:8">
      <c r="A333" s="3228">
        <v>330</v>
      </c>
      <c r="B333" s="3229" t="s">
        <v>3150</v>
      </c>
      <c r="C333" s="3229" t="s">
        <v>3151</v>
      </c>
      <c r="D333" s="3229" t="s">
        <v>3153</v>
      </c>
      <c r="E333" s="3257" t="s">
        <v>4478</v>
      </c>
      <c r="F333" s="3257">
        <v>37.49</v>
      </c>
      <c r="G333" s="3245">
        <f t="shared" si="6"/>
        <v>7.69</v>
      </c>
      <c r="H333" s="3259"/>
    </row>
    <row r="334" spans="1:8">
      <c r="A334" s="3228">
        <v>331</v>
      </c>
      <c r="B334" s="3229" t="s">
        <v>3150</v>
      </c>
      <c r="C334" s="3229" t="s">
        <v>3151</v>
      </c>
      <c r="D334" s="3229" t="s">
        <v>3153</v>
      </c>
      <c r="E334" s="3257" t="s">
        <v>4479</v>
      </c>
      <c r="F334" s="3257">
        <v>37.49</v>
      </c>
      <c r="G334" s="3245">
        <f t="shared" si="6"/>
        <v>7.69</v>
      </c>
      <c r="H334" s="3259"/>
    </row>
    <row r="335" spans="1:8">
      <c r="A335" s="3228">
        <v>332</v>
      </c>
      <c r="B335" s="3229" t="s">
        <v>3150</v>
      </c>
      <c r="C335" s="3229" t="s">
        <v>3151</v>
      </c>
      <c r="D335" s="3229" t="s">
        <v>3153</v>
      </c>
      <c r="E335" s="3257" t="s">
        <v>4480</v>
      </c>
      <c r="F335" s="3257">
        <v>37.49</v>
      </c>
      <c r="G335" s="3245">
        <f t="shared" si="6"/>
        <v>7.69</v>
      </c>
      <c r="H335" s="3259"/>
    </row>
    <row r="336" spans="1:8">
      <c r="A336" s="3228">
        <v>333</v>
      </c>
      <c r="B336" s="3229" t="s">
        <v>3150</v>
      </c>
      <c r="C336" s="3229" t="s">
        <v>3151</v>
      </c>
      <c r="D336" s="3229" t="s">
        <v>3153</v>
      </c>
      <c r="E336" s="3257" t="s">
        <v>4481</v>
      </c>
      <c r="F336" s="3257">
        <v>35.99</v>
      </c>
      <c r="G336" s="3245">
        <f t="shared" si="6"/>
        <v>7.39</v>
      </c>
      <c r="H336" s="3259"/>
    </row>
    <row r="337" spans="1:8">
      <c r="A337" s="3228">
        <v>334</v>
      </c>
      <c r="B337" s="3229" t="s">
        <v>3150</v>
      </c>
      <c r="C337" s="3229" t="s">
        <v>3151</v>
      </c>
      <c r="D337" s="3229" t="s">
        <v>3153</v>
      </c>
      <c r="E337" s="3257" t="s">
        <v>4482</v>
      </c>
      <c r="F337" s="3257">
        <v>35.99</v>
      </c>
      <c r="G337" s="3245">
        <f t="shared" si="6"/>
        <v>7.39</v>
      </c>
      <c r="H337" s="3259"/>
    </row>
    <row r="338" spans="1:8">
      <c r="A338" s="3228">
        <v>335</v>
      </c>
      <c r="B338" s="3229" t="s">
        <v>3150</v>
      </c>
      <c r="C338" s="3229" t="s">
        <v>3151</v>
      </c>
      <c r="D338" s="3229" t="s">
        <v>3153</v>
      </c>
      <c r="E338" s="3257" t="s">
        <v>4483</v>
      </c>
      <c r="F338" s="3257">
        <v>35.99</v>
      </c>
      <c r="G338" s="3245">
        <f t="shared" si="6"/>
        <v>7.39</v>
      </c>
      <c r="H338" s="3259"/>
    </row>
    <row r="339" spans="1:8">
      <c r="A339" s="3228">
        <v>336</v>
      </c>
      <c r="B339" s="3229" t="s">
        <v>3150</v>
      </c>
      <c r="C339" s="3229" t="s">
        <v>3151</v>
      </c>
      <c r="D339" s="3229" t="s">
        <v>3153</v>
      </c>
      <c r="E339" s="3257" t="s">
        <v>4484</v>
      </c>
      <c r="F339" s="3257">
        <v>35.99</v>
      </c>
      <c r="G339" s="3245">
        <f t="shared" si="6"/>
        <v>7.39</v>
      </c>
      <c r="H339" s="3259"/>
    </row>
    <row r="340" spans="1:8">
      <c r="A340" s="3228">
        <v>337</v>
      </c>
      <c r="B340" s="3229" t="s">
        <v>3150</v>
      </c>
      <c r="C340" s="3229" t="s">
        <v>3151</v>
      </c>
      <c r="D340" s="3229" t="s">
        <v>3153</v>
      </c>
      <c r="E340" s="3257" t="s">
        <v>4485</v>
      </c>
      <c r="F340" s="3257">
        <v>35.99</v>
      </c>
      <c r="G340" s="3245">
        <f t="shared" si="6"/>
        <v>7.39</v>
      </c>
      <c r="H340" s="3259"/>
    </row>
    <row r="341" spans="1:8">
      <c r="A341" s="3228">
        <v>338</v>
      </c>
      <c r="B341" s="3229" t="s">
        <v>3150</v>
      </c>
      <c r="C341" s="3229" t="s">
        <v>3151</v>
      </c>
      <c r="D341" s="3229" t="s">
        <v>3153</v>
      </c>
      <c r="E341" s="3257" t="s">
        <v>4486</v>
      </c>
      <c r="F341" s="3257">
        <v>35.99</v>
      </c>
      <c r="G341" s="3245">
        <f t="shared" si="6"/>
        <v>7.39</v>
      </c>
      <c r="H341" s="3259"/>
    </row>
    <row r="342" spans="1:8">
      <c r="A342" s="3228">
        <v>339</v>
      </c>
      <c r="B342" s="3229" t="s">
        <v>3150</v>
      </c>
      <c r="C342" s="3229" t="s">
        <v>3151</v>
      </c>
      <c r="D342" s="3229" t="s">
        <v>3153</v>
      </c>
      <c r="E342" s="3257" t="s">
        <v>4487</v>
      </c>
      <c r="F342" s="3257">
        <v>35.99</v>
      </c>
      <c r="G342" s="3245">
        <f t="shared" si="6"/>
        <v>7.39</v>
      </c>
      <c r="H342" s="3259"/>
    </row>
    <row r="343" spans="1:8">
      <c r="A343" s="3228">
        <v>340</v>
      </c>
      <c r="B343" s="3229" t="s">
        <v>3150</v>
      </c>
      <c r="C343" s="3229" t="s">
        <v>3151</v>
      </c>
      <c r="D343" s="3229" t="s">
        <v>3153</v>
      </c>
      <c r="E343" s="3257" t="s">
        <v>4488</v>
      </c>
      <c r="F343" s="3257">
        <v>35.99</v>
      </c>
      <c r="G343" s="3245">
        <f t="shared" si="6"/>
        <v>7.39</v>
      </c>
      <c r="H343" s="3259"/>
    </row>
    <row r="344" spans="1:8">
      <c r="A344" s="3228">
        <v>341</v>
      </c>
      <c r="B344" s="3229" t="s">
        <v>3150</v>
      </c>
      <c r="C344" s="3229" t="s">
        <v>3151</v>
      </c>
      <c r="D344" s="3229" t="s">
        <v>3153</v>
      </c>
      <c r="E344" s="3257" t="s">
        <v>4489</v>
      </c>
      <c r="F344" s="3257">
        <v>35.99</v>
      </c>
      <c r="G344" s="3245">
        <f t="shared" si="6"/>
        <v>7.39</v>
      </c>
      <c r="H344" s="3259"/>
    </row>
    <row r="345" spans="1:8">
      <c r="A345" s="3228">
        <v>342</v>
      </c>
      <c r="B345" s="3229" t="s">
        <v>3150</v>
      </c>
      <c r="C345" s="3229" t="s">
        <v>3151</v>
      </c>
      <c r="D345" s="3229" t="s">
        <v>3153</v>
      </c>
      <c r="E345" s="3257" t="s">
        <v>4490</v>
      </c>
      <c r="F345" s="3257">
        <v>35.99</v>
      </c>
      <c r="G345" s="3245">
        <f t="shared" si="6"/>
        <v>7.39</v>
      </c>
      <c r="H345" s="3259"/>
    </row>
    <row r="346" spans="1:8">
      <c r="A346" s="3228">
        <v>343</v>
      </c>
      <c r="B346" s="3229" t="s">
        <v>3150</v>
      </c>
      <c r="C346" s="3229" t="s">
        <v>3151</v>
      </c>
      <c r="D346" s="3229" t="s">
        <v>3153</v>
      </c>
      <c r="E346" s="3257" t="s">
        <v>4491</v>
      </c>
      <c r="F346" s="3257">
        <v>35.99</v>
      </c>
      <c r="G346" s="3245">
        <f t="shared" si="6"/>
        <v>7.39</v>
      </c>
      <c r="H346" s="3259"/>
    </row>
    <row r="347" spans="1:8">
      <c r="A347" s="3228">
        <v>344</v>
      </c>
      <c r="B347" s="3229" t="s">
        <v>3150</v>
      </c>
      <c r="C347" s="3229" t="s">
        <v>3151</v>
      </c>
      <c r="D347" s="3229" t="s">
        <v>3153</v>
      </c>
      <c r="E347" s="3257" t="s">
        <v>4492</v>
      </c>
      <c r="F347" s="3257">
        <v>35.99</v>
      </c>
      <c r="G347" s="3245">
        <f t="shared" si="6"/>
        <v>7.39</v>
      </c>
      <c r="H347" s="3259"/>
    </row>
    <row r="348" spans="1:8">
      <c r="A348" s="3228">
        <v>345</v>
      </c>
      <c r="B348" s="3229" t="s">
        <v>3150</v>
      </c>
      <c r="C348" s="3229" t="s">
        <v>3151</v>
      </c>
      <c r="D348" s="3229" t="s">
        <v>3153</v>
      </c>
      <c r="E348" s="3257" t="s">
        <v>4493</v>
      </c>
      <c r="F348" s="3257">
        <v>35.99</v>
      </c>
      <c r="G348" s="3245">
        <f t="shared" si="6"/>
        <v>7.39</v>
      </c>
      <c r="H348" s="3259"/>
    </row>
    <row r="349" spans="1:8">
      <c r="A349" s="3228">
        <v>346</v>
      </c>
      <c r="B349" s="3229" t="s">
        <v>3150</v>
      </c>
      <c r="C349" s="3229" t="s">
        <v>3151</v>
      </c>
      <c r="D349" s="3229" t="s">
        <v>3153</v>
      </c>
      <c r="E349" s="3257" t="s">
        <v>4494</v>
      </c>
      <c r="F349" s="3257">
        <v>35.99</v>
      </c>
      <c r="G349" s="3245">
        <f t="shared" si="6"/>
        <v>7.39</v>
      </c>
      <c r="H349" s="3259"/>
    </row>
    <row r="350" spans="1:8">
      <c r="A350" s="3228">
        <v>347</v>
      </c>
      <c r="B350" s="3229" t="s">
        <v>3150</v>
      </c>
      <c r="C350" s="3229" t="s">
        <v>3151</v>
      </c>
      <c r="D350" s="3229" t="s">
        <v>3153</v>
      </c>
      <c r="E350" s="3257" t="s">
        <v>4495</v>
      </c>
      <c r="F350" s="3257">
        <v>35.99</v>
      </c>
      <c r="G350" s="3245">
        <f t="shared" si="6"/>
        <v>7.39</v>
      </c>
      <c r="H350" s="3259"/>
    </row>
    <row r="351" spans="1:8">
      <c r="A351" s="3228">
        <v>348</v>
      </c>
      <c r="B351" s="3229" t="s">
        <v>3150</v>
      </c>
      <c r="C351" s="3229" t="s">
        <v>3151</v>
      </c>
      <c r="D351" s="3229" t="s">
        <v>3153</v>
      </c>
      <c r="E351" s="3257" t="s">
        <v>4496</v>
      </c>
      <c r="F351" s="3257">
        <v>35.99</v>
      </c>
      <c r="G351" s="3245">
        <f t="shared" si="6"/>
        <v>7.39</v>
      </c>
      <c r="H351" s="3259"/>
    </row>
    <row r="352" spans="1:8">
      <c r="A352" s="3228">
        <v>349</v>
      </c>
      <c r="B352" s="3229" t="s">
        <v>3150</v>
      </c>
      <c r="C352" s="3229" t="s">
        <v>3151</v>
      </c>
      <c r="D352" s="3229" t="s">
        <v>3153</v>
      </c>
      <c r="E352" s="3257" t="s">
        <v>4497</v>
      </c>
      <c r="F352" s="3257">
        <v>35.99</v>
      </c>
      <c r="G352" s="3245">
        <f t="shared" si="6"/>
        <v>7.39</v>
      </c>
      <c r="H352" s="3259"/>
    </row>
    <row r="353" spans="1:8">
      <c r="A353" s="3228">
        <v>350</v>
      </c>
      <c r="B353" s="3229" t="s">
        <v>3150</v>
      </c>
      <c r="C353" s="3229" t="s">
        <v>3151</v>
      </c>
      <c r="D353" s="3229" t="s">
        <v>3153</v>
      </c>
      <c r="E353" s="3257" t="s">
        <v>4498</v>
      </c>
      <c r="F353" s="3257">
        <v>35.99</v>
      </c>
      <c r="G353" s="3245">
        <f t="shared" si="6"/>
        <v>7.39</v>
      </c>
      <c r="H353" s="3259"/>
    </row>
    <row r="354" spans="1:8">
      <c r="A354" s="3228">
        <v>351</v>
      </c>
      <c r="B354" s="3229" t="s">
        <v>3150</v>
      </c>
      <c r="C354" s="3229" t="s">
        <v>3151</v>
      </c>
      <c r="D354" s="3229" t="s">
        <v>3153</v>
      </c>
      <c r="E354" s="3257" t="s">
        <v>4499</v>
      </c>
      <c r="F354" s="3257">
        <v>35.99</v>
      </c>
      <c r="G354" s="3245">
        <f t="shared" si="6"/>
        <v>7.39</v>
      </c>
      <c r="H354" s="3259"/>
    </row>
    <row r="355" spans="1:8">
      <c r="A355" s="3228">
        <v>352</v>
      </c>
      <c r="B355" s="3229" t="s">
        <v>3150</v>
      </c>
      <c r="C355" s="3229" t="s">
        <v>3151</v>
      </c>
      <c r="D355" s="3229" t="s">
        <v>3153</v>
      </c>
      <c r="E355" s="3257" t="s">
        <v>4500</v>
      </c>
      <c r="F355" s="3257">
        <v>35.99</v>
      </c>
      <c r="G355" s="3245">
        <f t="shared" si="6"/>
        <v>7.39</v>
      </c>
      <c r="H355" s="3259"/>
    </row>
    <row r="356" spans="1:8">
      <c r="A356" s="3228">
        <v>353</v>
      </c>
      <c r="B356" s="3229" t="s">
        <v>3150</v>
      </c>
      <c r="C356" s="3229" t="s">
        <v>3151</v>
      </c>
      <c r="D356" s="3229" t="s">
        <v>3153</v>
      </c>
      <c r="E356" s="3257" t="s">
        <v>4501</v>
      </c>
      <c r="F356" s="3257">
        <v>35.99</v>
      </c>
      <c r="G356" s="3245">
        <f t="shared" si="6"/>
        <v>7.39</v>
      </c>
      <c r="H356" s="3259"/>
    </row>
    <row r="357" spans="1:8">
      <c r="A357" s="3228">
        <v>354</v>
      </c>
      <c r="B357" s="3229" t="s">
        <v>3150</v>
      </c>
      <c r="C357" s="3229" t="s">
        <v>3151</v>
      </c>
      <c r="D357" s="3229" t="s">
        <v>3153</v>
      </c>
      <c r="E357" s="3257" t="s">
        <v>4502</v>
      </c>
      <c r="F357" s="3257">
        <v>35.99</v>
      </c>
      <c r="G357" s="3245">
        <f t="shared" si="6"/>
        <v>7.39</v>
      </c>
      <c r="H357" s="3259"/>
    </row>
    <row r="358" spans="1:8">
      <c r="A358" s="3228">
        <v>355</v>
      </c>
      <c r="B358" s="3229" t="s">
        <v>3150</v>
      </c>
      <c r="C358" s="3229" t="s">
        <v>3151</v>
      </c>
      <c r="D358" s="3229" t="s">
        <v>3153</v>
      </c>
      <c r="E358" s="3257" t="s">
        <v>4503</v>
      </c>
      <c r="F358" s="3257">
        <v>35.99</v>
      </c>
      <c r="G358" s="3245">
        <f t="shared" si="6"/>
        <v>7.39</v>
      </c>
      <c r="H358" s="3259"/>
    </row>
    <row r="359" spans="1:8">
      <c r="A359" s="3228">
        <v>356</v>
      </c>
      <c r="B359" s="3229" t="s">
        <v>3150</v>
      </c>
      <c r="C359" s="3229" t="s">
        <v>3151</v>
      </c>
      <c r="D359" s="3229" t="s">
        <v>3153</v>
      </c>
      <c r="E359" s="3257" t="s">
        <v>4504</v>
      </c>
      <c r="F359" s="3257">
        <v>35.99</v>
      </c>
      <c r="G359" s="3245">
        <f t="shared" si="6"/>
        <v>7.39</v>
      </c>
      <c r="H359" s="3259"/>
    </row>
    <row r="360" spans="1:8">
      <c r="A360" s="3228">
        <v>357</v>
      </c>
      <c r="B360" s="3229" t="s">
        <v>3150</v>
      </c>
      <c r="C360" s="3229" t="s">
        <v>3151</v>
      </c>
      <c r="D360" s="3229" t="s">
        <v>3153</v>
      </c>
      <c r="E360" s="3257" t="s">
        <v>4505</v>
      </c>
      <c r="F360" s="3257">
        <v>37.11</v>
      </c>
      <c r="G360" s="3245">
        <f t="shared" ref="G360:G423" si="7">ROUND(F360/$C$910*$D$910,2)</f>
        <v>7.62</v>
      </c>
      <c r="H360" s="3259"/>
    </row>
    <row r="361" spans="1:8">
      <c r="A361" s="3228">
        <v>358</v>
      </c>
      <c r="B361" s="3229" t="s">
        <v>3150</v>
      </c>
      <c r="C361" s="3229" t="s">
        <v>3151</v>
      </c>
      <c r="D361" s="3229" t="s">
        <v>3153</v>
      </c>
      <c r="E361" s="3257" t="s">
        <v>4506</v>
      </c>
      <c r="F361" s="3257">
        <v>37.11</v>
      </c>
      <c r="G361" s="3245">
        <f t="shared" si="7"/>
        <v>7.62</v>
      </c>
      <c r="H361" s="3259"/>
    </row>
    <row r="362" spans="1:8">
      <c r="A362" s="3228">
        <v>359</v>
      </c>
      <c r="B362" s="3229" t="s">
        <v>3150</v>
      </c>
      <c r="C362" s="3229" t="s">
        <v>3151</v>
      </c>
      <c r="D362" s="3229" t="s">
        <v>3153</v>
      </c>
      <c r="E362" s="3257" t="s">
        <v>4507</v>
      </c>
      <c r="F362" s="3257">
        <v>37.11</v>
      </c>
      <c r="G362" s="3245">
        <f t="shared" si="7"/>
        <v>7.62</v>
      </c>
      <c r="H362" s="3259"/>
    </row>
    <row r="363" spans="1:8">
      <c r="A363" s="3228">
        <v>360</v>
      </c>
      <c r="B363" s="3229" t="s">
        <v>3150</v>
      </c>
      <c r="C363" s="3229" t="s">
        <v>3151</v>
      </c>
      <c r="D363" s="3229" t="s">
        <v>3153</v>
      </c>
      <c r="E363" s="3257" t="s">
        <v>4508</v>
      </c>
      <c r="F363" s="3257">
        <v>37.11</v>
      </c>
      <c r="G363" s="3245">
        <f t="shared" si="7"/>
        <v>7.62</v>
      </c>
      <c r="H363" s="3259"/>
    </row>
    <row r="364" spans="1:8">
      <c r="A364" s="3228">
        <v>361</v>
      </c>
      <c r="B364" s="3229" t="s">
        <v>3150</v>
      </c>
      <c r="C364" s="3229" t="s">
        <v>3151</v>
      </c>
      <c r="D364" s="3229" t="s">
        <v>3153</v>
      </c>
      <c r="E364" s="3257" t="s">
        <v>4509</v>
      </c>
      <c r="F364" s="3257">
        <v>37.11</v>
      </c>
      <c r="G364" s="3245">
        <f t="shared" si="7"/>
        <v>7.62</v>
      </c>
      <c r="H364" s="3259"/>
    </row>
    <row r="365" spans="1:8">
      <c r="A365" s="3228">
        <v>362</v>
      </c>
      <c r="B365" s="3229" t="s">
        <v>3150</v>
      </c>
      <c r="C365" s="3229" t="s">
        <v>3151</v>
      </c>
      <c r="D365" s="3229" t="s">
        <v>3153</v>
      </c>
      <c r="E365" s="3257" t="s">
        <v>4510</v>
      </c>
      <c r="F365" s="3257">
        <v>37.11</v>
      </c>
      <c r="G365" s="3245">
        <f t="shared" si="7"/>
        <v>7.62</v>
      </c>
      <c r="H365" s="3259"/>
    </row>
    <row r="366" spans="1:8">
      <c r="A366" s="3228">
        <v>363</v>
      </c>
      <c r="B366" s="3229" t="s">
        <v>3150</v>
      </c>
      <c r="C366" s="3229" t="s">
        <v>3151</v>
      </c>
      <c r="D366" s="3229" t="s">
        <v>3153</v>
      </c>
      <c r="E366" s="3257" t="s">
        <v>4511</v>
      </c>
      <c r="F366" s="3257">
        <v>37.11</v>
      </c>
      <c r="G366" s="3245">
        <f t="shared" si="7"/>
        <v>7.62</v>
      </c>
      <c r="H366" s="3259"/>
    </row>
    <row r="367" spans="1:8">
      <c r="A367" s="3228">
        <v>364</v>
      </c>
      <c r="B367" s="3229" t="s">
        <v>3150</v>
      </c>
      <c r="C367" s="3229" t="s">
        <v>3151</v>
      </c>
      <c r="D367" s="3229" t="s">
        <v>3153</v>
      </c>
      <c r="E367" s="3257" t="s">
        <v>4512</v>
      </c>
      <c r="F367" s="3257">
        <v>37.11</v>
      </c>
      <c r="G367" s="3245">
        <f t="shared" si="7"/>
        <v>7.62</v>
      </c>
      <c r="H367" s="3259"/>
    </row>
    <row r="368" spans="1:8">
      <c r="A368" s="3228">
        <v>365</v>
      </c>
      <c r="B368" s="3229" t="s">
        <v>3150</v>
      </c>
      <c r="C368" s="3229" t="s">
        <v>3151</v>
      </c>
      <c r="D368" s="3229" t="s">
        <v>3153</v>
      </c>
      <c r="E368" s="3257" t="s">
        <v>4513</v>
      </c>
      <c r="F368" s="3257">
        <v>37.11</v>
      </c>
      <c r="G368" s="3245">
        <f t="shared" si="7"/>
        <v>7.62</v>
      </c>
      <c r="H368" s="3259"/>
    </row>
    <row r="369" spans="1:8">
      <c r="A369" s="3228">
        <v>366</v>
      </c>
      <c r="B369" s="3229" t="s">
        <v>3150</v>
      </c>
      <c r="C369" s="3229" t="s">
        <v>3151</v>
      </c>
      <c r="D369" s="3229" t="s">
        <v>3153</v>
      </c>
      <c r="E369" s="3257" t="s">
        <v>4514</v>
      </c>
      <c r="F369" s="3257">
        <v>37.11</v>
      </c>
      <c r="G369" s="3245">
        <f t="shared" si="7"/>
        <v>7.62</v>
      </c>
      <c r="H369" s="3259"/>
    </row>
    <row r="370" spans="1:8">
      <c r="A370" s="3228">
        <v>367</v>
      </c>
      <c r="B370" s="3229" t="s">
        <v>3150</v>
      </c>
      <c r="C370" s="3229" t="s">
        <v>3151</v>
      </c>
      <c r="D370" s="3229" t="s">
        <v>3153</v>
      </c>
      <c r="E370" s="3257" t="s">
        <v>4515</v>
      </c>
      <c r="F370" s="3257">
        <v>37.11</v>
      </c>
      <c r="G370" s="3245">
        <f t="shared" si="7"/>
        <v>7.62</v>
      </c>
      <c r="H370" s="3259"/>
    </row>
    <row r="371" spans="1:8">
      <c r="A371" s="3228">
        <v>368</v>
      </c>
      <c r="B371" s="3229" t="s">
        <v>3150</v>
      </c>
      <c r="C371" s="3229" t="s">
        <v>3151</v>
      </c>
      <c r="D371" s="3229" t="s">
        <v>3153</v>
      </c>
      <c r="E371" s="3257" t="s">
        <v>4516</v>
      </c>
      <c r="F371" s="3257">
        <v>37.11</v>
      </c>
      <c r="G371" s="3245">
        <f t="shared" si="7"/>
        <v>7.62</v>
      </c>
      <c r="H371" s="3259"/>
    </row>
    <row r="372" spans="1:8">
      <c r="A372" s="3228">
        <v>369</v>
      </c>
      <c r="B372" s="3229" t="s">
        <v>3150</v>
      </c>
      <c r="C372" s="3229" t="s">
        <v>3151</v>
      </c>
      <c r="D372" s="3229" t="s">
        <v>3153</v>
      </c>
      <c r="E372" s="3257" t="s">
        <v>4517</v>
      </c>
      <c r="F372" s="3257">
        <v>37.11</v>
      </c>
      <c r="G372" s="3245">
        <f t="shared" si="7"/>
        <v>7.62</v>
      </c>
      <c r="H372" s="3259"/>
    </row>
    <row r="373" spans="1:8">
      <c r="A373" s="3228">
        <v>370</v>
      </c>
      <c r="B373" s="3229" t="s">
        <v>3150</v>
      </c>
      <c r="C373" s="3229" t="s">
        <v>3151</v>
      </c>
      <c r="D373" s="3229" t="s">
        <v>3153</v>
      </c>
      <c r="E373" s="3257" t="s">
        <v>4518</v>
      </c>
      <c r="F373" s="3257">
        <v>37.11</v>
      </c>
      <c r="G373" s="3245">
        <f t="shared" si="7"/>
        <v>7.62</v>
      </c>
      <c r="H373" s="3259"/>
    </row>
    <row r="374" spans="1:8">
      <c r="A374" s="3228">
        <v>371</v>
      </c>
      <c r="B374" s="3229" t="s">
        <v>3150</v>
      </c>
      <c r="C374" s="3229" t="s">
        <v>3151</v>
      </c>
      <c r="D374" s="3229" t="s">
        <v>3153</v>
      </c>
      <c r="E374" s="3257" t="s">
        <v>4519</v>
      </c>
      <c r="F374" s="3257">
        <v>37.11</v>
      </c>
      <c r="G374" s="3245">
        <f t="shared" si="7"/>
        <v>7.62</v>
      </c>
      <c r="H374" s="3259"/>
    </row>
    <row r="375" spans="1:8">
      <c r="A375" s="3228">
        <v>372</v>
      </c>
      <c r="B375" s="3229" t="s">
        <v>3147</v>
      </c>
      <c r="C375" s="3229" t="s">
        <v>3148</v>
      </c>
      <c r="D375" s="3229" t="s">
        <v>3154</v>
      </c>
      <c r="E375" s="3257" t="s">
        <v>4520</v>
      </c>
      <c r="F375" s="3257">
        <v>37.11</v>
      </c>
      <c r="G375" s="3245">
        <f t="shared" si="7"/>
        <v>7.62</v>
      </c>
      <c r="H375" s="3259"/>
    </row>
    <row r="376" spans="1:8">
      <c r="A376" s="3228">
        <v>373</v>
      </c>
      <c r="B376" s="3229" t="s">
        <v>3147</v>
      </c>
      <c r="C376" s="3229" t="s">
        <v>3148</v>
      </c>
      <c r="D376" s="3229" t="s">
        <v>3154</v>
      </c>
      <c r="E376" s="3257" t="s">
        <v>4521</v>
      </c>
      <c r="F376" s="3257">
        <v>35.96</v>
      </c>
      <c r="G376" s="3245">
        <f t="shared" si="7"/>
        <v>7.38</v>
      </c>
      <c r="H376" s="3259"/>
    </row>
    <row r="377" spans="1:8">
      <c r="A377" s="3228">
        <v>374</v>
      </c>
      <c r="B377" s="3229" t="s">
        <v>3147</v>
      </c>
      <c r="C377" s="3229" t="s">
        <v>3148</v>
      </c>
      <c r="D377" s="3229" t="s">
        <v>3154</v>
      </c>
      <c r="E377" s="3257" t="s">
        <v>4522</v>
      </c>
      <c r="F377" s="3257">
        <v>35.96</v>
      </c>
      <c r="G377" s="3245">
        <f t="shared" si="7"/>
        <v>7.38</v>
      </c>
      <c r="H377" s="3259"/>
    </row>
    <row r="378" spans="1:8">
      <c r="A378" s="3228">
        <v>375</v>
      </c>
      <c r="B378" s="3229" t="s">
        <v>3147</v>
      </c>
      <c r="C378" s="3229" t="s">
        <v>3148</v>
      </c>
      <c r="D378" s="3229" t="s">
        <v>3154</v>
      </c>
      <c r="E378" s="3257" t="s">
        <v>4523</v>
      </c>
      <c r="F378" s="3257">
        <v>31.27</v>
      </c>
      <c r="G378" s="3245">
        <f>ROUND(F378/$C$910*$D$910,2)+0.57</f>
        <v>6.99</v>
      </c>
      <c r="H378" s="3259"/>
    </row>
    <row r="379" spans="1:8">
      <c r="A379" s="3228">
        <v>376</v>
      </c>
      <c r="B379" s="3229" t="s">
        <v>3147</v>
      </c>
      <c r="C379" s="3229" t="s">
        <v>3148</v>
      </c>
      <c r="D379" s="3229" t="s">
        <v>3154</v>
      </c>
      <c r="E379" s="3257" t="s">
        <v>4524</v>
      </c>
      <c r="F379" s="3257">
        <v>39.090000000000003</v>
      </c>
      <c r="G379" s="3245">
        <f t="shared" si="7"/>
        <v>8.02</v>
      </c>
      <c r="H379" s="3259"/>
    </row>
    <row r="380" spans="1:8">
      <c r="A380" s="3228">
        <v>377</v>
      </c>
      <c r="B380" s="3229" t="s">
        <v>3147</v>
      </c>
      <c r="C380" s="3229" t="s">
        <v>3148</v>
      </c>
      <c r="D380" s="3229" t="s">
        <v>3154</v>
      </c>
      <c r="E380" s="3257" t="s">
        <v>4525</v>
      </c>
      <c r="F380" s="3257">
        <v>35.96</v>
      </c>
      <c r="G380" s="3245">
        <f t="shared" si="7"/>
        <v>7.38</v>
      </c>
      <c r="H380" s="3259"/>
    </row>
    <row r="381" spans="1:8">
      <c r="A381" s="3228">
        <v>378</v>
      </c>
      <c r="B381" s="3229" t="s">
        <v>3147</v>
      </c>
      <c r="C381" s="3229" t="s">
        <v>3148</v>
      </c>
      <c r="D381" s="3229" t="s">
        <v>3154</v>
      </c>
      <c r="E381" s="3257" t="s">
        <v>4526</v>
      </c>
      <c r="F381" s="3257">
        <v>35.96</v>
      </c>
      <c r="G381" s="3245">
        <f t="shared" si="7"/>
        <v>7.38</v>
      </c>
      <c r="H381" s="3259"/>
    </row>
    <row r="382" spans="1:8">
      <c r="A382" s="3228">
        <v>379</v>
      </c>
      <c r="B382" s="3229" t="s">
        <v>3147</v>
      </c>
      <c r="C382" s="3229" t="s">
        <v>3148</v>
      </c>
      <c r="D382" s="3229" t="s">
        <v>3154</v>
      </c>
      <c r="E382" s="3257" t="s">
        <v>4527</v>
      </c>
      <c r="F382" s="3257">
        <v>37.11</v>
      </c>
      <c r="G382" s="3245">
        <f t="shared" si="7"/>
        <v>7.62</v>
      </c>
      <c r="H382" s="3259"/>
    </row>
    <row r="383" spans="1:8">
      <c r="A383" s="3228">
        <v>380</v>
      </c>
      <c r="B383" s="3229" t="s">
        <v>3147</v>
      </c>
      <c r="C383" s="3229" t="s">
        <v>3148</v>
      </c>
      <c r="D383" s="3229" t="s">
        <v>3154</v>
      </c>
      <c r="E383" s="3257" t="s">
        <v>4528</v>
      </c>
      <c r="F383" s="3257">
        <v>36.340000000000003</v>
      </c>
      <c r="G383" s="3245">
        <f t="shared" si="7"/>
        <v>7.46</v>
      </c>
      <c r="H383" s="3259"/>
    </row>
    <row r="384" spans="1:8">
      <c r="A384" s="3228">
        <v>381</v>
      </c>
      <c r="B384" s="3229" t="s">
        <v>3147</v>
      </c>
      <c r="C384" s="3229" t="s">
        <v>3148</v>
      </c>
      <c r="D384" s="3229" t="s">
        <v>3154</v>
      </c>
      <c r="E384" s="3257" t="s">
        <v>4529</v>
      </c>
      <c r="F384" s="3257">
        <v>36.340000000000003</v>
      </c>
      <c r="G384" s="3245">
        <f t="shared" si="7"/>
        <v>7.46</v>
      </c>
      <c r="H384" s="3259"/>
    </row>
    <row r="385" spans="1:8">
      <c r="A385" s="3228">
        <v>382</v>
      </c>
      <c r="B385" s="3229" t="s">
        <v>3147</v>
      </c>
      <c r="C385" s="3229" t="s">
        <v>3148</v>
      </c>
      <c r="D385" s="3229" t="s">
        <v>3154</v>
      </c>
      <c r="E385" s="3257" t="s">
        <v>4530</v>
      </c>
      <c r="F385" s="3257">
        <v>36.340000000000003</v>
      </c>
      <c r="G385" s="3245">
        <f t="shared" si="7"/>
        <v>7.46</v>
      </c>
      <c r="H385" s="3259"/>
    </row>
    <row r="386" spans="1:8">
      <c r="A386" s="3228">
        <v>383</v>
      </c>
      <c r="B386" s="3229" t="s">
        <v>3147</v>
      </c>
      <c r="C386" s="3229" t="s">
        <v>3148</v>
      </c>
      <c r="D386" s="3229" t="s">
        <v>3154</v>
      </c>
      <c r="E386" s="3257" t="s">
        <v>4531</v>
      </c>
      <c r="F386" s="3257">
        <v>36.340000000000003</v>
      </c>
      <c r="G386" s="3245">
        <f t="shared" si="7"/>
        <v>7.46</v>
      </c>
      <c r="H386" s="3259"/>
    </row>
    <row r="387" spans="1:8">
      <c r="A387" s="3228">
        <v>384</v>
      </c>
      <c r="B387" s="3229" t="s">
        <v>3147</v>
      </c>
      <c r="C387" s="3229" t="s">
        <v>3148</v>
      </c>
      <c r="D387" s="3229" t="s">
        <v>3154</v>
      </c>
      <c r="E387" s="3257" t="s">
        <v>4532</v>
      </c>
      <c r="F387" s="3257">
        <v>36.340000000000003</v>
      </c>
      <c r="G387" s="3245">
        <f t="shared" si="7"/>
        <v>7.46</v>
      </c>
      <c r="H387" s="3259"/>
    </row>
    <row r="388" spans="1:8">
      <c r="A388" s="3228">
        <v>385</v>
      </c>
      <c r="B388" s="3229" t="s">
        <v>3147</v>
      </c>
      <c r="C388" s="3229" t="s">
        <v>3148</v>
      </c>
      <c r="D388" s="3229" t="s">
        <v>3154</v>
      </c>
      <c r="E388" s="3257" t="s">
        <v>4533</v>
      </c>
      <c r="F388" s="3257">
        <v>36.340000000000003</v>
      </c>
      <c r="G388" s="3245">
        <f t="shared" si="7"/>
        <v>7.46</v>
      </c>
      <c r="H388" s="3259"/>
    </row>
    <row r="389" spans="1:8">
      <c r="A389" s="3228">
        <v>386</v>
      </c>
      <c r="B389" s="3229" t="s">
        <v>3147</v>
      </c>
      <c r="C389" s="3229" t="s">
        <v>3148</v>
      </c>
      <c r="D389" s="3229" t="s">
        <v>3154</v>
      </c>
      <c r="E389" s="3257" t="s">
        <v>4534</v>
      </c>
      <c r="F389" s="3257">
        <v>36.340000000000003</v>
      </c>
      <c r="G389" s="3245">
        <f t="shared" si="7"/>
        <v>7.46</v>
      </c>
      <c r="H389" s="3259"/>
    </row>
    <row r="390" spans="1:8">
      <c r="A390" s="3228">
        <v>387</v>
      </c>
      <c r="B390" s="3229" t="s">
        <v>3147</v>
      </c>
      <c r="C390" s="3229" t="s">
        <v>3148</v>
      </c>
      <c r="D390" s="3229" t="s">
        <v>3154</v>
      </c>
      <c r="E390" s="3257" t="s">
        <v>4535</v>
      </c>
      <c r="F390" s="3257">
        <v>38.659999999999997</v>
      </c>
      <c r="G390" s="3245">
        <f t="shared" si="7"/>
        <v>7.93</v>
      </c>
      <c r="H390" s="3259"/>
    </row>
    <row r="391" spans="1:8">
      <c r="A391" s="3228">
        <v>388</v>
      </c>
      <c r="B391" s="3229" t="s">
        <v>3147</v>
      </c>
      <c r="C391" s="3229" t="s">
        <v>3148</v>
      </c>
      <c r="D391" s="3229" t="s">
        <v>3154</v>
      </c>
      <c r="E391" s="3257" t="s">
        <v>4536</v>
      </c>
      <c r="F391" s="3257">
        <v>38.659999999999997</v>
      </c>
      <c r="G391" s="3245">
        <f t="shared" si="7"/>
        <v>7.93</v>
      </c>
      <c r="H391" s="3259"/>
    </row>
    <row r="392" spans="1:8">
      <c r="A392" s="3228">
        <v>389</v>
      </c>
      <c r="B392" s="3229" t="s">
        <v>3147</v>
      </c>
      <c r="C392" s="3229" t="s">
        <v>3148</v>
      </c>
      <c r="D392" s="3229" t="s">
        <v>3154</v>
      </c>
      <c r="E392" s="3257" t="s">
        <v>4537</v>
      </c>
      <c r="F392" s="3257">
        <v>38.659999999999997</v>
      </c>
      <c r="G392" s="3245">
        <f t="shared" si="7"/>
        <v>7.93</v>
      </c>
      <c r="H392" s="3259"/>
    </row>
    <row r="393" spans="1:8">
      <c r="A393" s="3228">
        <v>390</v>
      </c>
      <c r="B393" s="3229" t="s">
        <v>3147</v>
      </c>
      <c r="C393" s="3229" t="s">
        <v>3148</v>
      </c>
      <c r="D393" s="3229" t="s">
        <v>3154</v>
      </c>
      <c r="E393" s="3257" t="s">
        <v>4538</v>
      </c>
      <c r="F393" s="3257">
        <v>38.659999999999997</v>
      </c>
      <c r="G393" s="3245">
        <f t="shared" si="7"/>
        <v>7.93</v>
      </c>
      <c r="H393" s="3259"/>
    </row>
    <row r="394" spans="1:8">
      <c r="A394" s="3228">
        <v>391</v>
      </c>
      <c r="B394" s="3229" t="s">
        <v>3147</v>
      </c>
      <c r="C394" s="3229" t="s">
        <v>3148</v>
      </c>
      <c r="D394" s="3229" t="s">
        <v>3154</v>
      </c>
      <c r="E394" s="3257" t="s">
        <v>4539</v>
      </c>
      <c r="F394" s="3257">
        <v>36.340000000000003</v>
      </c>
      <c r="G394" s="3245">
        <f t="shared" si="7"/>
        <v>7.46</v>
      </c>
      <c r="H394" s="3259"/>
    </row>
    <row r="395" spans="1:8">
      <c r="A395" s="3228">
        <v>392</v>
      </c>
      <c r="B395" s="3229" t="s">
        <v>3147</v>
      </c>
      <c r="C395" s="3229" t="s">
        <v>3148</v>
      </c>
      <c r="D395" s="3229" t="s">
        <v>3154</v>
      </c>
      <c r="E395" s="3257" t="s">
        <v>4540</v>
      </c>
      <c r="F395" s="3257">
        <v>36.340000000000003</v>
      </c>
      <c r="G395" s="3245">
        <f t="shared" si="7"/>
        <v>7.46</v>
      </c>
      <c r="H395" s="3259"/>
    </row>
    <row r="396" spans="1:8">
      <c r="A396" s="3228">
        <v>393</v>
      </c>
      <c r="B396" s="3229" t="s">
        <v>3147</v>
      </c>
      <c r="C396" s="3229" t="s">
        <v>3148</v>
      </c>
      <c r="D396" s="3229" t="s">
        <v>3154</v>
      </c>
      <c r="E396" s="3257" t="s">
        <v>4541</v>
      </c>
      <c r="F396" s="3257">
        <v>36.340000000000003</v>
      </c>
      <c r="G396" s="3245">
        <f t="shared" si="7"/>
        <v>7.46</v>
      </c>
      <c r="H396" s="3259"/>
    </row>
    <row r="397" spans="1:8">
      <c r="A397" s="3228">
        <v>394</v>
      </c>
      <c r="B397" s="3229" t="s">
        <v>3147</v>
      </c>
      <c r="C397" s="3229" t="s">
        <v>3148</v>
      </c>
      <c r="D397" s="3229" t="s">
        <v>3154</v>
      </c>
      <c r="E397" s="3257" t="s">
        <v>4542</v>
      </c>
      <c r="F397" s="3257">
        <v>36.340000000000003</v>
      </c>
      <c r="G397" s="3245">
        <f t="shared" si="7"/>
        <v>7.46</v>
      </c>
      <c r="H397" s="3259"/>
    </row>
    <row r="398" spans="1:8">
      <c r="A398" s="3228">
        <v>395</v>
      </c>
      <c r="B398" s="3229" t="s">
        <v>3147</v>
      </c>
      <c r="C398" s="3229" t="s">
        <v>3148</v>
      </c>
      <c r="D398" s="3229" t="s">
        <v>3154</v>
      </c>
      <c r="E398" s="3257" t="s">
        <v>4543</v>
      </c>
      <c r="F398" s="3257">
        <v>36.340000000000003</v>
      </c>
      <c r="G398" s="3245">
        <f t="shared" si="7"/>
        <v>7.46</v>
      </c>
      <c r="H398" s="3259"/>
    </row>
    <row r="399" spans="1:8">
      <c r="A399" s="3228">
        <v>396</v>
      </c>
      <c r="B399" s="3229" t="s">
        <v>3147</v>
      </c>
      <c r="C399" s="3229" t="s">
        <v>3148</v>
      </c>
      <c r="D399" s="3229" t="s">
        <v>3154</v>
      </c>
      <c r="E399" s="3257" t="s">
        <v>4544</v>
      </c>
      <c r="F399" s="3257">
        <v>36.340000000000003</v>
      </c>
      <c r="G399" s="3245">
        <f t="shared" si="7"/>
        <v>7.46</v>
      </c>
      <c r="H399" s="3259"/>
    </row>
    <row r="400" spans="1:8">
      <c r="A400" s="3228">
        <v>397</v>
      </c>
      <c r="B400" s="3229" t="s">
        <v>3147</v>
      </c>
      <c r="C400" s="3229" t="s">
        <v>3148</v>
      </c>
      <c r="D400" s="3229" t="s">
        <v>3154</v>
      </c>
      <c r="E400" s="3257" t="s">
        <v>4545</v>
      </c>
      <c r="F400" s="3257">
        <v>36.340000000000003</v>
      </c>
      <c r="G400" s="3245">
        <f t="shared" si="7"/>
        <v>7.46</v>
      </c>
      <c r="H400" s="3259"/>
    </row>
    <row r="401" spans="1:8">
      <c r="A401" s="3228">
        <v>398</v>
      </c>
      <c r="B401" s="3229" t="s">
        <v>3147</v>
      </c>
      <c r="C401" s="3229" t="s">
        <v>3148</v>
      </c>
      <c r="D401" s="3229" t="s">
        <v>3154</v>
      </c>
      <c r="E401" s="3257" t="s">
        <v>4546</v>
      </c>
      <c r="F401" s="3257">
        <v>36.340000000000003</v>
      </c>
      <c r="G401" s="3245">
        <f t="shared" si="7"/>
        <v>7.46</v>
      </c>
      <c r="H401" s="3259"/>
    </row>
    <row r="402" spans="1:8">
      <c r="A402" s="3228">
        <v>399</v>
      </c>
      <c r="B402" s="3229" t="s">
        <v>3147</v>
      </c>
      <c r="C402" s="3229" t="s">
        <v>3148</v>
      </c>
      <c r="D402" s="3229" t="s">
        <v>3154</v>
      </c>
      <c r="E402" s="3257" t="s">
        <v>4547</v>
      </c>
      <c r="F402" s="3257">
        <v>35.99</v>
      </c>
      <c r="G402" s="3245">
        <f t="shared" si="7"/>
        <v>7.39</v>
      </c>
      <c r="H402" s="3259"/>
    </row>
    <row r="403" spans="1:8">
      <c r="A403" s="3228">
        <v>400</v>
      </c>
      <c r="B403" s="3229" t="s">
        <v>3147</v>
      </c>
      <c r="C403" s="3229" t="s">
        <v>3148</v>
      </c>
      <c r="D403" s="3229" t="s">
        <v>3154</v>
      </c>
      <c r="E403" s="3257" t="s">
        <v>4548</v>
      </c>
      <c r="F403" s="3257">
        <v>37.49</v>
      </c>
      <c r="G403" s="3245">
        <f t="shared" si="7"/>
        <v>7.69</v>
      </c>
      <c r="H403" s="3259"/>
    </row>
    <row r="404" spans="1:8">
      <c r="A404" s="3228">
        <v>401</v>
      </c>
      <c r="B404" s="3229" t="s">
        <v>3147</v>
      </c>
      <c r="C404" s="3229" t="s">
        <v>3148</v>
      </c>
      <c r="D404" s="3229" t="s">
        <v>3154</v>
      </c>
      <c r="E404" s="3257" t="s">
        <v>4549</v>
      </c>
      <c r="F404" s="3257">
        <v>37.49</v>
      </c>
      <c r="G404" s="3245">
        <f t="shared" si="7"/>
        <v>7.69</v>
      </c>
      <c r="H404" s="3259"/>
    </row>
    <row r="405" spans="1:8">
      <c r="A405" s="3228">
        <v>402</v>
      </c>
      <c r="B405" s="3229" t="s">
        <v>3144</v>
      </c>
      <c r="C405" s="3229" t="s">
        <v>3145</v>
      </c>
      <c r="D405" s="3229" t="s">
        <v>3155</v>
      </c>
      <c r="E405" s="3257" t="s">
        <v>4550</v>
      </c>
      <c r="F405" s="3257">
        <v>35.99</v>
      </c>
      <c r="G405" s="3245">
        <f t="shared" si="7"/>
        <v>7.39</v>
      </c>
      <c r="H405" s="3259"/>
    </row>
    <row r="406" spans="1:8">
      <c r="A406" s="3228">
        <v>403</v>
      </c>
      <c r="B406" s="3229" t="s">
        <v>3144</v>
      </c>
      <c r="C406" s="3229" t="s">
        <v>3145</v>
      </c>
      <c r="D406" s="3229" t="s">
        <v>3155</v>
      </c>
      <c r="E406" s="3257" t="s">
        <v>4551</v>
      </c>
      <c r="F406" s="3257">
        <v>37.49</v>
      </c>
      <c r="G406" s="3245">
        <f t="shared" si="7"/>
        <v>7.69</v>
      </c>
      <c r="H406" s="3259"/>
    </row>
    <row r="407" spans="1:8">
      <c r="A407" s="3228">
        <v>404</v>
      </c>
      <c r="B407" s="3229" t="s">
        <v>3144</v>
      </c>
      <c r="C407" s="3229" t="s">
        <v>3145</v>
      </c>
      <c r="D407" s="3229" t="s">
        <v>3155</v>
      </c>
      <c r="E407" s="3257" t="s">
        <v>4552</v>
      </c>
      <c r="F407" s="3257">
        <v>37.49</v>
      </c>
      <c r="G407" s="3245">
        <f t="shared" si="7"/>
        <v>7.69</v>
      </c>
      <c r="H407" s="3259"/>
    </row>
    <row r="408" spans="1:8">
      <c r="A408" s="3228">
        <v>405</v>
      </c>
      <c r="B408" s="3229" t="s">
        <v>3144</v>
      </c>
      <c r="C408" s="3229" t="s">
        <v>3145</v>
      </c>
      <c r="D408" s="3229" t="s">
        <v>3155</v>
      </c>
      <c r="E408" s="3257" t="s">
        <v>4553</v>
      </c>
      <c r="F408" s="3257">
        <v>37.49</v>
      </c>
      <c r="G408" s="3245">
        <f t="shared" si="7"/>
        <v>7.69</v>
      </c>
      <c r="H408" s="3259"/>
    </row>
    <row r="409" spans="1:8">
      <c r="A409" s="3228">
        <v>406</v>
      </c>
      <c r="B409" s="3229" t="s">
        <v>3144</v>
      </c>
      <c r="C409" s="3229" t="s">
        <v>3145</v>
      </c>
      <c r="D409" s="3229" t="s">
        <v>3155</v>
      </c>
      <c r="E409" s="3257" t="s">
        <v>4554</v>
      </c>
      <c r="F409" s="3257">
        <v>37.49</v>
      </c>
      <c r="G409" s="3245">
        <f t="shared" si="7"/>
        <v>7.69</v>
      </c>
      <c r="H409" s="3259"/>
    </row>
    <row r="410" spans="1:8">
      <c r="A410" s="3228">
        <v>407</v>
      </c>
      <c r="B410" s="3229" t="s">
        <v>3144</v>
      </c>
      <c r="C410" s="3229" t="s">
        <v>3145</v>
      </c>
      <c r="D410" s="3229" t="s">
        <v>3155</v>
      </c>
      <c r="E410" s="3257" t="s">
        <v>4555</v>
      </c>
      <c r="F410" s="3257">
        <v>37.49</v>
      </c>
      <c r="G410" s="3245">
        <f t="shared" si="7"/>
        <v>7.69</v>
      </c>
      <c r="H410" s="3259"/>
    </row>
    <row r="411" spans="1:8">
      <c r="A411" s="3228">
        <v>408</v>
      </c>
      <c r="B411" s="3229" t="s">
        <v>3144</v>
      </c>
      <c r="C411" s="3229" t="s">
        <v>3145</v>
      </c>
      <c r="D411" s="3229" t="s">
        <v>3155</v>
      </c>
      <c r="E411" s="3257" t="s">
        <v>4556</v>
      </c>
      <c r="F411" s="3257">
        <v>37.49</v>
      </c>
      <c r="G411" s="3245">
        <f t="shared" si="7"/>
        <v>7.69</v>
      </c>
      <c r="H411" s="3259"/>
    </row>
    <row r="412" spans="1:8">
      <c r="A412" s="3228">
        <v>409</v>
      </c>
      <c r="B412" s="3229" t="s">
        <v>3144</v>
      </c>
      <c r="C412" s="3229" t="s">
        <v>3145</v>
      </c>
      <c r="D412" s="3229" t="s">
        <v>3155</v>
      </c>
      <c r="E412" s="3257" t="s">
        <v>4557</v>
      </c>
      <c r="F412" s="3257">
        <v>37.49</v>
      </c>
      <c r="G412" s="3245">
        <f t="shared" si="7"/>
        <v>7.69</v>
      </c>
      <c r="H412" s="3259"/>
    </row>
    <row r="413" spans="1:8">
      <c r="A413" s="3228">
        <v>410</v>
      </c>
      <c r="B413" s="3229" t="s">
        <v>3144</v>
      </c>
      <c r="C413" s="3229" t="s">
        <v>3145</v>
      </c>
      <c r="D413" s="3229" t="s">
        <v>3155</v>
      </c>
      <c r="E413" s="3257" t="s">
        <v>4558</v>
      </c>
      <c r="F413" s="3257">
        <v>35.99</v>
      </c>
      <c r="G413" s="3245">
        <f t="shared" si="7"/>
        <v>7.39</v>
      </c>
      <c r="H413" s="3259"/>
    </row>
    <row r="414" spans="1:8">
      <c r="A414" s="3228">
        <v>411</v>
      </c>
      <c r="B414" s="3229" t="s">
        <v>3144</v>
      </c>
      <c r="C414" s="3229" t="s">
        <v>3145</v>
      </c>
      <c r="D414" s="3229" t="s">
        <v>3155</v>
      </c>
      <c r="E414" s="3257" t="s">
        <v>4559</v>
      </c>
      <c r="F414" s="3257">
        <v>37.49</v>
      </c>
      <c r="G414" s="3245">
        <f t="shared" si="7"/>
        <v>7.69</v>
      </c>
      <c r="H414" s="3259"/>
    </row>
    <row r="415" spans="1:8">
      <c r="A415" s="3228">
        <v>412</v>
      </c>
      <c r="B415" s="3229" t="s">
        <v>3144</v>
      </c>
      <c r="C415" s="3229" t="s">
        <v>3145</v>
      </c>
      <c r="D415" s="3229" t="s">
        <v>3155</v>
      </c>
      <c r="E415" s="3257" t="s">
        <v>4560</v>
      </c>
      <c r="F415" s="3257">
        <v>37.49</v>
      </c>
      <c r="G415" s="3245">
        <f t="shared" si="7"/>
        <v>7.69</v>
      </c>
      <c r="H415" s="3259"/>
    </row>
    <row r="416" spans="1:8">
      <c r="A416" s="3228">
        <v>413</v>
      </c>
      <c r="B416" s="3229" t="s">
        <v>3144</v>
      </c>
      <c r="C416" s="3229" t="s">
        <v>3145</v>
      </c>
      <c r="D416" s="3229" t="s">
        <v>3155</v>
      </c>
      <c r="E416" s="3257" t="s">
        <v>4561</v>
      </c>
      <c r="F416" s="3257">
        <v>37.49</v>
      </c>
      <c r="G416" s="3245">
        <f t="shared" si="7"/>
        <v>7.69</v>
      </c>
      <c r="H416" s="3259"/>
    </row>
    <row r="417" spans="1:8">
      <c r="A417" s="3228">
        <v>414</v>
      </c>
      <c r="B417" s="3229" t="s">
        <v>3144</v>
      </c>
      <c r="C417" s="3229" t="s">
        <v>3145</v>
      </c>
      <c r="D417" s="3229" t="s">
        <v>3155</v>
      </c>
      <c r="E417" s="3257" t="s">
        <v>4562</v>
      </c>
      <c r="F417" s="3257">
        <v>35.24</v>
      </c>
      <c r="G417" s="3245">
        <f t="shared" si="7"/>
        <v>7.23</v>
      </c>
      <c r="H417" s="3259"/>
    </row>
    <row r="418" spans="1:8">
      <c r="A418" s="3228">
        <v>415</v>
      </c>
      <c r="B418" s="3229" t="s">
        <v>3144</v>
      </c>
      <c r="C418" s="3229" t="s">
        <v>3145</v>
      </c>
      <c r="D418" s="3229" t="s">
        <v>3155</v>
      </c>
      <c r="E418" s="3257" t="s">
        <v>4563</v>
      </c>
      <c r="F418" s="3257">
        <v>35.24</v>
      </c>
      <c r="G418" s="3245">
        <f t="shared" si="7"/>
        <v>7.23</v>
      </c>
    </row>
    <row r="419" spans="1:8">
      <c r="A419" s="3228">
        <v>416</v>
      </c>
      <c r="B419" s="3229" t="s">
        <v>3144</v>
      </c>
      <c r="C419" s="3229" t="s">
        <v>3145</v>
      </c>
      <c r="D419" s="3229" t="s">
        <v>3155</v>
      </c>
      <c r="E419" s="3257" t="s">
        <v>4564</v>
      </c>
      <c r="F419" s="3257">
        <v>35.24</v>
      </c>
      <c r="G419" s="3245">
        <f t="shared" si="7"/>
        <v>7.23</v>
      </c>
    </row>
    <row r="420" spans="1:8">
      <c r="A420" s="3228">
        <v>417</v>
      </c>
      <c r="B420" s="3229" t="s">
        <v>3144</v>
      </c>
      <c r="C420" s="3229" t="s">
        <v>3145</v>
      </c>
      <c r="D420" s="3229" t="s">
        <v>3155</v>
      </c>
      <c r="E420" s="3257" t="s">
        <v>4565</v>
      </c>
      <c r="F420" s="3257">
        <v>37.49</v>
      </c>
      <c r="G420" s="3245">
        <f t="shared" si="7"/>
        <v>7.69</v>
      </c>
    </row>
    <row r="421" spans="1:8">
      <c r="A421" s="3228">
        <v>418</v>
      </c>
      <c r="B421" s="3229" t="s">
        <v>3144</v>
      </c>
      <c r="C421" s="3229" t="s">
        <v>3145</v>
      </c>
      <c r="D421" s="3229" t="s">
        <v>3155</v>
      </c>
      <c r="E421" s="3257" t="s">
        <v>4566</v>
      </c>
      <c r="F421" s="3257">
        <v>37.49</v>
      </c>
      <c r="G421" s="3245">
        <f t="shared" si="7"/>
        <v>7.69</v>
      </c>
    </row>
    <row r="422" spans="1:8">
      <c r="A422" s="3228">
        <v>419</v>
      </c>
      <c r="B422" s="3229" t="s">
        <v>3144</v>
      </c>
      <c r="C422" s="3229" t="s">
        <v>3145</v>
      </c>
      <c r="D422" s="3229" t="s">
        <v>3155</v>
      </c>
      <c r="E422" s="3257" t="s">
        <v>4567</v>
      </c>
      <c r="F422" s="3257">
        <v>37.49</v>
      </c>
      <c r="G422" s="3245">
        <f t="shared" si="7"/>
        <v>7.69</v>
      </c>
    </row>
    <row r="423" spans="1:8">
      <c r="A423" s="3228">
        <v>420</v>
      </c>
      <c r="B423" s="3229" t="s">
        <v>3144</v>
      </c>
      <c r="C423" s="3229" t="s">
        <v>3145</v>
      </c>
      <c r="D423" s="3229" t="s">
        <v>3155</v>
      </c>
      <c r="E423" s="3257" t="s">
        <v>4568</v>
      </c>
      <c r="F423" s="3257">
        <v>37.49</v>
      </c>
      <c r="G423" s="3245">
        <f t="shared" si="7"/>
        <v>7.69</v>
      </c>
    </row>
    <row r="424" spans="1:8">
      <c r="A424" s="3228">
        <v>421</v>
      </c>
      <c r="B424" s="3229" t="s">
        <v>3144</v>
      </c>
      <c r="C424" s="3229" t="s">
        <v>3145</v>
      </c>
      <c r="D424" s="3229" t="s">
        <v>3155</v>
      </c>
      <c r="E424" s="3257" t="s">
        <v>4569</v>
      </c>
      <c r="F424" s="3257">
        <v>37.49</v>
      </c>
      <c r="G424" s="3245">
        <f t="shared" ref="G424:G487" si="8">ROUND(F424/$C$910*$D$910,2)</f>
        <v>7.69</v>
      </c>
    </row>
    <row r="425" spans="1:8">
      <c r="A425" s="3228">
        <v>422</v>
      </c>
      <c r="B425" s="3229" t="s">
        <v>3150</v>
      </c>
      <c r="C425" s="3229" t="s">
        <v>3151</v>
      </c>
      <c r="D425" s="3229" t="s">
        <v>3153</v>
      </c>
      <c r="E425" s="3257" t="s">
        <v>4570</v>
      </c>
      <c r="F425" s="3257">
        <v>37.49</v>
      </c>
      <c r="G425" s="3245">
        <f t="shared" si="8"/>
        <v>7.69</v>
      </c>
    </row>
    <row r="426" spans="1:8">
      <c r="A426" s="3228">
        <v>423</v>
      </c>
      <c r="B426" s="3229" t="s">
        <v>3150</v>
      </c>
      <c r="C426" s="3229" t="s">
        <v>3151</v>
      </c>
      <c r="D426" s="3229" t="s">
        <v>3153</v>
      </c>
      <c r="E426" s="3257" t="s">
        <v>4571</v>
      </c>
      <c r="F426" s="3257">
        <v>37.49</v>
      </c>
      <c r="G426" s="3245">
        <f t="shared" si="8"/>
        <v>7.69</v>
      </c>
    </row>
    <row r="427" spans="1:8">
      <c r="A427" s="3228">
        <v>424</v>
      </c>
      <c r="B427" s="3229" t="s">
        <v>3150</v>
      </c>
      <c r="C427" s="3229" t="s">
        <v>3151</v>
      </c>
      <c r="D427" s="3229" t="s">
        <v>3153</v>
      </c>
      <c r="E427" s="3257" t="s">
        <v>4572</v>
      </c>
      <c r="F427" s="3257">
        <v>37.49</v>
      </c>
      <c r="G427" s="3245">
        <f t="shared" si="8"/>
        <v>7.69</v>
      </c>
    </row>
    <row r="428" spans="1:8">
      <c r="A428" s="3228">
        <v>425</v>
      </c>
      <c r="B428" s="3229" t="s">
        <v>3150</v>
      </c>
      <c r="C428" s="3229" t="s">
        <v>3151</v>
      </c>
      <c r="D428" s="3229" t="s">
        <v>3153</v>
      </c>
      <c r="E428" s="3257" t="s">
        <v>4573</v>
      </c>
      <c r="F428" s="3257">
        <v>35.99</v>
      </c>
      <c r="G428" s="3245">
        <f t="shared" si="8"/>
        <v>7.39</v>
      </c>
    </row>
    <row r="429" spans="1:8">
      <c r="A429" s="3228">
        <v>426</v>
      </c>
      <c r="B429" s="3229" t="s">
        <v>3150</v>
      </c>
      <c r="C429" s="3229" t="s">
        <v>3151</v>
      </c>
      <c r="D429" s="3229" t="s">
        <v>3153</v>
      </c>
      <c r="E429" s="3257" t="s">
        <v>4574</v>
      </c>
      <c r="F429" s="3257">
        <v>35.99</v>
      </c>
      <c r="G429" s="3245">
        <f t="shared" si="8"/>
        <v>7.39</v>
      </c>
    </row>
    <row r="430" spans="1:8">
      <c r="A430" s="3228">
        <v>427</v>
      </c>
      <c r="B430" s="3229" t="s">
        <v>3150</v>
      </c>
      <c r="C430" s="3229" t="s">
        <v>3151</v>
      </c>
      <c r="D430" s="3229" t="s">
        <v>3153</v>
      </c>
      <c r="E430" s="3257" t="s">
        <v>4575</v>
      </c>
      <c r="F430" s="3257">
        <v>35.99</v>
      </c>
      <c r="G430" s="3245">
        <f t="shared" si="8"/>
        <v>7.39</v>
      </c>
    </row>
    <row r="431" spans="1:8">
      <c r="A431" s="3228">
        <v>428</v>
      </c>
      <c r="B431" s="3229" t="s">
        <v>3150</v>
      </c>
      <c r="C431" s="3229" t="s">
        <v>3151</v>
      </c>
      <c r="D431" s="3229" t="s">
        <v>3153</v>
      </c>
      <c r="E431" s="3257" t="s">
        <v>4576</v>
      </c>
      <c r="F431" s="3257">
        <v>35.99</v>
      </c>
      <c r="G431" s="3245">
        <f t="shared" si="8"/>
        <v>7.39</v>
      </c>
    </row>
    <row r="432" spans="1:8">
      <c r="A432" s="3228">
        <v>429</v>
      </c>
      <c r="B432" s="3229" t="s">
        <v>3150</v>
      </c>
      <c r="C432" s="3229" t="s">
        <v>3151</v>
      </c>
      <c r="D432" s="3229" t="s">
        <v>3153</v>
      </c>
      <c r="E432" s="3257" t="s">
        <v>4577</v>
      </c>
      <c r="F432" s="3257">
        <v>35.99</v>
      </c>
      <c r="G432" s="3245">
        <f t="shared" si="8"/>
        <v>7.39</v>
      </c>
    </row>
    <row r="433" spans="1:7">
      <c r="A433" s="3228">
        <v>430</v>
      </c>
      <c r="B433" s="3229" t="s">
        <v>3150</v>
      </c>
      <c r="C433" s="3229" t="s">
        <v>3151</v>
      </c>
      <c r="D433" s="3229" t="s">
        <v>3153</v>
      </c>
      <c r="E433" s="3257" t="s">
        <v>4578</v>
      </c>
      <c r="F433" s="3257">
        <v>35.99</v>
      </c>
      <c r="G433" s="3245">
        <f t="shared" si="8"/>
        <v>7.39</v>
      </c>
    </row>
    <row r="434" spans="1:7">
      <c r="A434" s="3228">
        <v>431</v>
      </c>
      <c r="B434" s="3229" t="s">
        <v>3150</v>
      </c>
      <c r="C434" s="3229" t="s">
        <v>3151</v>
      </c>
      <c r="D434" s="3229" t="s">
        <v>3153</v>
      </c>
      <c r="E434" s="3257" t="s">
        <v>4579</v>
      </c>
      <c r="F434" s="3257">
        <v>35.99</v>
      </c>
      <c r="G434" s="3245">
        <f t="shared" si="8"/>
        <v>7.39</v>
      </c>
    </row>
    <row r="435" spans="1:7">
      <c r="A435" s="3228">
        <v>432</v>
      </c>
      <c r="B435" s="3229" t="s">
        <v>3150</v>
      </c>
      <c r="C435" s="3229" t="s">
        <v>3151</v>
      </c>
      <c r="D435" s="3229" t="s">
        <v>3153</v>
      </c>
      <c r="E435" s="3257" t="s">
        <v>4580</v>
      </c>
      <c r="F435" s="3257">
        <v>35.99</v>
      </c>
      <c r="G435" s="3245">
        <f t="shared" si="8"/>
        <v>7.39</v>
      </c>
    </row>
    <row r="436" spans="1:7">
      <c r="A436" s="3228">
        <v>433</v>
      </c>
      <c r="B436" s="3229" t="s">
        <v>3144</v>
      </c>
      <c r="C436" s="3229" t="s">
        <v>3145</v>
      </c>
      <c r="D436" s="3229" t="s">
        <v>3155</v>
      </c>
      <c r="E436" s="3257" t="s">
        <v>4581</v>
      </c>
      <c r="F436" s="3257">
        <v>35.99</v>
      </c>
      <c r="G436" s="3245">
        <f t="shared" si="8"/>
        <v>7.39</v>
      </c>
    </row>
    <row r="437" spans="1:7">
      <c r="A437" s="3228">
        <v>434</v>
      </c>
      <c r="B437" s="3229" t="s">
        <v>3144</v>
      </c>
      <c r="C437" s="3229" t="s">
        <v>3145</v>
      </c>
      <c r="D437" s="3229" t="s">
        <v>3155</v>
      </c>
      <c r="E437" s="3257" t="s">
        <v>4582</v>
      </c>
      <c r="F437" s="3257">
        <v>35.99</v>
      </c>
      <c r="G437" s="3245">
        <f t="shared" si="8"/>
        <v>7.39</v>
      </c>
    </row>
    <row r="438" spans="1:7">
      <c r="A438" s="3228">
        <v>435</v>
      </c>
      <c r="B438" s="3229" t="s">
        <v>3144</v>
      </c>
      <c r="C438" s="3229" t="s">
        <v>3145</v>
      </c>
      <c r="D438" s="3229" t="s">
        <v>3155</v>
      </c>
      <c r="E438" s="3257" t="s">
        <v>4583</v>
      </c>
      <c r="F438" s="3257">
        <v>35.99</v>
      </c>
      <c r="G438" s="3245">
        <f t="shared" si="8"/>
        <v>7.39</v>
      </c>
    </row>
    <row r="439" spans="1:7">
      <c r="A439" s="3228">
        <v>436</v>
      </c>
      <c r="B439" s="3229" t="s">
        <v>3144</v>
      </c>
      <c r="C439" s="3229" t="s">
        <v>3145</v>
      </c>
      <c r="D439" s="3229" t="s">
        <v>3155</v>
      </c>
      <c r="E439" s="3257" t="s">
        <v>4584</v>
      </c>
      <c r="F439" s="3257">
        <v>35.99</v>
      </c>
      <c r="G439" s="3245">
        <f t="shared" si="8"/>
        <v>7.39</v>
      </c>
    </row>
    <row r="440" spans="1:7">
      <c r="A440" s="3228">
        <v>437</v>
      </c>
      <c r="B440" s="3229" t="s">
        <v>3144</v>
      </c>
      <c r="C440" s="3229" t="s">
        <v>3145</v>
      </c>
      <c r="D440" s="3229" t="s">
        <v>3155</v>
      </c>
      <c r="E440" s="3257" t="s">
        <v>4585</v>
      </c>
      <c r="F440" s="3257">
        <v>35.99</v>
      </c>
      <c r="G440" s="3245">
        <f t="shared" si="8"/>
        <v>7.39</v>
      </c>
    </row>
    <row r="441" spans="1:7">
      <c r="A441" s="3228">
        <v>438</v>
      </c>
      <c r="B441" s="3229" t="s">
        <v>3144</v>
      </c>
      <c r="C441" s="3229" t="s">
        <v>3145</v>
      </c>
      <c r="D441" s="3229" t="s">
        <v>3155</v>
      </c>
      <c r="E441" s="3257" t="s">
        <v>4586</v>
      </c>
      <c r="F441" s="3257">
        <v>35.99</v>
      </c>
      <c r="G441" s="3245">
        <f t="shared" si="8"/>
        <v>7.39</v>
      </c>
    </row>
    <row r="442" spans="1:7">
      <c r="A442" s="3228">
        <v>439</v>
      </c>
      <c r="B442" s="3229" t="s">
        <v>3144</v>
      </c>
      <c r="C442" s="3229" t="s">
        <v>3145</v>
      </c>
      <c r="D442" s="3229" t="s">
        <v>3155</v>
      </c>
      <c r="E442" s="3257" t="s">
        <v>4587</v>
      </c>
      <c r="F442" s="3257">
        <v>35.99</v>
      </c>
      <c r="G442" s="3245">
        <f t="shared" si="8"/>
        <v>7.39</v>
      </c>
    </row>
    <row r="443" spans="1:7">
      <c r="A443" s="3228">
        <v>440</v>
      </c>
      <c r="B443" s="3229" t="s">
        <v>3144</v>
      </c>
      <c r="C443" s="3229" t="s">
        <v>3145</v>
      </c>
      <c r="D443" s="3229" t="s">
        <v>3155</v>
      </c>
      <c r="E443" s="3257" t="s">
        <v>4588</v>
      </c>
      <c r="F443" s="3257">
        <v>35.99</v>
      </c>
      <c r="G443" s="3245">
        <f t="shared" si="8"/>
        <v>7.39</v>
      </c>
    </row>
    <row r="444" spans="1:7">
      <c r="A444" s="3228">
        <v>441</v>
      </c>
      <c r="B444" s="3229" t="s">
        <v>3144</v>
      </c>
      <c r="C444" s="3229" t="s">
        <v>3145</v>
      </c>
      <c r="D444" s="3229" t="s">
        <v>3155</v>
      </c>
      <c r="E444" s="3257" t="s">
        <v>4589</v>
      </c>
      <c r="F444" s="3257">
        <v>34.49</v>
      </c>
      <c r="G444" s="3245">
        <f t="shared" si="8"/>
        <v>7.08</v>
      </c>
    </row>
    <row r="445" spans="1:7">
      <c r="A445" s="3228">
        <v>442</v>
      </c>
      <c r="B445" s="3229" t="s">
        <v>3144</v>
      </c>
      <c r="C445" s="3229" t="s">
        <v>3145</v>
      </c>
      <c r="D445" s="3229" t="s">
        <v>3155</v>
      </c>
      <c r="E445" s="3257" t="s">
        <v>4590</v>
      </c>
      <c r="F445" s="3257">
        <v>34.49</v>
      </c>
      <c r="G445" s="3245">
        <f t="shared" si="8"/>
        <v>7.08</v>
      </c>
    </row>
    <row r="446" spans="1:7">
      <c r="A446" s="3228">
        <v>443</v>
      </c>
      <c r="B446" s="3229" t="s">
        <v>3144</v>
      </c>
      <c r="C446" s="3229" t="s">
        <v>3145</v>
      </c>
      <c r="D446" s="3229" t="s">
        <v>3155</v>
      </c>
      <c r="E446" s="3257" t="s">
        <v>4591</v>
      </c>
      <c r="F446" s="3257">
        <v>34.49</v>
      </c>
      <c r="G446" s="3245">
        <f t="shared" si="8"/>
        <v>7.08</v>
      </c>
    </row>
    <row r="447" spans="1:7">
      <c r="A447" s="3228">
        <v>444</v>
      </c>
      <c r="B447" s="3229" t="s">
        <v>3144</v>
      </c>
      <c r="C447" s="3229" t="s">
        <v>3145</v>
      </c>
      <c r="D447" s="3229" t="s">
        <v>3155</v>
      </c>
      <c r="E447" s="3257" t="s">
        <v>4592</v>
      </c>
      <c r="F447" s="3257">
        <v>35.99</v>
      </c>
      <c r="G447" s="3245">
        <f t="shared" si="8"/>
        <v>7.39</v>
      </c>
    </row>
    <row r="448" spans="1:7">
      <c r="A448" s="3228">
        <v>445</v>
      </c>
      <c r="B448" s="3229" t="s">
        <v>3144</v>
      </c>
      <c r="C448" s="3229" t="s">
        <v>3145</v>
      </c>
      <c r="D448" s="3229" t="s">
        <v>3155</v>
      </c>
      <c r="E448" s="3257" t="s">
        <v>4593</v>
      </c>
      <c r="F448" s="3257">
        <v>35.99</v>
      </c>
      <c r="G448" s="3245">
        <f t="shared" si="8"/>
        <v>7.39</v>
      </c>
    </row>
    <row r="449" spans="1:7">
      <c r="A449" s="3228">
        <v>446</v>
      </c>
      <c r="B449" s="3229" t="s">
        <v>3144</v>
      </c>
      <c r="C449" s="3229" t="s">
        <v>3145</v>
      </c>
      <c r="D449" s="3229" t="s">
        <v>3155</v>
      </c>
      <c r="E449" s="3257" t="s">
        <v>4594</v>
      </c>
      <c r="F449" s="3257">
        <v>35.99</v>
      </c>
      <c r="G449" s="3245">
        <f t="shared" si="8"/>
        <v>7.39</v>
      </c>
    </row>
    <row r="450" spans="1:7">
      <c r="A450" s="3228">
        <v>447</v>
      </c>
      <c r="B450" s="3229" t="s">
        <v>3144</v>
      </c>
      <c r="C450" s="3229" t="s">
        <v>3145</v>
      </c>
      <c r="D450" s="3229" t="s">
        <v>3155</v>
      </c>
      <c r="E450" s="3257" t="s">
        <v>4595</v>
      </c>
      <c r="F450" s="3257">
        <v>35.99</v>
      </c>
      <c r="G450" s="3245">
        <f t="shared" si="8"/>
        <v>7.39</v>
      </c>
    </row>
    <row r="451" spans="1:7">
      <c r="A451" s="3228">
        <v>448</v>
      </c>
      <c r="B451" s="3229" t="s">
        <v>3144</v>
      </c>
      <c r="C451" s="3229" t="s">
        <v>3145</v>
      </c>
      <c r="D451" s="3229" t="s">
        <v>3155</v>
      </c>
      <c r="E451" s="3257" t="s">
        <v>4596</v>
      </c>
      <c r="F451" s="3257">
        <v>35.99</v>
      </c>
      <c r="G451" s="3245">
        <f t="shared" si="8"/>
        <v>7.39</v>
      </c>
    </row>
    <row r="452" spans="1:7">
      <c r="A452" s="3228">
        <v>449</v>
      </c>
      <c r="B452" s="3229" t="s">
        <v>3144</v>
      </c>
      <c r="C452" s="3229" t="s">
        <v>3145</v>
      </c>
      <c r="D452" s="3229" t="s">
        <v>3155</v>
      </c>
      <c r="E452" s="3257" t="s">
        <v>4597</v>
      </c>
      <c r="F452" s="3257">
        <v>37.49</v>
      </c>
      <c r="G452" s="3245">
        <f t="shared" si="8"/>
        <v>7.69</v>
      </c>
    </row>
    <row r="453" spans="1:7">
      <c r="A453" s="3228">
        <v>450</v>
      </c>
      <c r="B453" s="3229" t="s">
        <v>3144</v>
      </c>
      <c r="C453" s="3229" t="s">
        <v>3145</v>
      </c>
      <c r="D453" s="3229" t="s">
        <v>3155</v>
      </c>
      <c r="E453" s="3257" t="s">
        <v>4598</v>
      </c>
      <c r="F453" s="3257">
        <v>35.99</v>
      </c>
      <c r="G453" s="3245">
        <f t="shared" si="8"/>
        <v>7.39</v>
      </c>
    </row>
    <row r="454" spans="1:7">
      <c r="A454" s="3228">
        <v>451</v>
      </c>
      <c r="B454" s="3229" t="s">
        <v>3144</v>
      </c>
      <c r="C454" s="3229" t="s">
        <v>3145</v>
      </c>
      <c r="D454" s="3229" t="s">
        <v>3155</v>
      </c>
      <c r="E454" s="3257" t="s">
        <v>4599</v>
      </c>
      <c r="F454" s="3257">
        <v>35.99</v>
      </c>
      <c r="G454" s="3245">
        <f t="shared" si="8"/>
        <v>7.39</v>
      </c>
    </row>
    <row r="455" spans="1:7">
      <c r="A455" s="3228">
        <v>452</v>
      </c>
      <c r="B455" s="3229" t="s">
        <v>3144</v>
      </c>
      <c r="C455" s="3229" t="s">
        <v>3145</v>
      </c>
      <c r="D455" s="3229" t="s">
        <v>3155</v>
      </c>
      <c r="E455" s="3257" t="s">
        <v>4600</v>
      </c>
      <c r="F455" s="3257">
        <v>35.99</v>
      </c>
      <c r="G455" s="3245">
        <f t="shared" si="8"/>
        <v>7.39</v>
      </c>
    </row>
    <row r="456" spans="1:7">
      <c r="A456" s="3228">
        <v>453</v>
      </c>
      <c r="B456" s="3229" t="s">
        <v>3144</v>
      </c>
      <c r="C456" s="3229" t="s">
        <v>3145</v>
      </c>
      <c r="D456" s="3229" t="s">
        <v>3155</v>
      </c>
      <c r="E456" s="3257" t="s">
        <v>4601</v>
      </c>
      <c r="F456" s="3257">
        <v>35.99</v>
      </c>
      <c r="G456" s="3245">
        <f t="shared" si="8"/>
        <v>7.39</v>
      </c>
    </row>
    <row r="457" spans="1:7">
      <c r="A457" s="3228">
        <v>454</v>
      </c>
      <c r="B457" s="3229" t="s">
        <v>3144</v>
      </c>
      <c r="C457" s="3229" t="s">
        <v>3145</v>
      </c>
      <c r="D457" s="3229" t="s">
        <v>3155</v>
      </c>
      <c r="E457" s="3257" t="s">
        <v>4602</v>
      </c>
      <c r="F457" s="3257">
        <v>37.49</v>
      </c>
      <c r="G457" s="3245">
        <f t="shared" si="8"/>
        <v>7.69</v>
      </c>
    </row>
    <row r="458" spans="1:7">
      <c r="A458" s="3228">
        <v>455</v>
      </c>
      <c r="B458" s="3229" t="s">
        <v>3144</v>
      </c>
      <c r="C458" s="3229" t="s">
        <v>3145</v>
      </c>
      <c r="D458" s="3229" t="s">
        <v>3155</v>
      </c>
      <c r="E458" s="3257" t="s">
        <v>4603</v>
      </c>
      <c r="F458" s="3257">
        <v>37.49</v>
      </c>
      <c r="G458" s="3245">
        <f t="shared" si="8"/>
        <v>7.69</v>
      </c>
    </row>
    <row r="459" spans="1:7">
      <c r="A459" s="3228">
        <v>456</v>
      </c>
      <c r="B459" s="3229" t="s">
        <v>3144</v>
      </c>
      <c r="C459" s="3229" t="s">
        <v>3145</v>
      </c>
      <c r="D459" s="3229" t="s">
        <v>3155</v>
      </c>
      <c r="E459" s="3257" t="s">
        <v>4604</v>
      </c>
      <c r="F459" s="3257">
        <v>37.49</v>
      </c>
      <c r="G459" s="3245">
        <f t="shared" si="8"/>
        <v>7.69</v>
      </c>
    </row>
    <row r="460" spans="1:7">
      <c r="A460" s="3228">
        <v>457</v>
      </c>
      <c r="B460" s="3229" t="s">
        <v>3144</v>
      </c>
      <c r="C460" s="3229" t="s">
        <v>3145</v>
      </c>
      <c r="D460" s="3229" t="s">
        <v>3155</v>
      </c>
      <c r="E460" s="3257" t="s">
        <v>4605</v>
      </c>
      <c r="F460" s="3257">
        <v>36.71</v>
      </c>
      <c r="G460" s="3245">
        <f t="shared" si="8"/>
        <v>7.53</v>
      </c>
    </row>
    <row r="461" spans="1:7">
      <c r="A461" s="3228">
        <v>458</v>
      </c>
      <c r="B461" s="3229" t="s">
        <v>3144</v>
      </c>
      <c r="C461" s="3229" t="s">
        <v>3145</v>
      </c>
      <c r="D461" s="3229" t="s">
        <v>3155</v>
      </c>
      <c r="E461" s="3257" t="s">
        <v>4606</v>
      </c>
      <c r="F461" s="3257">
        <v>37.49</v>
      </c>
      <c r="G461" s="3245">
        <f t="shared" si="8"/>
        <v>7.69</v>
      </c>
    </row>
    <row r="462" spans="1:7">
      <c r="A462" s="3228">
        <v>459</v>
      </c>
      <c r="B462" s="3229" t="s">
        <v>3144</v>
      </c>
      <c r="C462" s="3229" t="s">
        <v>3145</v>
      </c>
      <c r="D462" s="3229" t="s">
        <v>3155</v>
      </c>
      <c r="E462" s="3257" t="s">
        <v>4607</v>
      </c>
      <c r="F462" s="3257">
        <v>37.49</v>
      </c>
      <c r="G462" s="3245">
        <f t="shared" si="8"/>
        <v>7.69</v>
      </c>
    </row>
    <row r="463" spans="1:7">
      <c r="A463" s="3228">
        <v>460</v>
      </c>
      <c r="B463" s="3229" t="s">
        <v>3144</v>
      </c>
      <c r="C463" s="3229" t="s">
        <v>3145</v>
      </c>
      <c r="D463" s="3229" t="s">
        <v>3155</v>
      </c>
      <c r="E463" s="3257" t="s">
        <v>4608</v>
      </c>
      <c r="F463" s="3257">
        <v>38.99</v>
      </c>
      <c r="G463" s="3245">
        <f t="shared" si="8"/>
        <v>8</v>
      </c>
    </row>
    <row r="464" spans="1:7">
      <c r="A464" s="3228">
        <v>461</v>
      </c>
      <c r="B464" s="3229" t="s">
        <v>3144</v>
      </c>
      <c r="C464" s="3229" t="s">
        <v>3145</v>
      </c>
      <c r="D464" s="3229" t="s">
        <v>3155</v>
      </c>
      <c r="E464" s="3257" t="s">
        <v>4609</v>
      </c>
      <c r="F464" s="3257">
        <v>35.99</v>
      </c>
      <c r="G464" s="3245">
        <f t="shared" si="8"/>
        <v>7.39</v>
      </c>
    </row>
    <row r="465" spans="1:7">
      <c r="A465" s="3228">
        <v>462</v>
      </c>
      <c r="B465" s="3229" t="s">
        <v>3144</v>
      </c>
      <c r="C465" s="3229" t="s">
        <v>3145</v>
      </c>
      <c r="D465" s="3229" t="s">
        <v>3155</v>
      </c>
      <c r="E465" s="3257" t="s">
        <v>4610</v>
      </c>
      <c r="F465" s="3257">
        <v>35.99</v>
      </c>
      <c r="G465" s="3245">
        <f t="shared" si="8"/>
        <v>7.39</v>
      </c>
    </row>
    <row r="466" spans="1:7">
      <c r="A466" s="3228">
        <v>463</v>
      </c>
      <c r="B466" s="3229" t="s">
        <v>3144</v>
      </c>
      <c r="C466" s="3229" t="s">
        <v>3145</v>
      </c>
      <c r="D466" s="3229" t="s">
        <v>3155</v>
      </c>
      <c r="E466" s="3257" t="s">
        <v>4611</v>
      </c>
      <c r="F466" s="3257">
        <v>35.99</v>
      </c>
      <c r="G466" s="3245">
        <f t="shared" si="8"/>
        <v>7.39</v>
      </c>
    </row>
    <row r="467" spans="1:7">
      <c r="A467" s="3228">
        <v>464</v>
      </c>
      <c r="B467" s="3229" t="s">
        <v>3144</v>
      </c>
      <c r="C467" s="3229" t="s">
        <v>3145</v>
      </c>
      <c r="D467" s="3229" t="s">
        <v>3155</v>
      </c>
      <c r="E467" s="3257" t="s">
        <v>4612</v>
      </c>
      <c r="F467" s="3257">
        <v>35.99</v>
      </c>
      <c r="G467" s="3245">
        <f t="shared" si="8"/>
        <v>7.39</v>
      </c>
    </row>
    <row r="468" spans="1:7">
      <c r="A468" s="3228">
        <v>465</v>
      </c>
      <c r="B468" s="3229" t="s">
        <v>3144</v>
      </c>
      <c r="C468" s="3229" t="s">
        <v>3145</v>
      </c>
      <c r="D468" s="3229" t="s">
        <v>3155</v>
      </c>
      <c r="E468" s="3257" t="s">
        <v>4613</v>
      </c>
      <c r="F468" s="3257">
        <v>35.99</v>
      </c>
      <c r="G468" s="3245">
        <f t="shared" si="8"/>
        <v>7.39</v>
      </c>
    </row>
    <row r="469" spans="1:7">
      <c r="A469" s="3228">
        <v>466</v>
      </c>
      <c r="B469" s="3229" t="s">
        <v>3144</v>
      </c>
      <c r="C469" s="3229" t="s">
        <v>3145</v>
      </c>
      <c r="D469" s="3229" t="s">
        <v>3155</v>
      </c>
      <c r="E469" s="3257" t="s">
        <v>4614</v>
      </c>
      <c r="F469" s="3257">
        <v>35.99</v>
      </c>
      <c r="G469" s="3245">
        <f t="shared" si="8"/>
        <v>7.39</v>
      </c>
    </row>
    <row r="470" spans="1:7">
      <c r="A470" s="3228">
        <v>467</v>
      </c>
      <c r="B470" s="3229" t="s">
        <v>3144</v>
      </c>
      <c r="C470" s="3229" t="s">
        <v>3145</v>
      </c>
      <c r="D470" s="3229" t="s">
        <v>3155</v>
      </c>
      <c r="E470" s="3257" t="s">
        <v>4615</v>
      </c>
      <c r="F470" s="3257">
        <v>37.49</v>
      </c>
      <c r="G470" s="3245">
        <f t="shared" si="8"/>
        <v>7.69</v>
      </c>
    </row>
    <row r="471" spans="1:7">
      <c r="A471" s="3228">
        <v>468</v>
      </c>
      <c r="B471" s="3229" t="s">
        <v>3144</v>
      </c>
      <c r="C471" s="3229" t="s">
        <v>3145</v>
      </c>
      <c r="D471" s="3229" t="s">
        <v>3155</v>
      </c>
      <c r="E471" s="3257" t="s">
        <v>4616</v>
      </c>
      <c r="F471" s="3257">
        <v>37.49</v>
      </c>
      <c r="G471" s="3245">
        <f t="shared" si="8"/>
        <v>7.69</v>
      </c>
    </row>
    <row r="472" spans="1:7">
      <c r="A472" s="3228">
        <v>469</v>
      </c>
      <c r="B472" s="3229" t="s">
        <v>3144</v>
      </c>
      <c r="C472" s="3229" t="s">
        <v>3145</v>
      </c>
      <c r="D472" s="3229" t="s">
        <v>3155</v>
      </c>
      <c r="E472" s="3257" t="s">
        <v>4617</v>
      </c>
      <c r="F472" s="3257">
        <v>35.99</v>
      </c>
      <c r="G472" s="3245">
        <f t="shared" si="8"/>
        <v>7.39</v>
      </c>
    </row>
    <row r="473" spans="1:7">
      <c r="A473" s="3228">
        <v>470</v>
      </c>
      <c r="B473" s="3229" t="s">
        <v>3144</v>
      </c>
      <c r="C473" s="3229" t="s">
        <v>3145</v>
      </c>
      <c r="D473" s="3229" t="s">
        <v>3155</v>
      </c>
      <c r="E473" s="3257" t="s">
        <v>4618</v>
      </c>
      <c r="F473" s="3257">
        <v>35.99</v>
      </c>
      <c r="G473" s="3245">
        <f t="shared" si="8"/>
        <v>7.39</v>
      </c>
    </row>
    <row r="474" spans="1:7">
      <c r="A474" s="3228">
        <v>471</v>
      </c>
      <c r="B474" s="3229" t="s">
        <v>3144</v>
      </c>
      <c r="C474" s="3229" t="s">
        <v>3145</v>
      </c>
      <c r="D474" s="3229" t="s">
        <v>3155</v>
      </c>
      <c r="E474" s="3257" t="s">
        <v>4619</v>
      </c>
      <c r="F474" s="3257">
        <v>35.99</v>
      </c>
      <c r="G474" s="3245">
        <f t="shared" si="8"/>
        <v>7.39</v>
      </c>
    </row>
    <row r="475" spans="1:7">
      <c r="A475" s="3228">
        <v>472</v>
      </c>
      <c r="B475" s="3229" t="s">
        <v>3144</v>
      </c>
      <c r="C475" s="3229" t="s">
        <v>3145</v>
      </c>
      <c r="D475" s="3229" t="s">
        <v>3155</v>
      </c>
      <c r="E475" s="3257" t="s">
        <v>4620</v>
      </c>
      <c r="F475" s="3257">
        <v>35.99</v>
      </c>
      <c r="G475" s="3245">
        <f t="shared" si="8"/>
        <v>7.39</v>
      </c>
    </row>
    <row r="476" spans="1:7">
      <c r="A476" s="3228">
        <v>473</v>
      </c>
      <c r="B476" s="3229" t="s">
        <v>3144</v>
      </c>
      <c r="C476" s="3229" t="s">
        <v>3145</v>
      </c>
      <c r="D476" s="3229" t="s">
        <v>3155</v>
      </c>
      <c r="E476" s="3257" t="s">
        <v>4621</v>
      </c>
      <c r="F476" s="3257">
        <v>35.99</v>
      </c>
      <c r="G476" s="3245">
        <f t="shared" si="8"/>
        <v>7.39</v>
      </c>
    </row>
    <row r="477" spans="1:7">
      <c r="A477" s="3228">
        <v>474</v>
      </c>
      <c r="B477" s="3229" t="s">
        <v>3144</v>
      </c>
      <c r="C477" s="3229" t="s">
        <v>3145</v>
      </c>
      <c r="D477" s="3229" t="s">
        <v>3155</v>
      </c>
      <c r="E477" s="3257" t="s">
        <v>4622</v>
      </c>
      <c r="F477" s="3257">
        <v>35.99</v>
      </c>
      <c r="G477" s="3245">
        <f t="shared" si="8"/>
        <v>7.39</v>
      </c>
    </row>
    <row r="478" spans="1:7">
      <c r="A478" s="3228">
        <v>475</v>
      </c>
      <c r="B478" s="3229" t="s">
        <v>3144</v>
      </c>
      <c r="C478" s="3229" t="s">
        <v>3145</v>
      </c>
      <c r="D478" s="3229" t="s">
        <v>3155</v>
      </c>
      <c r="E478" s="3257" t="s">
        <v>4623</v>
      </c>
      <c r="F478" s="3257">
        <v>35.99</v>
      </c>
      <c r="G478" s="3245">
        <f t="shared" si="8"/>
        <v>7.39</v>
      </c>
    </row>
    <row r="479" spans="1:7">
      <c r="A479" s="3228">
        <v>476</v>
      </c>
      <c r="B479" s="3229" t="s">
        <v>3144</v>
      </c>
      <c r="C479" s="3229" t="s">
        <v>3145</v>
      </c>
      <c r="D479" s="3229" t="s">
        <v>3155</v>
      </c>
      <c r="E479" s="3257" t="s">
        <v>4624</v>
      </c>
      <c r="F479" s="3257">
        <v>36.340000000000003</v>
      </c>
      <c r="G479" s="3245">
        <f t="shared" si="8"/>
        <v>7.46</v>
      </c>
    </row>
    <row r="480" spans="1:7">
      <c r="A480" s="3228">
        <v>477</v>
      </c>
      <c r="B480" s="3229" t="s">
        <v>3144</v>
      </c>
      <c r="C480" s="3229" t="s">
        <v>3145</v>
      </c>
      <c r="D480" s="3229" t="s">
        <v>3155</v>
      </c>
      <c r="E480" s="3257" t="s">
        <v>4625</v>
      </c>
      <c r="F480" s="3257">
        <v>36.340000000000003</v>
      </c>
      <c r="G480" s="3245">
        <f t="shared" si="8"/>
        <v>7.46</v>
      </c>
    </row>
    <row r="481" spans="1:7">
      <c r="A481" s="3228">
        <v>478</v>
      </c>
      <c r="B481" s="3229" t="s">
        <v>3144</v>
      </c>
      <c r="C481" s="3229" t="s">
        <v>3145</v>
      </c>
      <c r="D481" s="3229" t="s">
        <v>3155</v>
      </c>
      <c r="E481" s="3257" t="s">
        <v>4626</v>
      </c>
      <c r="F481" s="3257">
        <v>36.340000000000003</v>
      </c>
      <c r="G481" s="3245">
        <f t="shared" si="8"/>
        <v>7.46</v>
      </c>
    </row>
    <row r="482" spans="1:7">
      <c r="A482" s="3228">
        <v>479</v>
      </c>
      <c r="B482" s="3229" t="s">
        <v>3144</v>
      </c>
      <c r="C482" s="3229" t="s">
        <v>3145</v>
      </c>
      <c r="D482" s="3229" t="s">
        <v>3155</v>
      </c>
      <c r="E482" s="3257" t="s">
        <v>4627</v>
      </c>
      <c r="F482" s="3257">
        <v>36.340000000000003</v>
      </c>
      <c r="G482" s="3245">
        <f t="shared" si="8"/>
        <v>7.46</v>
      </c>
    </row>
    <row r="483" spans="1:7">
      <c r="A483" s="3228">
        <v>480</v>
      </c>
      <c r="B483" s="3229" t="s">
        <v>3144</v>
      </c>
      <c r="C483" s="3229" t="s">
        <v>3145</v>
      </c>
      <c r="D483" s="3229" t="s">
        <v>3155</v>
      </c>
      <c r="E483" s="3257" t="s">
        <v>4628</v>
      </c>
      <c r="F483" s="3257">
        <v>36.340000000000003</v>
      </c>
      <c r="G483" s="3245">
        <f t="shared" si="8"/>
        <v>7.46</v>
      </c>
    </row>
    <row r="484" spans="1:7">
      <c r="A484" s="3228">
        <v>481</v>
      </c>
      <c r="B484" s="3229" t="s">
        <v>3144</v>
      </c>
      <c r="C484" s="3229" t="s">
        <v>3145</v>
      </c>
      <c r="D484" s="3229" t="s">
        <v>3155</v>
      </c>
      <c r="E484" s="3257" t="s">
        <v>4629</v>
      </c>
      <c r="F484" s="3257">
        <v>38.659999999999997</v>
      </c>
      <c r="G484" s="3245">
        <f t="shared" si="8"/>
        <v>7.93</v>
      </c>
    </row>
    <row r="485" spans="1:7">
      <c r="A485" s="3228">
        <v>482</v>
      </c>
      <c r="B485" s="3229" t="s">
        <v>3144</v>
      </c>
      <c r="C485" s="3229" t="s">
        <v>3145</v>
      </c>
      <c r="D485" s="3229" t="s">
        <v>3155</v>
      </c>
      <c r="E485" s="3257" t="s">
        <v>4630</v>
      </c>
      <c r="F485" s="3257">
        <v>38.659999999999997</v>
      </c>
      <c r="G485" s="3245">
        <f t="shared" si="8"/>
        <v>7.93</v>
      </c>
    </row>
    <row r="486" spans="1:7">
      <c r="A486" s="3228">
        <v>483</v>
      </c>
      <c r="B486" s="3229" t="s">
        <v>3144</v>
      </c>
      <c r="C486" s="3229" t="s">
        <v>3145</v>
      </c>
      <c r="D486" s="3229" t="s">
        <v>3155</v>
      </c>
      <c r="E486" s="3257" t="s">
        <v>4631</v>
      </c>
      <c r="F486" s="3257">
        <v>35.56</v>
      </c>
      <c r="G486" s="3245">
        <f t="shared" si="8"/>
        <v>7.3</v>
      </c>
    </row>
    <row r="487" spans="1:7">
      <c r="A487" s="3228">
        <v>484</v>
      </c>
      <c r="B487" s="3229" t="s">
        <v>3144</v>
      </c>
      <c r="C487" s="3229" t="s">
        <v>3145</v>
      </c>
      <c r="D487" s="3229" t="s">
        <v>3155</v>
      </c>
      <c r="E487" s="3257" t="s">
        <v>4632</v>
      </c>
      <c r="F487" s="3257">
        <v>35.56</v>
      </c>
      <c r="G487" s="3245">
        <f t="shared" si="8"/>
        <v>7.3</v>
      </c>
    </row>
    <row r="488" spans="1:7">
      <c r="A488" s="3228">
        <v>485</v>
      </c>
      <c r="B488" s="3229" t="s">
        <v>3144</v>
      </c>
      <c r="C488" s="3229" t="s">
        <v>3145</v>
      </c>
      <c r="D488" s="3229" t="s">
        <v>3155</v>
      </c>
      <c r="E488" s="3257" t="s">
        <v>4633</v>
      </c>
      <c r="F488" s="3257">
        <v>35.56</v>
      </c>
      <c r="G488" s="3245">
        <f t="shared" ref="G488:G551" si="9">ROUND(F488/$C$910*$D$910,2)</f>
        <v>7.3</v>
      </c>
    </row>
    <row r="489" spans="1:7">
      <c r="A489" s="3228">
        <v>486</v>
      </c>
      <c r="B489" s="3229" t="s">
        <v>3144</v>
      </c>
      <c r="C489" s="3229" t="s">
        <v>3145</v>
      </c>
      <c r="D489" s="3229" t="s">
        <v>3155</v>
      </c>
      <c r="E489" s="3257" t="s">
        <v>4634</v>
      </c>
      <c r="F489" s="3257">
        <v>35.56</v>
      </c>
      <c r="G489" s="3245">
        <f t="shared" si="9"/>
        <v>7.3</v>
      </c>
    </row>
    <row r="490" spans="1:7">
      <c r="A490" s="3228">
        <v>487</v>
      </c>
      <c r="B490" s="3229" t="s">
        <v>3144</v>
      </c>
      <c r="C490" s="3229" t="s">
        <v>3145</v>
      </c>
      <c r="D490" s="3229" t="s">
        <v>3155</v>
      </c>
      <c r="E490" s="3257" t="s">
        <v>4635</v>
      </c>
      <c r="F490" s="3257">
        <v>35.56</v>
      </c>
      <c r="G490" s="3245">
        <f t="shared" si="9"/>
        <v>7.3</v>
      </c>
    </row>
    <row r="491" spans="1:7">
      <c r="A491" s="3228">
        <v>488</v>
      </c>
      <c r="B491" s="3229" t="s">
        <v>3144</v>
      </c>
      <c r="C491" s="3229" t="s">
        <v>3145</v>
      </c>
      <c r="D491" s="3229" t="s">
        <v>3155</v>
      </c>
      <c r="E491" s="3257" t="s">
        <v>4636</v>
      </c>
      <c r="F491" s="3257">
        <v>35.56</v>
      </c>
      <c r="G491" s="3245">
        <f t="shared" si="9"/>
        <v>7.3</v>
      </c>
    </row>
    <row r="492" spans="1:7">
      <c r="A492" s="3228">
        <v>489</v>
      </c>
      <c r="B492" s="3229" t="s">
        <v>3144</v>
      </c>
      <c r="C492" s="3229" t="s">
        <v>3145</v>
      </c>
      <c r="D492" s="3229" t="s">
        <v>3155</v>
      </c>
      <c r="E492" s="3257" t="s">
        <v>4637</v>
      </c>
      <c r="F492" s="3257">
        <v>35.56</v>
      </c>
      <c r="G492" s="3245">
        <f t="shared" si="9"/>
        <v>7.3</v>
      </c>
    </row>
    <row r="493" spans="1:7">
      <c r="A493" s="3228">
        <v>490</v>
      </c>
      <c r="B493" s="3229" t="s">
        <v>3144</v>
      </c>
      <c r="C493" s="3229" t="s">
        <v>3145</v>
      </c>
      <c r="D493" s="3229" t="s">
        <v>3155</v>
      </c>
      <c r="E493" s="3257" t="s">
        <v>4638</v>
      </c>
      <c r="F493" s="3257">
        <v>35.56</v>
      </c>
      <c r="G493" s="3245">
        <f t="shared" si="9"/>
        <v>7.3</v>
      </c>
    </row>
    <row r="494" spans="1:7">
      <c r="A494" s="3228">
        <v>491</v>
      </c>
      <c r="B494" s="3229" t="s">
        <v>3144</v>
      </c>
      <c r="C494" s="3229" t="s">
        <v>3145</v>
      </c>
      <c r="D494" s="3229" t="s">
        <v>3155</v>
      </c>
      <c r="E494" s="3257" t="s">
        <v>4639</v>
      </c>
      <c r="F494" s="3257">
        <v>35.56</v>
      </c>
      <c r="G494" s="3245">
        <f t="shared" si="9"/>
        <v>7.3</v>
      </c>
    </row>
    <row r="495" spans="1:7">
      <c r="A495" s="3228">
        <v>492</v>
      </c>
      <c r="B495" s="3229" t="s">
        <v>3144</v>
      </c>
      <c r="C495" s="3229" t="s">
        <v>3145</v>
      </c>
      <c r="D495" s="3229" t="s">
        <v>3155</v>
      </c>
      <c r="E495" s="3257" t="s">
        <v>4640</v>
      </c>
      <c r="F495" s="3257">
        <v>36.340000000000003</v>
      </c>
      <c r="G495" s="3245">
        <f t="shared" si="9"/>
        <v>7.46</v>
      </c>
    </row>
    <row r="496" spans="1:7">
      <c r="A496" s="3228">
        <v>493</v>
      </c>
      <c r="B496" s="3229" t="s">
        <v>3144</v>
      </c>
      <c r="C496" s="3229" t="s">
        <v>3145</v>
      </c>
      <c r="D496" s="3229" t="s">
        <v>3155</v>
      </c>
      <c r="E496" s="3257" t="s">
        <v>4641</v>
      </c>
      <c r="F496" s="3257">
        <v>36.340000000000003</v>
      </c>
      <c r="G496" s="3245">
        <f t="shared" si="9"/>
        <v>7.46</v>
      </c>
    </row>
    <row r="497" spans="1:7">
      <c r="A497" s="3228">
        <v>494</v>
      </c>
      <c r="B497" s="3229" t="s">
        <v>3144</v>
      </c>
      <c r="C497" s="3229" t="s">
        <v>3145</v>
      </c>
      <c r="D497" s="3229" t="s">
        <v>3155</v>
      </c>
      <c r="E497" s="3257" t="s">
        <v>4642</v>
      </c>
      <c r="F497" s="3257">
        <v>36.340000000000003</v>
      </c>
      <c r="G497" s="3245">
        <f t="shared" si="9"/>
        <v>7.46</v>
      </c>
    </row>
    <row r="498" spans="1:7">
      <c r="A498" s="3228">
        <v>495</v>
      </c>
      <c r="B498" s="3229" t="s">
        <v>3144</v>
      </c>
      <c r="C498" s="3229" t="s">
        <v>3145</v>
      </c>
      <c r="D498" s="3229" t="s">
        <v>3155</v>
      </c>
      <c r="E498" s="3257" t="s">
        <v>4643</v>
      </c>
      <c r="F498" s="3257">
        <v>36.340000000000003</v>
      </c>
      <c r="G498" s="3245">
        <f t="shared" si="9"/>
        <v>7.46</v>
      </c>
    </row>
    <row r="499" spans="1:7">
      <c r="A499" s="3228">
        <v>496</v>
      </c>
      <c r="B499" s="3229" t="s">
        <v>3144</v>
      </c>
      <c r="C499" s="3229" t="s">
        <v>3145</v>
      </c>
      <c r="D499" s="3229" t="s">
        <v>3155</v>
      </c>
      <c r="E499" s="3257" t="s">
        <v>4644</v>
      </c>
      <c r="F499" s="3257">
        <v>36.340000000000003</v>
      </c>
      <c r="G499" s="3245">
        <f t="shared" si="9"/>
        <v>7.46</v>
      </c>
    </row>
    <row r="500" spans="1:7">
      <c r="A500" s="3228">
        <v>497</v>
      </c>
      <c r="B500" s="3229" t="s">
        <v>3144</v>
      </c>
      <c r="C500" s="3229" t="s">
        <v>3145</v>
      </c>
      <c r="D500" s="3229" t="s">
        <v>3155</v>
      </c>
      <c r="E500" s="3257" t="s">
        <v>4645</v>
      </c>
      <c r="F500" s="3257">
        <v>36.340000000000003</v>
      </c>
      <c r="G500" s="3245">
        <f t="shared" si="9"/>
        <v>7.46</v>
      </c>
    </row>
    <row r="501" spans="1:7">
      <c r="A501" s="3228">
        <v>498</v>
      </c>
      <c r="B501" s="3229" t="s">
        <v>3144</v>
      </c>
      <c r="C501" s="3229" t="s">
        <v>3145</v>
      </c>
      <c r="D501" s="3229" t="s">
        <v>3155</v>
      </c>
      <c r="E501" s="3257" t="s">
        <v>4646</v>
      </c>
      <c r="F501" s="3257">
        <v>36.340000000000003</v>
      </c>
      <c r="G501" s="3245">
        <f t="shared" si="9"/>
        <v>7.46</v>
      </c>
    </row>
    <row r="502" spans="1:7">
      <c r="A502" s="3228">
        <v>499</v>
      </c>
      <c r="B502" s="3229" t="s">
        <v>3144</v>
      </c>
      <c r="C502" s="3229" t="s">
        <v>3145</v>
      </c>
      <c r="D502" s="3229" t="s">
        <v>3155</v>
      </c>
      <c r="E502" s="3257" t="s">
        <v>4647</v>
      </c>
      <c r="F502" s="3257">
        <v>36.340000000000003</v>
      </c>
      <c r="G502" s="3245">
        <f t="shared" si="9"/>
        <v>7.46</v>
      </c>
    </row>
    <row r="503" spans="1:7">
      <c r="A503" s="3228">
        <v>500</v>
      </c>
      <c r="B503" s="3229" t="s">
        <v>3144</v>
      </c>
      <c r="C503" s="3229" t="s">
        <v>3145</v>
      </c>
      <c r="D503" s="3229" t="s">
        <v>3155</v>
      </c>
      <c r="E503" s="3257" t="s">
        <v>4648</v>
      </c>
      <c r="F503" s="3257">
        <v>36.340000000000003</v>
      </c>
      <c r="G503" s="3245">
        <f t="shared" si="9"/>
        <v>7.46</v>
      </c>
    </row>
    <row r="504" spans="1:7">
      <c r="A504" s="3228">
        <v>501</v>
      </c>
      <c r="B504" s="3229" t="s">
        <v>3144</v>
      </c>
      <c r="C504" s="3229" t="s">
        <v>3145</v>
      </c>
      <c r="D504" s="3229" t="s">
        <v>3155</v>
      </c>
      <c r="E504" s="3257" t="s">
        <v>4649</v>
      </c>
      <c r="F504" s="3257">
        <v>36.340000000000003</v>
      </c>
      <c r="G504" s="3245">
        <f t="shared" si="9"/>
        <v>7.46</v>
      </c>
    </row>
    <row r="505" spans="1:7">
      <c r="A505" s="3228">
        <v>502</v>
      </c>
      <c r="B505" s="3229" t="s">
        <v>3144</v>
      </c>
      <c r="C505" s="3229" t="s">
        <v>3145</v>
      </c>
      <c r="D505" s="3229" t="s">
        <v>3155</v>
      </c>
      <c r="E505" s="3257" t="s">
        <v>4650</v>
      </c>
      <c r="F505" s="3257">
        <v>36.340000000000003</v>
      </c>
      <c r="G505" s="3245">
        <f t="shared" si="9"/>
        <v>7.46</v>
      </c>
    </row>
    <row r="506" spans="1:7">
      <c r="A506" s="3228">
        <v>503</v>
      </c>
      <c r="B506" s="3229" t="s">
        <v>3144</v>
      </c>
      <c r="C506" s="3229" t="s">
        <v>3145</v>
      </c>
      <c r="D506" s="3229" t="s">
        <v>3155</v>
      </c>
      <c r="E506" s="3257" t="s">
        <v>4651</v>
      </c>
      <c r="F506" s="3257">
        <v>36.340000000000003</v>
      </c>
      <c r="G506" s="3245">
        <f t="shared" si="9"/>
        <v>7.46</v>
      </c>
    </row>
    <row r="507" spans="1:7">
      <c r="A507" s="3228">
        <v>504</v>
      </c>
      <c r="B507" s="3229" t="s">
        <v>3144</v>
      </c>
      <c r="C507" s="3229" t="s">
        <v>3145</v>
      </c>
      <c r="D507" s="3229" t="s">
        <v>3155</v>
      </c>
      <c r="E507" s="3257" t="s">
        <v>4652</v>
      </c>
      <c r="F507" s="3257">
        <v>36.340000000000003</v>
      </c>
      <c r="G507" s="3245">
        <f t="shared" si="9"/>
        <v>7.46</v>
      </c>
    </row>
    <row r="508" spans="1:7">
      <c r="A508" s="3228">
        <v>505</v>
      </c>
      <c r="B508" s="3229" t="s">
        <v>3144</v>
      </c>
      <c r="C508" s="3229" t="s">
        <v>3145</v>
      </c>
      <c r="D508" s="3229" t="s">
        <v>3155</v>
      </c>
      <c r="E508" s="3257" t="s">
        <v>4653</v>
      </c>
      <c r="F508" s="3257">
        <v>36.340000000000003</v>
      </c>
      <c r="G508" s="3245">
        <f t="shared" si="9"/>
        <v>7.46</v>
      </c>
    </row>
    <row r="509" spans="1:7">
      <c r="A509" s="3228">
        <v>506</v>
      </c>
      <c r="B509" s="3229" t="s">
        <v>3144</v>
      </c>
      <c r="C509" s="3229" t="s">
        <v>3145</v>
      </c>
      <c r="D509" s="3229" t="s">
        <v>3155</v>
      </c>
      <c r="E509" s="3257" t="s">
        <v>4654</v>
      </c>
      <c r="F509" s="3257">
        <v>36.340000000000003</v>
      </c>
      <c r="G509" s="3245">
        <f t="shared" si="9"/>
        <v>7.46</v>
      </c>
    </row>
    <row r="510" spans="1:7">
      <c r="A510" s="3228">
        <v>507</v>
      </c>
      <c r="B510" s="3229" t="s">
        <v>3144</v>
      </c>
      <c r="C510" s="3229" t="s">
        <v>3145</v>
      </c>
      <c r="D510" s="3229" t="s">
        <v>3155</v>
      </c>
      <c r="E510" s="3257" t="s">
        <v>4655</v>
      </c>
      <c r="F510" s="3257">
        <v>37.11</v>
      </c>
      <c r="G510" s="3245">
        <f t="shared" si="9"/>
        <v>7.62</v>
      </c>
    </row>
    <row r="511" spans="1:7">
      <c r="A511" s="3228">
        <v>508</v>
      </c>
      <c r="B511" s="3229" t="s">
        <v>3144</v>
      </c>
      <c r="C511" s="3229" t="s">
        <v>3145</v>
      </c>
      <c r="D511" s="3229" t="s">
        <v>3155</v>
      </c>
      <c r="E511" s="3257" t="s">
        <v>4656</v>
      </c>
      <c r="F511" s="3257">
        <v>37.11</v>
      </c>
      <c r="G511" s="3245">
        <f t="shared" si="9"/>
        <v>7.62</v>
      </c>
    </row>
    <row r="512" spans="1:7">
      <c r="A512" s="3228">
        <v>509</v>
      </c>
      <c r="B512" s="3229" t="s">
        <v>3144</v>
      </c>
      <c r="C512" s="3229" t="s">
        <v>3145</v>
      </c>
      <c r="D512" s="3229" t="s">
        <v>3155</v>
      </c>
      <c r="E512" s="3257" t="s">
        <v>4657</v>
      </c>
      <c r="F512" s="3257">
        <v>37.11</v>
      </c>
      <c r="G512" s="3245">
        <f t="shared" si="9"/>
        <v>7.62</v>
      </c>
    </row>
    <row r="513" spans="1:7">
      <c r="A513" s="3228">
        <v>510</v>
      </c>
      <c r="B513" s="3229" t="s">
        <v>3144</v>
      </c>
      <c r="C513" s="3229" t="s">
        <v>3145</v>
      </c>
      <c r="D513" s="3229" t="s">
        <v>3155</v>
      </c>
      <c r="E513" s="3257" t="s">
        <v>4658</v>
      </c>
      <c r="F513" s="3257">
        <v>35.630000000000003</v>
      </c>
      <c r="G513" s="3245">
        <f t="shared" si="9"/>
        <v>7.31</v>
      </c>
    </row>
    <row r="514" spans="1:7">
      <c r="A514" s="3228">
        <v>511</v>
      </c>
      <c r="B514" s="3229" t="s">
        <v>3144</v>
      </c>
      <c r="C514" s="3229" t="s">
        <v>3145</v>
      </c>
      <c r="D514" s="3229" t="s">
        <v>3155</v>
      </c>
      <c r="E514" s="3257" t="s">
        <v>4659</v>
      </c>
      <c r="F514" s="3257">
        <v>35.630000000000003</v>
      </c>
      <c r="G514" s="3245">
        <f t="shared" si="9"/>
        <v>7.31</v>
      </c>
    </row>
    <row r="515" spans="1:7">
      <c r="A515" s="3228">
        <v>512</v>
      </c>
      <c r="B515" s="3229" t="s">
        <v>3144</v>
      </c>
      <c r="C515" s="3229" t="s">
        <v>3145</v>
      </c>
      <c r="D515" s="3229" t="s">
        <v>3155</v>
      </c>
      <c r="E515" s="3257" t="s">
        <v>4660</v>
      </c>
      <c r="F515" s="3257">
        <v>35.630000000000003</v>
      </c>
      <c r="G515" s="3245">
        <f t="shared" si="9"/>
        <v>7.31</v>
      </c>
    </row>
    <row r="516" spans="1:7">
      <c r="A516" s="3228">
        <v>513</v>
      </c>
      <c r="B516" s="3229" t="s">
        <v>3144</v>
      </c>
      <c r="C516" s="3229" t="s">
        <v>3145</v>
      </c>
      <c r="D516" s="3229" t="s">
        <v>3155</v>
      </c>
      <c r="E516" s="3257" t="s">
        <v>4661</v>
      </c>
      <c r="F516" s="3257">
        <v>37.85</v>
      </c>
      <c r="G516" s="3245">
        <f t="shared" si="9"/>
        <v>7.77</v>
      </c>
    </row>
    <row r="517" spans="1:7">
      <c r="A517" s="3228">
        <v>514</v>
      </c>
      <c r="B517" s="3229" t="s">
        <v>3144</v>
      </c>
      <c r="C517" s="3229" t="s">
        <v>3145</v>
      </c>
      <c r="D517" s="3229" t="s">
        <v>3155</v>
      </c>
      <c r="E517" s="3257" t="s">
        <v>4662</v>
      </c>
      <c r="F517" s="3257">
        <v>37.85</v>
      </c>
      <c r="G517" s="3245">
        <f t="shared" si="9"/>
        <v>7.77</v>
      </c>
    </row>
    <row r="518" spans="1:7">
      <c r="A518" s="3228">
        <v>515</v>
      </c>
      <c r="B518" s="3229" t="s">
        <v>3144</v>
      </c>
      <c r="C518" s="3229" t="s">
        <v>3145</v>
      </c>
      <c r="D518" s="3229" t="s">
        <v>3155</v>
      </c>
      <c r="E518" s="3257" t="s">
        <v>4663</v>
      </c>
      <c r="F518" s="3257">
        <v>35.630000000000003</v>
      </c>
      <c r="G518" s="3245">
        <f t="shared" si="9"/>
        <v>7.31</v>
      </c>
    </row>
    <row r="519" spans="1:7">
      <c r="A519" s="3228">
        <v>516</v>
      </c>
      <c r="B519" s="3229" t="s">
        <v>3144</v>
      </c>
      <c r="C519" s="3229" t="s">
        <v>3145</v>
      </c>
      <c r="D519" s="3229" t="s">
        <v>3155</v>
      </c>
      <c r="E519" s="3257" t="s">
        <v>4664</v>
      </c>
      <c r="F519" s="3257">
        <v>35.630000000000003</v>
      </c>
      <c r="G519" s="3245">
        <f t="shared" si="9"/>
        <v>7.31</v>
      </c>
    </row>
    <row r="520" spans="1:7">
      <c r="A520" s="3228">
        <v>517</v>
      </c>
      <c r="B520" s="3229" t="s">
        <v>3144</v>
      </c>
      <c r="C520" s="3229" t="s">
        <v>3145</v>
      </c>
      <c r="D520" s="3229" t="s">
        <v>3155</v>
      </c>
      <c r="E520" s="3257" t="s">
        <v>4665</v>
      </c>
      <c r="F520" s="3257">
        <v>35.630000000000003</v>
      </c>
      <c r="G520" s="3245">
        <f t="shared" si="9"/>
        <v>7.31</v>
      </c>
    </row>
    <row r="521" spans="1:7">
      <c r="A521" s="3228">
        <v>518</v>
      </c>
      <c r="B521" s="3229" t="s">
        <v>3147</v>
      </c>
      <c r="C521" s="3229" t="s">
        <v>3148</v>
      </c>
      <c r="D521" s="3229" t="s">
        <v>3154</v>
      </c>
      <c r="E521" s="3257" t="s">
        <v>4666</v>
      </c>
      <c r="F521" s="3257">
        <v>35.630000000000003</v>
      </c>
      <c r="G521" s="3245">
        <f t="shared" si="9"/>
        <v>7.31</v>
      </c>
    </row>
    <row r="522" spans="1:7">
      <c r="A522" s="3228">
        <v>519</v>
      </c>
      <c r="B522" s="3229" t="s">
        <v>3147</v>
      </c>
      <c r="C522" s="3229" t="s">
        <v>3148</v>
      </c>
      <c r="D522" s="3229" t="s">
        <v>3154</v>
      </c>
      <c r="E522" s="3257" t="s">
        <v>4667</v>
      </c>
      <c r="F522" s="3257">
        <v>35.630000000000003</v>
      </c>
      <c r="G522" s="3245">
        <f t="shared" si="9"/>
        <v>7.31</v>
      </c>
    </row>
    <row r="523" spans="1:7">
      <c r="A523" s="3228">
        <v>520</v>
      </c>
      <c r="B523" s="3229" t="s">
        <v>3147</v>
      </c>
      <c r="C523" s="3229" t="s">
        <v>3148</v>
      </c>
      <c r="D523" s="3229" t="s">
        <v>3154</v>
      </c>
      <c r="E523" s="3257" t="s">
        <v>4668</v>
      </c>
      <c r="F523" s="3257">
        <v>35.630000000000003</v>
      </c>
      <c r="G523" s="3245">
        <f t="shared" si="9"/>
        <v>7.31</v>
      </c>
    </row>
    <row r="524" spans="1:7">
      <c r="A524" s="3228">
        <v>521</v>
      </c>
      <c r="B524" s="3229" t="s">
        <v>3147</v>
      </c>
      <c r="C524" s="3229" t="s">
        <v>3148</v>
      </c>
      <c r="D524" s="3229" t="s">
        <v>3154</v>
      </c>
      <c r="E524" s="3257" t="s">
        <v>4669</v>
      </c>
      <c r="F524" s="3257">
        <v>35.99</v>
      </c>
      <c r="G524" s="3245">
        <f t="shared" si="9"/>
        <v>7.39</v>
      </c>
    </row>
    <row r="525" spans="1:7">
      <c r="A525" s="3228">
        <v>522</v>
      </c>
      <c r="B525" s="3229" t="s">
        <v>3147</v>
      </c>
      <c r="C525" s="3229" t="s">
        <v>3148</v>
      </c>
      <c r="D525" s="3229" t="s">
        <v>3154</v>
      </c>
      <c r="E525" s="3257" t="s">
        <v>4670</v>
      </c>
      <c r="F525" s="3257">
        <v>37.49</v>
      </c>
      <c r="G525" s="3245">
        <f t="shared" si="9"/>
        <v>7.69</v>
      </c>
    </row>
    <row r="526" spans="1:7">
      <c r="A526" s="3228">
        <v>523</v>
      </c>
      <c r="B526" s="3229" t="s">
        <v>3147</v>
      </c>
      <c r="C526" s="3229" t="s">
        <v>3148</v>
      </c>
      <c r="D526" s="3229" t="s">
        <v>3154</v>
      </c>
      <c r="E526" s="3257" t="s">
        <v>4671</v>
      </c>
      <c r="F526" s="3257">
        <v>37.49</v>
      </c>
      <c r="G526" s="3245">
        <f t="shared" si="9"/>
        <v>7.69</v>
      </c>
    </row>
    <row r="527" spans="1:7">
      <c r="A527" s="3228">
        <v>524</v>
      </c>
      <c r="B527" s="3229" t="s">
        <v>3147</v>
      </c>
      <c r="C527" s="3229" t="s">
        <v>3148</v>
      </c>
      <c r="D527" s="3229" t="s">
        <v>3154</v>
      </c>
      <c r="E527" s="3257" t="s">
        <v>4672</v>
      </c>
      <c r="F527" s="3257">
        <v>35.99</v>
      </c>
      <c r="G527" s="3245">
        <f t="shared" si="9"/>
        <v>7.39</v>
      </c>
    </row>
    <row r="528" spans="1:7">
      <c r="A528" s="3228">
        <v>525</v>
      </c>
      <c r="B528" s="3229" t="s">
        <v>3147</v>
      </c>
      <c r="C528" s="3229" t="s">
        <v>3148</v>
      </c>
      <c r="D528" s="3229" t="s">
        <v>3154</v>
      </c>
      <c r="E528" s="3257" t="s">
        <v>4673</v>
      </c>
      <c r="F528" s="3257">
        <v>35.99</v>
      </c>
      <c r="G528" s="3245">
        <f t="shared" si="9"/>
        <v>7.39</v>
      </c>
    </row>
    <row r="529" spans="1:7">
      <c r="A529" s="3228">
        <v>526</v>
      </c>
      <c r="B529" s="3229" t="s">
        <v>3147</v>
      </c>
      <c r="C529" s="3229" t="s">
        <v>3148</v>
      </c>
      <c r="D529" s="3229" t="s">
        <v>3154</v>
      </c>
      <c r="E529" s="3257" t="s">
        <v>4674</v>
      </c>
      <c r="F529" s="3257">
        <v>35.99</v>
      </c>
      <c r="G529" s="3245">
        <f t="shared" si="9"/>
        <v>7.39</v>
      </c>
    </row>
    <row r="530" spans="1:7">
      <c r="A530" s="3228">
        <v>527</v>
      </c>
      <c r="B530" s="3229" t="s">
        <v>3144</v>
      </c>
      <c r="C530" s="3229" t="s">
        <v>3145</v>
      </c>
      <c r="D530" s="3229" t="s">
        <v>3155</v>
      </c>
      <c r="E530" s="3257" t="s">
        <v>4675</v>
      </c>
      <c r="F530" s="3257">
        <v>35.99</v>
      </c>
      <c r="G530" s="3245">
        <f t="shared" si="9"/>
        <v>7.39</v>
      </c>
    </row>
    <row r="531" spans="1:7">
      <c r="A531" s="3228">
        <v>528</v>
      </c>
      <c r="B531" s="3229" t="s">
        <v>3144</v>
      </c>
      <c r="C531" s="3229" t="s">
        <v>3145</v>
      </c>
      <c r="D531" s="3229" t="s">
        <v>3155</v>
      </c>
      <c r="E531" s="3257" t="s">
        <v>4676</v>
      </c>
      <c r="F531" s="3257">
        <v>35.99</v>
      </c>
      <c r="G531" s="3245">
        <f t="shared" si="9"/>
        <v>7.39</v>
      </c>
    </row>
    <row r="532" spans="1:7">
      <c r="A532" s="3228">
        <v>529</v>
      </c>
      <c r="B532" s="3229" t="s">
        <v>3144</v>
      </c>
      <c r="C532" s="3229" t="s">
        <v>3145</v>
      </c>
      <c r="D532" s="3229" t="s">
        <v>3155</v>
      </c>
      <c r="E532" s="3257" t="s">
        <v>4677</v>
      </c>
      <c r="F532" s="3257">
        <v>35.99</v>
      </c>
      <c r="G532" s="3245">
        <f t="shared" si="9"/>
        <v>7.39</v>
      </c>
    </row>
    <row r="533" spans="1:7">
      <c r="A533" s="3228">
        <v>530</v>
      </c>
      <c r="B533" s="3229" t="s">
        <v>3144</v>
      </c>
      <c r="C533" s="3229" t="s">
        <v>3145</v>
      </c>
      <c r="D533" s="3229" t="s">
        <v>3155</v>
      </c>
      <c r="E533" s="3257" t="s">
        <v>4678</v>
      </c>
      <c r="F533" s="3257">
        <v>35.99</v>
      </c>
      <c r="G533" s="3245">
        <f t="shared" si="9"/>
        <v>7.39</v>
      </c>
    </row>
    <row r="534" spans="1:7">
      <c r="A534" s="3228">
        <v>531</v>
      </c>
      <c r="B534" s="3229" t="s">
        <v>3144</v>
      </c>
      <c r="C534" s="3229" t="s">
        <v>3145</v>
      </c>
      <c r="D534" s="3229" t="s">
        <v>3155</v>
      </c>
      <c r="E534" s="3257" t="s">
        <v>4679</v>
      </c>
      <c r="F534" s="3257">
        <v>35.99</v>
      </c>
      <c r="G534" s="3245">
        <f t="shared" si="9"/>
        <v>7.39</v>
      </c>
    </row>
    <row r="535" spans="1:7">
      <c r="A535" s="3228">
        <v>532</v>
      </c>
      <c r="B535" s="3229" t="s">
        <v>3144</v>
      </c>
      <c r="C535" s="3229" t="s">
        <v>3145</v>
      </c>
      <c r="D535" s="3229" t="s">
        <v>3155</v>
      </c>
      <c r="E535" s="3257" t="s">
        <v>4680</v>
      </c>
      <c r="F535" s="3257">
        <v>35.99</v>
      </c>
      <c r="G535" s="3245">
        <f t="shared" si="9"/>
        <v>7.39</v>
      </c>
    </row>
    <row r="536" spans="1:7">
      <c r="A536" s="3228">
        <v>533</v>
      </c>
      <c r="B536" s="3229" t="s">
        <v>3144</v>
      </c>
      <c r="C536" s="3229" t="s">
        <v>3145</v>
      </c>
      <c r="D536" s="3229" t="s">
        <v>3155</v>
      </c>
      <c r="E536" s="3257" t="s">
        <v>4681</v>
      </c>
      <c r="F536" s="3257">
        <v>33.65</v>
      </c>
      <c r="G536" s="3245">
        <f t="shared" si="9"/>
        <v>6.91</v>
      </c>
    </row>
    <row r="537" spans="1:7">
      <c r="A537" s="3228">
        <v>534</v>
      </c>
      <c r="B537" s="3229" t="s">
        <v>3144</v>
      </c>
      <c r="C537" s="3229" t="s">
        <v>3145</v>
      </c>
      <c r="D537" s="3229" t="s">
        <v>3155</v>
      </c>
      <c r="E537" s="3257" t="s">
        <v>4682</v>
      </c>
      <c r="F537" s="3257">
        <v>37.49</v>
      </c>
      <c r="G537" s="3245">
        <f t="shared" si="9"/>
        <v>7.69</v>
      </c>
    </row>
    <row r="538" spans="1:7">
      <c r="A538" s="3228">
        <v>535</v>
      </c>
      <c r="B538" s="3229" t="s">
        <v>3144</v>
      </c>
      <c r="C538" s="3229" t="s">
        <v>3145</v>
      </c>
      <c r="D538" s="3229" t="s">
        <v>3155</v>
      </c>
      <c r="E538" s="3257" t="s">
        <v>4683</v>
      </c>
      <c r="F538" s="3257">
        <v>37.49</v>
      </c>
      <c r="G538" s="3245">
        <f t="shared" si="9"/>
        <v>7.69</v>
      </c>
    </row>
    <row r="539" spans="1:7">
      <c r="A539" s="3228">
        <v>536</v>
      </c>
      <c r="B539" s="3229" t="s">
        <v>3144</v>
      </c>
      <c r="C539" s="3229" t="s">
        <v>3145</v>
      </c>
      <c r="D539" s="3229" t="s">
        <v>3155</v>
      </c>
      <c r="E539" s="3257" t="s">
        <v>4684</v>
      </c>
      <c r="F539" s="3257">
        <v>37.49</v>
      </c>
      <c r="G539" s="3245">
        <f t="shared" si="9"/>
        <v>7.69</v>
      </c>
    </row>
    <row r="540" spans="1:7">
      <c r="A540" s="3228">
        <v>537</v>
      </c>
      <c r="B540" s="3229" t="s">
        <v>3144</v>
      </c>
      <c r="C540" s="3229" t="s">
        <v>3145</v>
      </c>
      <c r="D540" s="3229" t="s">
        <v>3155</v>
      </c>
      <c r="E540" s="3257" t="s">
        <v>4685</v>
      </c>
      <c r="F540" s="3257">
        <v>37.49</v>
      </c>
      <c r="G540" s="3245">
        <f t="shared" si="9"/>
        <v>7.69</v>
      </c>
    </row>
    <row r="541" spans="1:7">
      <c r="A541" s="3228">
        <v>538</v>
      </c>
      <c r="B541" s="3229" t="s">
        <v>3144</v>
      </c>
      <c r="C541" s="3229" t="s">
        <v>3145</v>
      </c>
      <c r="D541" s="3229" t="s">
        <v>3155</v>
      </c>
      <c r="E541" s="3257" t="s">
        <v>4686</v>
      </c>
      <c r="F541" s="3257">
        <v>37.49</v>
      </c>
      <c r="G541" s="3245">
        <f t="shared" si="9"/>
        <v>7.69</v>
      </c>
    </row>
    <row r="542" spans="1:7">
      <c r="A542" s="3228">
        <v>539</v>
      </c>
      <c r="B542" s="3229" t="s">
        <v>3144</v>
      </c>
      <c r="C542" s="3229" t="s">
        <v>3145</v>
      </c>
      <c r="D542" s="3229" t="s">
        <v>3155</v>
      </c>
      <c r="E542" s="3257" t="s">
        <v>4687</v>
      </c>
      <c r="F542" s="3257">
        <v>37.49</v>
      </c>
      <c r="G542" s="3245">
        <f t="shared" si="9"/>
        <v>7.69</v>
      </c>
    </row>
    <row r="543" spans="1:7">
      <c r="A543" s="3228">
        <v>540</v>
      </c>
      <c r="B543" s="3229" t="s">
        <v>3144</v>
      </c>
      <c r="C543" s="3229" t="s">
        <v>3145</v>
      </c>
      <c r="D543" s="3229" t="s">
        <v>3155</v>
      </c>
      <c r="E543" s="3257" t="s">
        <v>4688</v>
      </c>
      <c r="F543" s="3257">
        <v>37.49</v>
      </c>
      <c r="G543" s="3245">
        <f t="shared" si="9"/>
        <v>7.69</v>
      </c>
    </row>
    <row r="544" spans="1:7">
      <c r="A544" s="3228">
        <v>541</v>
      </c>
      <c r="B544" s="3229" t="s">
        <v>3144</v>
      </c>
      <c r="C544" s="3229" t="s">
        <v>3145</v>
      </c>
      <c r="D544" s="3229" t="s">
        <v>3155</v>
      </c>
      <c r="E544" s="3257" t="s">
        <v>4689</v>
      </c>
      <c r="F544" s="3257">
        <v>37.49</v>
      </c>
      <c r="G544" s="3245">
        <f t="shared" si="9"/>
        <v>7.69</v>
      </c>
    </row>
    <row r="545" spans="1:7">
      <c r="A545" s="3228">
        <v>542</v>
      </c>
      <c r="B545" s="3229" t="s">
        <v>3144</v>
      </c>
      <c r="C545" s="3229" t="s">
        <v>3145</v>
      </c>
      <c r="D545" s="3229" t="s">
        <v>3155</v>
      </c>
      <c r="E545" s="3257" t="s">
        <v>4690</v>
      </c>
      <c r="F545" s="3257">
        <v>37.49</v>
      </c>
      <c r="G545" s="3245">
        <f t="shared" si="9"/>
        <v>7.69</v>
      </c>
    </row>
    <row r="546" spans="1:7">
      <c r="A546" s="3228">
        <v>543</v>
      </c>
      <c r="B546" s="3229" t="s">
        <v>3144</v>
      </c>
      <c r="C546" s="3229" t="s">
        <v>3145</v>
      </c>
      <c r="D546" s="3229" t="s">
        <v>3155</v>
      </c>
      <c r="E546" s="3257" t="s">
        <v>4691</v>
      </c>
      <c r="F546" s="3257">
        <v>37.49</v>
      </c>
      <c r="G546" s="3245">
        <f t="shared" si="9"/>
        <v>7.69</v>
      </c>
    </row>
    <row r="547" spans="1:7">
      <c r="A547" s="3228">
        <v>544</v>
      </c>
      <c r="B547" s="3229" t="s">
        <v>3144</v>
      </c>
      <c r="C547" s="3229" t="s">
        <v>3145</v>
      </c>
      <c r="D547" s="3229" t="s">
        <v>3155</v>
      </c>
      <c r="E547" s="3257" t="s">
        <v>4692</v>
      </c>
      <c r="F547" s="3257">
        <v>37.49</v>
      </c>
      <c r="G547" s="3245">
        <f t="shared" si="9"/>
        <v>7.69</v>
      </c>
    </row>
    <row r="548" spans="1:7">
      <c r="A548" s="3228">
        <v>545</v>
      </c>
      <c r="B548" s="3229" t="s">
        <v>3144</v>
      </c>
      <c r="C548" s="3229" t="s">
        <v>3145</v>
      </c>
      <c r="D548" s="3229" t="s">
        <v>3155</v>
      </c>
      <c r="E548" s="3257" t="s">
        <v>4693</v>
      </c>
      <c r="F548" s="3257">
        <v>37.49</v>
      </c>
      <c r="G548" s="3245">
        <f t="shared" si="9"/>
        <v>7.69</v>
      </c>
    </row>
    <row r="549" spans="1:7">
      <c r="A549" s="3228">
        <v>546</v>
      </c>
      <c r="B549" s="3229" t="s">
        <v>3144</v>
      </c>
      <c r="C549" s="3229" t="s">
        <v>3145</v>
      </c>
      <c r="D549" s="3229" t="s">
        <v>3155</v>
      </c>
      <c r="E549" s="3257" t="s">
        <v>4694</v>
      </c>
      <c r="F549" s="3257">
        <v>37.49</v>
      </c>
      <c r="G549" s="3245">
        <f t="shared" si="9"/>
        <v>7.69</v>
      </c>
    </row>
    <row r="550" spans="1:7">
      <c r="A550" s="3228">
        <v>547</v>
      </c>
      <c r="B550" s="3229" t="s">
        <v>3144</v>
      </c>
      <c r="C550" s="3229" t="s">
        <v>3145</v>
      </c>
      <c r="D550" s="3229" t="s">
        <v>3155</v>
      </c>
      <c r="E550" s="3257" t="s">
        <v>4695</v>
      </c>
      <c r="F550" s="3257">
        <v>37.49</v>
      </c>
      <c r="G550" s="3245">
        <f t="shared" si="9"/>
        <v>7.69</v>
      </c>
    </row>
    <row r="551" spans="1:7">
      <c r="A551" s="3228">
        <v>548</v>
      </c>
      <c r="B551" s="3229" t="s">
        <v>3144</v>
      </c>
      <c r="C551" s="3229" t="s">
        <v>3145</v>
      </c>
      <c r="D551" s="3229" t="s">
        <v>3155</v>
      </c>
      <c r="E551" s="3257" t="s">
        <v>4696</v>
      </c>
      <c r="F551" s="3257">
        <v>37.49</v>
      </c>
      <c r="G551" s="3245">
        <f t="shared" si="9"/>
        <v>7.69</v>
      </c>
    </row>
    <row r="552" spans="1:7">
      <c r="A552" s="3228">
        <v>549</v>
      </c>
      <c r="B552" s="3229" t="s">
        <v>3144</v>
      </c>
      <c r="C552" s="3229" t="s">
        <v>3145</v>
      </c>
      <c r="D552" s="3229" t="s">
        <v>3155</v>
      </c>
      <c r="E552" s="3257" t="s">
        <v>4697</v>
      </c>
      <c r="F552" s="3257">
        <v>37.49</v>
      </c>
      <c r="G552" s="3245">
        <f t="shared" ref="G552:G615" si="10">ROUND(F552/$C$910*$D$910,2)</f>
        <v>7.69</v>
      </c>
    </row>
    <row r="553" spans="1:7">
      <c r="A553" s="3228">
        <v>550</v>
      </c>
      <c r="B553" s="3229" t="s">
        <v>3144</v>
      </c>
      <c r="C553" s="3229" t="s">
        <v>3145</v>
      </c>
      <c r="D553" s="3229" t="s">
        <v>3155</v>
      </c>
      <c r="E553" s="3257" t="s">
        <v>4698</v>
      </c>
      <c r="F553" s="3257">
        <v>37.49</v>
      </c>
      <c r="G553" s="3245">
        <f t="shared" si="10"/>
        <v>7.69</v>
      </c>
    </row>
    <row r="554" spans="1:7">
      <c r="A554" s="3228">
        <v>551</v>
      </c>
      <c r="B554" s="3229" t="s">
        <v>3144</v>
      </c>
      <c r="C554" s="3229" t="s">
        <v>3145</v>
      </c>
      <c r="D554" s="3229" t="s">
        <v>3155</v>
      </c>
      <c r="E554" s="3257" t="s">
        <v>4699</v>
      </c>
      <c r="F554" s="3257">
        <v>36.340000000000003</v>
      </c>
      <c r="G554" s="3245">
        <f t="shared" si="10"/>
        <v>7.46</v>
      </c>
    </row>
    <row r="555" spans="1:7">
      <c r="A555" s="3228">
        <v>552</v>
      </c>
      <c r="B555" s="3229" t="s">
        <v>3144</v>
      </c>
      <c r="C555" s="3229" t="s">
        <v>3145</v>
      </c>
      <c r="D555" s="3229" t="s">
        <v>3155</v>
      </c>
      <c r="E555" s="3257" t="s">
        <v>4700</v>
      </c>
      <c r="F555" s="3257">
        <v>36.340000000000003</v>
      </c>
      <c r="G555" s="3245">
        <f t="shared" si="10"/>
        <v>7.46</v>
      </c>
    </row>
    <row r="556" spans="1:7">
      <c r="A556" s="3228">
        <v>553</v>
      </c>
      <c r="B556" s="3229" t="s">
        <v>3144</v>
      </c>
      <c r="C556" s="3229" t="s">
        <v>3145</v>
      </c>
      <c r="D556" s="3229" t="s">
        <v>3155</v>
      </c>
      <c r="E556" s="3257" t="s">
        <v>4701</v>
      </c>
      <c r="F556" s="3257">
        <v>36.340000000000003</v>
      </c>
      <c r="G556" s="3245">
        <f t="shared" si="10"/>
        <v>7.46</v>
      </c>
    </row>
    <row r="557" spans="1:7">
      <c r="A557" s="3228">
        <v>554</v>
      </c>
      <c r="B557" s="3229" t="s">
        <v>3147</v>
      </c>
      <c r="C557" s="3229" t="s">
        <v>3148</v>
      </c>
      <c r="D557" s="3229" t="s">
        <v>3154</v>
      </c>
      <c r="E557" s="3257" t="s">
        <v>4702</v>
      </c>
      <c r="F557" s="3257">
        <v>36.340000000000003</v>
      </c>
      <c r="G557" s="3245">
        <f t="shared" si="10"/>
        <v>7.46</v>
      </c>
    </row>
    <row r="558" spans="1:7">
      <c r="A558" s="3228">
        <v>555</v>
      </c>
      <c r="B558" s="3229" t="s">
        <v>3147</v>
      </c>
      <c r="C558" s="3229" t="s">
        <v>3148</v>
      </c>
      <c r="D558" s="3229" t="s">
        <v>3154</v>
      </c>
      <c r="E558" s="3257" t="s">
        <v>4703</v>
      </c>
      <c r="F558" s="3257">
        <v>37.11</v>
      </c>
      <c r="G558" s="3245">
        <f t="shared" si="10"/>
        <v>7.62</v>
      </c>
    </row>
    <row r="559" spans="1:7">
      <c r="A559" s="3228">
        <v>556</v>
      </c>
      <c r="B559" s="3229" t="s">
        <v>3147</v>
      </c>
      <c r="C559" s="3229" t="s">
        <v>3148</v>
      </c>
      <c r="D559" s="3229" t="s">
        <v>3154</v>
      </c>
      <c r="E559" s="3257" t="s">
        <v>4704</v>
      </c>
      <c r="F559" s="3257">
        <v>37.11</v>
      </c>
      <c r="G559" s="3245">
        <f t="shared" si="10"/>
        <v>7.62</v>
      </c>
    </row>
    <row r="560" spans="1:7">
      <c r="A560" s="3228">
        <v>557</v>
      </c>
      <c r="B560" s="3229" t="s">
        <v>3147</v>
      </c>
      <c r="C560" s="3229" t="s">
        <v>3148</v>
      </c>
      <c r="D560" s="3229" t="s">
        <v>3154</v>
      </c>
      <c r="E560" s="3257" t="s">
        <v>4705</v>
      </c>
      <c r="F560" s="3257">
        <v>37.520000000000003</v>
      </c>
      <c r="G560" s="3245">
        <f t="shared" si="10"/>
        <v>7.7</v>
      </c>
    </row>
    <row r="561" spans="1:7">
      <c r="A561" s="3228">
        <v>558</v>
      </c>
      <c r="B561" s="3229" t="s">
        <v>3147</v>
      </c>
      <c r="C561" s="3229" t="s">
        <v>3148</v>
      </c>
      <c r="D561" s="3229" t="s">
        <v>3154</v>
      </c>
      <c r="E561" s="3257" t="s">
        <v>4706</v>
      </c>
      <c r="F561" s="3257">
        <v>37.520000000000003</v>
      </c>
      <c r="G561" s="3245">
        <f t="shared" si="10"/>
        <v>7.7</v>
      </c>
    </row>
    <row r="562" spans="1:7">
      <c r="A562" s="3228">
        <v>559</v>
      </c>
      <c r="B562" s="3229" t="s">
        <v>3147</v>
      </c>
      <c r="C562" s="3229" t="s">
        <v>3148</v>
      </c>
      <c r="D562" s="3229" t="s">
        <v>3154</v>
      </c>
      <c r="E562" s="3257" t="s">
        <v>4707</v>
      </c>
      <c r="F562" s="3257">
        <v>37.520000000000003</v>
      </c>
      <c r="G562" s="3245">
        <f t="shared" si="10"/>
        <v>7.7</v>
      </c>
    </row>
    <row r="563" spans="1:7">
      <c r="A563" s="3228">
        <v>560</v>
      </c>
      <c r="B563" s="3229" t="s">
        <v>3147</v>
      </c>
      <c r="C563" s="3229" t="s">
        <v>3148</v>
      </c>
      <c r="D563" s="3229" t="s">
        <v>3154</v>
      </c>
      <c r="E563" s="3257" t="s">
        <v>4708</v>
      </c>
      <c r="F563" s="3257">
        <v>37.520000000000003</v>
      </c>
      <c r="G563" s="3245">
        <f t="shared" si="10"/>
        <v>7.7</v>
      </c>
    </row>
    <row r="564" spans="1:7">
      <c r="A564" s="3228">
        <v>561</v>
      </c>
      <c r="B564" s="3229" t="s">
        <v>3147</v>
      </c>
      <c r="C564" s="3229" t="s">
        <v>3148</v>
      </c>
      <c r="D564" s="3229" t="s">
        <v>3154</v>
      </c>
      <c r="E564" s="3257" t="s">
        <v>4709</v>
      </c>
      <c r="F564" s="3257">
        <v>37.520000000000003</v>
      </c>
      <c r="G564" s="3245">
        <f t="shared" si="10"/>
        <v>7.7</v>
      </c>
    </row>
    <row r="565" spans="1:7">
      <c r="A565" s="3228">
        <v>562</v>
      </c>
      <c r="B565" s="3229" t="s">
        <v>3147</v>
      </c>
      <c r="C565" s="3229" t="s">
        <v>3148</v>
      </c>
      <c r="D565" s="3229" t="s">
        <v>3154</v>
      </c>
      <c r="E565" s="3257" t="s">
        <v>4710</v>
      </c>
      <c r="F565" s="3257">
        <v>37.520000000000003</v>
      </c>
      <c r="G565" s="3245">
        <f t="shared" si="10"/>
        <v>7.7</v>
      </c>
    </row>
    <row r="566" spans="1:7">
      <c r="A566" s="3228">
        <v>563</v>
      </c>
      <c r="B566" s="3229" t="s">
        <v>3147</v>
      </c>
      <c r="C566" s="3229" t="s">
        <v>3148</v>
      </c>
      <c r="D566" s="3229" t="s">
        <v>3154</v>
      </c>
      <c r="E566" s="3257" t="s">
        <v>4711</v>
      </c>
      <c r="F566" s="3257">
        <v>37.520000000000003</v>
      </c>
      <c r="G566" s="3245">
        <f t="shared" si="10"/>
        <v>7.7</v>
      </c>
    </row>
    <row r="567" spans="1:7">
      <c r="A567" s="3228">
        <v>564</v>
      </c>
      <c r="B567" s="3229" t="s">
        <v>3147</v>
      </c>
      <c r="C567" s="3229" t="s">
        <v>3148</v>
      </c>
      <c r="D567" s="3229" t="s">
        <v>3154</v>
      </c>
      <c r="E567" s="3257" t="s">
        <v>4712</v>
      </c>
      <c r="F567" s="3257">
        <v>37.520000000000003</v>
      </c>
      <c r="G567" s="3245">
        <f t="shared" si="10"/>
        <v>7.7</v>
      </c>
    </row>
    <row r="568" spans="1:7">
      <c r="A568" s="3228">
        <v>565</v>
      </c>
      <c r="B568" s="3229" t="s">
        <v>3147</v>
      </c>
      <c r="C568" s="3229" t="s">
        <v>3148</v>
      </c>
      <c r="D568" s="3229" t="s">
        <v>3154</v>
      </c>
      <c r="E568" s="3257" t="s">
        <v>4713</v>
      </c>
      <c r="F568" s="3257">
        <v>37.520000000000003</v>
      </c>
      <c r="G568" s="3245">
        <f t="shared" si="10"/>
        <v>7.7</v>
      </c>
    </row>
    <row r="569" spans="1:7">
      <c r="A569" s="3228">
        <v>566</v>
      </c>
      <c r="B569" s="3229" t="s">
        <v>3147</v>
      </c>
      <c r="C569" s="3229" t="s">
        <v>3148</v>
      </c>
      <c r="D569" s="3229" t="s">
        <v>3154</v>
      </c>
      <c r="E569" s="3257" t="s">
        <v>4714</v>
      </c>
      <c r="F569" s="3257">
        <v>37.520000000000003</v>
      </c>
      <c r="G569" s="3245">
        <f t="shared" si="10"/>
        <v>7.7</v>
      </c>
    </row>
    <row r="570" spans="1:7">
      <c r="A570" s="3228">
        <v>567</v>
      </c>
      <c r="B570" s="3229" t="s">
        <v>3147</v>
      </c>
      <c r="C570" s="3229" t="s">
        <v>3148</v>
      </c>
      <c r="D570" s="3229" t="s">
        <v>3154</v>
      </c>
      <c r="E570" s="3257" t="s">
        <v>4715</v>
      </c>
      <c r="F570" s="3257">
        <v>37.520000000000003</v>
      </c>
      <c r="G570" s="3245">
        <f t="shared" si="10"/>
        <v>7.7</v>
      </c>
    </row>
    <row r="571" spans="1:7">
      <c r="A571" s="3228">
        <v>568</v>
      </c>
      <c r="B571" s="3229" t="s">
        <v>3147</v>
      </c>
      <c r="C571" s="3229" t="s">
        <v>3148</v>
      </c>
      <c r="D571" s="3229" t="s">
        <v>3154</v>
      </c>
      <c r="E571" s="3257" t="s">
        <v>4716</v>
      </c>
      <c r="F571" s="3257">
        <v>39.090000000000003</v>
      </c>
      <c r="G571" s="3245">
        <f t="shared" si="10"/>
        <v>8.02</v>
      </c>
    </row>
    <row r="572" spans="1:7">
      <c r="A572" s="3228">
        <v>569</v>
      </c>
      <c r="B572" s="3229" t="s">
        <v>3147</v>
      </c>
      <c r="C572" s="3229" t="s">
        <v>3148</v>
      </c>
      <c r="D572" s="3229" t="s">
        <v>3154</v>
      </c>
      <c r="E572" s="3257" t="s">
        <v>4717</v>
      </c>
      <c r="F572" s="3257">
        <v>39.090000000000003</v>
      </c>
      <c r="G572" s="3245">
        <f t="shared" si="10"/>
        <v>8.02</v>
      </c>
    </row>
    <row r="573" spans="1:7">
      <c r="A573" s="3228">
        <v>570</v>
      </c>
      <c r="B573" s="3229" t="s">
        <v>3147</v>
      </c>
      <c r="C573" s="3229" t="s">
        <v>3148</v>
      </c>
      <c r="D573" s="3229" t="s">
        <v>3154</v>
      </c>
      <c r="E573" s="3257" t="s">
        <v>4718</v>
      </c>
      <c r="F573" s="3257">
        <v>39.090000000000003</v>
      </c>
      <c r="G573" s="3245">
        <f t="shared" si="10"/>
        <v>8.02</v>
      </c>
    </row>
    <row r="574" spans="1:7">
      <c r="A574" s="3228">
        <v>571</v>
      </c>
      <c r="B574" s="3229" t="s">
        <v>3147</v>
      </c>
      <c r="C574" s="3229" t="s">
        <v>3148</v>
      </c>
      <c r="D574" s="3229" t="s">
        <v>3154</v>
      </c>
      <c r="E574" s="3257" t="s">
        <v>4719</v>
      </c>
      <c r="F574" s="3257">
        <v>39.090000000000003</v>
      </c>
      <c r="G574" s="3245">
        <f t="shared" si="10"/>
        <v>8.02</v>
      </c>
    </row>
    <row r="575" spans="1:7">
      <c r="A575" s="3228">
        <v>572</v>
      </c>
      <c r="B575" s="3229" t="s">
        <v>3147</v>
      </c>
      <c r="C575" s="3229" t="s">
        <v>3148</v>
      </c>
      <c r="D575" s="3229" t="s">
        <v>3154</v>
      </c>
      <c r="E575" s="3257" t="s">
        <v>4720</v>
      </c>
      <c r="F575" s="3257">
        <v>37.520000000000003</v>
      </c>
      <c r="G575" s="3245">
        <f t="shared" si="10"/>
        <v>7.7</v>
      </c>
    </row>
    <row r="576" spans="1:7">
      <c r="A576" s="3228">
        <v>573</v>
      </c>
      <c r="B576" s="3229" t="s">
        <v>3147</v>
      </c>
      <c r="C576" s="3229" t="s">
        <v>3148</v>
      </c>
      <c r="D576" s="3229" t="s">
        <v>3154</v>
      </c>
      <c r="E576" s="3257" t="s">
        <v>4721</v>
      </c>
      <c r="F576" s="3257">
        <v>37.520000000000003</v>
      </c>
      <c r="G576" s="3245">
        <f t="shared" si="10"/>
        <v>7.7</v>
      </c>
    </row>
    <row r="577" spans="1:7">
      <c r="A577" s="3228">
        <v>574</v>
      </c>
      <c r="B577" s="3229" t="s">
        <v>3147</v>
      </c>
      <c r="C577" s="3229" t="s">
        <v>3148</v>
      </c>
      <c r="D577" s="3229" t="s">
        <v>3154</v>
      </c>
      <c r="E577" s="3257" t="s">
        <v>4722</v>
      </c>
      <c r="F577" s="3257">
        <v>37.520000000000003</v>
      </c>
      <c r="G577" s="3245">
        <f t="shared" si="10"/>
        <v>7.7</v>
      </c>
    </row>
    <row r="578" spans="1:7">
      <c r="A578" s="3228">
        <v>575</v>
      </c>
      <c r="B578" s="3229" t="s">
        <v>3147</v>
      </c>
      <c r="C578" s="3229" t="s">
        <v>3148</v>
      </c>
      <c r="D578" s="3229" t="s">
        <v>3154</v>
      </c>
      <c r="E578" s="3257" t="s">
        <v>4723</v>
      </c>
      <c r="F578" s="3257">
        <v>37.520000000000003</v>
      </c>
      <c r="G578" s="3245">
        <f t="shared" si="10"/>
        <v>7.7</v>
      </c>
    </row>
    <row r="579" spans="1:7">
      <c r="A579" s="3228">
        <v>576</v>
      </c>
      <c r="B579" s="3229" t="s">
        <v>3147</v>
      </c>
      <c r="C579" s="3229" t="s">
        <v>3148</v>
      </c>
      <c r="D579" s="3229" t="s">
        <v>3154</v>
      </c>
      <c r="E579" s="3257" t="s">
        <v>4724</v>
      </c>
      <c r="F579" s="3257">
        <v>37.520000000000003</v>
      </c>
      <c r="G579" s="3245">
        <f t="shared" si="10"/>
        <v>7.7</v>
      </c>
    </row>
    <row r="580" spans="1:7">
      <c r="A580" s="3228">
        <v>577</v>
      </c>
      <c r="B580" s="3229" t="s">
        <v>3147</v>
      </c>
      <c r="C580" s="3229" t="s">
        <v>3148</v>
      </c>
      <c r="D580" s="3229" t="s">
        <v>3154</v>
      </c>
      <c r="E580" s="3257" t="s">
        <v>4725</v>
      </c>
      <c r="F580" s="3257">
        <v>37.520000000000003</v>
      </c>
      <c r="G580" s="3245">
        <f t="shared" si="10"/>
        <v>7.7</v>
      </c>
    </row>
    <row r="581" spans="1:7">
      <c r="A581" s="3228">
        <v>578</v>
      </c>
      <c r="B581" s="3229" t="s">
        <v>3147</v>
      </c>
      <c r="C581" s="3229" t="s">
        <v>3148</v>
      </c>
      <c r="D581" s="3229" t="s">
        <v>3154</v>
      </c>
      <c r="E581" s="3257" t="s">
        <v>4726</v>
      </c>
      <c r="F581" s="3257">
        <v>37.520000000000003</v>
      </c>
      <c r="G581" s="3245">
        <f t="shared" si="10"/>
        <v>7.7</v>
      </c>
    </row>
    <row r="582" spans="1:7">
      <c r="A582" s="3228">
        <v>579</v>
      </c>
      <c r="B582" s="3229" t="s">
        <v>3147</v>
      </c>
      <c r="C582" s="3229" t="s">
        <v>3148</v>
      </c>
      <c r="D582" s="3229" t="s">
        <v>3154</v>
      </c>
      <c r="E582" s="3257" t="s">
        <v>4727</v>
      </c>
      <c r="F582" s="3257">
        <v>37.520000000000003</v>
      </c>
      <c r="G582" s="3245">
        <f t="shared" si="10"/>
        <v>7.7</v>
      </c>
    </row>
    <row r="583" spans="1:7">
      <c r="A583" s="3228">
        <v>580</v>
      </c>
      <c r="B583" s="3229" t="s">
        <v>3147</v>
      </c>
      <c r="C583" s="3229" t="s">
        <v>3148</v>
      </c>
      <c r="D583" s="3229" t="s">
        <v>3154</v>
      </c>
      <c r="E583" s="3257" t="s">
        <v>4728</v>
      </c>
      <c r="F583" s="3257">
        <v>37.520000000000003</v>
      </c>
      <c r="G583" s="3245">
        <f t="shared" si="10"/>
        <v>7.7</v>
      </c>
    </row>
    <row r="584" spans="1:7">
      <c r="A584" s="3228">
        <v>581</v>
      </c>
      <c r="B584" s="3229" t="s">
        <v>3147</v>
      </c>
      <c r="C584" s="3229" t="s">
        <v>3148</v>
      </c>
      <c r="D584" s="3229" t="s">
        <v>3154</v>
      </c>
      <c r="E584" s="3257" t="s">
        <v>4729</v>
      </c>
      <c r="F584" s="3257">
        <v>37.520000000000003</v>
      </c>
      <c r="G584" s="3245">
        <f t="shared" si="10"/>
        <v>7.7</v>
      </c>
    </row>
    <row r="585" spans="1:7">
      <c r="A585" s="3228">
        <v>582</v>
      </c>
      <c r="B585" s="3229" t="s">
        <v>3147</v>
      </c>
      <c r="C585" s="3229" t="s">
        <v>3148</v>
      </c>
      <c r="D585" s="3229" t="s">
        <v>3154</v>
      </c>
      <c r="E585" s="3257" t="s">
        <v>4730</v>
      </c>
      <c r="F585" s="3257">
        <v>37.520000000000003</v>
      </c>
      <c r="G585" s="3245">
        <f t="shared" si="10"/>
        <v>7.7</v>
      </c>
    </row>
    <row r="586" spans="1:7">
      <c r="A586" s="3228">
        <v>583</v>
      </c>
      <c r="B586" s="3229" t="s">
        <v>3147</v>
      </c>
      <c r="C586" s="3229" t="s">
        <v>3148</v>
      </c>
      <c r="D586" s="3229" t="s">
        <v>3154</v>
      </c>
      <c r="E586" s="3257" t="s">
        <v>4731</v>
      </c>
      <c r="F586" s="3257">
        <v>37.520000000000003</v>
      </c>
      <c r="G586" s="3245">
        <f t="shared" si="10"/>
        <v>7.7</v>
      </c>
    </row>
    <row r="587" spans="1:7">
      <c r="A587" s="3228">
        <v>584</v>
      </c>
      <c r="B587" s="3229" t="s">
        <v>3147</v>
      </c>
      <c r="C587" s="3229" t="s">
        <v>3148</v>
      </c>
      <c r="D587" s="3229" t="s">
        <v>3154</v>
      </c>
      <c r="E587" s="3257" t="s">
        <v>4732</v>
      </c>
      <c r="F587" s="3257">
        <v>37.520000000000003</v>
      </c>
      <c r="G587" s="3245">
        <f t="shared" si="10"/>
        <v>7.7</v>
      </c>
    </row>
    <row r="588" spans="1:7">
      <c r="A588" s="3228">
        <v>585</v>
      </c>
      <c r="B588" s="3229" t="s">
        <v>3147</v>
      </c>
      <c r="C588" s="3229" t="s">
        <v>3148</v>
      </c>
      <c r="D588" s="3229" t="s">
        <v>3154</v>
      </c>
      <c r="E588" s="3257" t="s">
        <v>4733</v>
      </c>
      <c r="F588" s="3257">
        <v>37.520000000000003</v>
      </c>
      <c r="G588" s="3245">
        <f t="shared" si="10"/>
        <v>7.7</v>
      </c>
    </row>
    <row r="589" spans="1:7">
      <c r="A589" s="3228">
        <v>586</v>
      </c>
      <c r="B589" s="3229" t="s">
        <v>3147</v>
      </c>
      <c r="C589" s="3229" t="s">
        <v>3148</v>
      </c>
      <c r="D589" s="3229" t="s">
        <v>3154</v>
      </c>
      <c r="E589" s="3257" t="s">
        <v>4734</v>
      </c>
      <c r="F589" s="3257">
        <v>37.520000000000003</v>
      </c>
      <c r="G589" s="3245">
        <f t="shared" si="10"/>
        <v>7.7</v>
      </c>
    </row>
    <row r="590" spans="1:7">
      <c r="A590" s="3228">
        <v>587</v>
      </c>
      <c r="B590" s="3229" t="s">
        <v>3147</v>
      </c>
      <c r="C590" s="3229" t="s">
        <v>3148</v>
      </c>
      <c r="D590" s="3229" t="s">
        <v>3154</v>
      </c>
      <c r="E590" s="3257" t="s">
        <v>4735</v>
      </c>
      <c r="F590" s="3257">
        <v>37.520000000000003</v>
      </c>
      <c r="G590" s="3245">
        <f t="shared" si="10"/>
        <v>7.7</v>
      </c>
    </row>
    <row r="591" spans="1:7">
      <c r="A591" s="3228">
        <v>588</v>
      </c>
      <c r="B591" s="3229" t="s">
        <v>3147</v>
      </c>
      <c r="C591" s="3229" t="s">
        <v>3148</v>
      </c>
      <c r="D591" s="3229" t="s">
        <v>3154</v>
      </c>
      <c r="E591" s="3257" t="s">
        <v>4736</v>
      </c>
      <c r="F591" s="3257">
        <v>37.520000000000003</v>
      </c>
      <c r="G591" s="3245">
        <f t="shared" si="10"/>
        <v>7.7</v>
      </c>
    </row>
    <row r="592" spans="1:7">
      <c r="A592" s="3228">
        <v>589</v>
      </c>
      <c r="B592" s="3229" t="s">
        <v>3147</v>
      </c>
      <c r="C592" s="3229" t="s">
        <v>3148</v>
      </c>
      <c r="D592" s="3229" t="s">
        <v>3154</v>
      </c>
      <c r="E592" s="3257" t="s">
        <v>4737</v>
      </c>
      <c r="F592" s="3257">
        <v>37.520000000000003</v>
      </c>
      <c r="G592" s="3245">
        <f t="shared" si="10"/>
        <v>7.7</v>
      </c>
    </row>
    <row r="593" spans="1:7">
      <c r="A593" s="3228">
        <v>590</v>
      </c>
      <c r="B593" s="3229" t="s">
        <v>3147</v>
      </c>
      <c r="C593" s="3229" t="s">
        <v>3148</v>
      </c>
      <c r="D593" s="3229" t="s">
        <v>3154</v>
      </c>
      <c r="E593" s="3257" t="s">
        <v>4738</v>
      </c>
      <c r="F593" s="3257">
        <v>37.520000000000003</v>
      </c>
      <c r="G593" s="3245">
        <f t="shared" si="10"/>
        <v>7.7</v>
      </c>
    </row>
    <row r="594" spans="1:7">
      <c r="A594" s="3228">
        <v>591</v>
      </c>
      <c r="B594" s="3229" t="s">
        <v>3147</v>
      </c>
      <c r="C594" s="3229" t="s">
        <v>3148</v>
      </c>
      <c r="D594" s="3229" t="s">
        <v>3154</v>
      </c>
      <c r="E594" s="3257" t="s">
        <v>4739</v>
      </c>
      <c r="F594" s="3257">
        <v>37.520000000000003</v>
      </c>
      <c r="G594" s="3245">
        <f t="shared" si="10"/>
        <v>7.7</v>
      </c>
    </row>
    <row r="595" spans="1:7">
      <c r="A595" s="3228">
        <v>592</v>
      </c>
      <c r="B595" s="3229" t="s">
        <v>3147</v>
      </c>
      <c r="C595" s="3229" t="s">
        <v>3148</v>
      </c>
      <c r="D595" s="3229" t="s">
        <v>3154</v>
      </c>
      <c r="E595" s="3257" t="s">
        <v>4740</v>
      </c>
      <c r="F595" s="3257">
        <v>37.520000000000003</v>
      </c>
      <c r="G595" s="3245">
        <f t="shared" si="10"/>
        <v>7.7</v>
      </c>
    </row>
    <row r="596" spans="1:7">
      <c r="A596" s="3228">
        <v>593</v>
      </c>
      <c r="B596" s="3229" t="s">
        <v>3147</v>
      </c>
      <c r="C596" s="3229" t="s">
        <v>3148</v>
      </c>
      <c r="D596" s="3229" t="s">
        <v>3154</v>
      </c>
      <c r="E596" s="3257" t="s">
        <v>4741</v>
      </c>
      <c r="F596" s="3257">
        <v>37.520000000000003</v>
      </c>
      <c r="G596" s="3245">
        <f t="shared" si="10"/>
        <v>7.7</v>
      </c>
    </row>
    <row r="597" spans="1:7">
      <c r="A597" s="3228">
        <v>594</v>
      </c>
      <c r="B597" s="3229" t="s">
        <v>3147</v>
      </c>
      <c r="C597" s="3229" t="s">
        <v>3148</v>
      </c>
      <c r="D597" s="3229" t="s">
        <v>3154</v>
      </c>
      <c r="E597" s="3257" t="s">
        <v>4742</v>
      </c>
      <c r="F597" s="3257">
        <v>37.520000000000003</v>
      </c>
      <c r="G597" s="3245">
        <f t="shared" si="10"/>
        <v>7.7</v>
      </c>
    </row>
    <row r="598" spans="1:7">
      <c r="A598" s="3228">
        <v>595</v>
      </c>
      <c r="B598" s="3229" t="s">
        <v>3147</v>
      </c>
      <c r="C598" s="3229" t="s">
        <v>3148</v>
      </c>
      <c r="D598" s="3229" t="s">
        <v>3154</v>
      </c>
      <c r="E598" s="3257" t="s">
        <v>4743</v>
      </c>
      <c r="F598" s="3257">
        <v>37.520000000000003</v>
      </c>
      <c r="G598" s="3245">
        <f t="shared" si="10"/>
        <v>7.7</v>
      </c>
    </row>
    <row r="599" spans="1:7">
      <c r="A599" s="3228">
        <v>596</v>
      </c>
      <c r="B599" s="3229" t="s">
        <v>3147</v>
      </c>
      <c r="C599" s="3229" t="s">
        <v>3148</v>
      </c>
      <c r="D599" s="3229" t="s">
        <v>3154</v>
      </c>
      <c r="E599" s="3257" t="s">
        <v>4744</v>
      </c>
      <c r="F599" s="3257">
        <v>37.520000000000003</v>
      </c>
      <c r="G599" s="3245">
        <f t="shared" si="10"/>
        <v>7.7</v>
      </c>
    </row>
    <row r="600" spans="1:7">
      <c r="A600" s="3228">
        <v>597</v>
      </c>
      <c r="B600" s="3229" t="s">
        <v>3147</v>
      </c>
      <c r="C600" s="3229" t="s">
        <v>3148</v>
      </c>
      <c r="D600" s="3229" t="s">
        <v>3154</v>
      </c>
      <c r="E600" s="3257" t="s">
        <v>4745</v>
      </c>
      <c r="F600" s="3257">
        <v>37.520000000000003</v>
      </c>
      <c r="G600" s="3245">
        <f t="shared" si="10"/>
        <v>7.7</v>
      </c>
    </row>
    <row r="601" spans="1:7">
      <c r="A601" s="3228">
        <v>598</v>
      </c>
      <c r="B601" s="3229" t="s">
        <v>3147</v>
      </c>
      <c r="C601" s="3229" t="s">
        <v>3148</v>
      </c>
      <c r="D601" s="3229" t="s">
        <v>3154</v>
      </c>
      <c r="E601" s="3257" t="s">
        <v>4746</v>
      </c>
      <c r="F601" s="3257">
        <v>37.520000000000003</v>
      </c>
      <c r="G601" s="3245">
        <f t="shared" si="10"/>
        <v>7.7</v>
      </c>
    </row>
    <row r="602" spans="1:7">
      <c r="A602" s="3228">
        <v>599</v>
      </c>
      <c r="B602" s="3229" t="s">
        <v>3147</v>
      </c>
      <c r="C602" s="3229" t="s">
        <v>3148</v>
      </c>
      <c r="D602" s="3229" t="s">
        <v>3154</v>
      </c>
      <c r="E602" s="3257" t="s">
        <v>4747</v>
      </c>
      <c r="F602" s="3257">
        <v>37.520000000000003</v>
      </c>
      <c r="G602" s="3245">
        <f t="shared" si="10"/>
        <v>7.7</v>
      </c>
    </row>
    <row r="603" spans="1:7">
      <c r="A603" s="3228">
        <v>600</v>
      </c>
      <c r="B603" s="3229" t="s">
        <v>3147</v>
      </c>
      <c r="C603" s="3229" t="s">
        <v>3148</v>
      </c>
      <c r="D603" s="3229" t="s">
        <v>3154</v>
      </c>
      <c r="E603" s="3257" t="s">
        <v>4748</v>
      </c>
      <c r="F603" s="3257">
        <v>37.520000000000003</v>
      </c>
      <c r="G603" s="3245">
        <f t="shared" si="10"/>
        <v>7.7</v>
      </c>
    </row>
    <row r="604" spans="1:7">
      <c r="A604" s="3228">
        <v>601</v>
      </c>
      <c r="B604" s="3229" t="s">
        <v>3147</v>
      </c>
      <c r="C604" s="3229" t="s">
        <v>3148</v>
      </c>
      <c r="D604" s="3229" t="s">
        <v>3154</v>
      </c>
      <c r="E604" s="3257" t="s">
        <v>4749</v>
      </c>
      <c r="F604" s="3257">
        <v>37.520000000000003</v>
      </c>
      <c r="G604" s="3245">
        <f t="shared" si="10"/>
        <v>7.7</v>
      </c>
    </row>
    <row r="605" spans="1:7">
      <c r="A605" s="3228">
        <v>602</v>
      </c>
      <c r="B605" s="3229" t="s">
        <v>3147</v>
      </c>
      <c r="C605" s="3229" t="s">
        <v>3148</v>
      </c>
      <c r="D605" s="3229" t="s">
        <v>3154</v>
      </c>
      <c r="E605" s="3257" t="s">
        <v>4750</v>
      </c>
      <c r="F605" s="3257">
        <v>37.520000000000003</v>
      </c>
      <c r="G605" s="3245">
        <f t="shared" si="10"/>
        <v>7.7</v>
      </c>
    </row>
    <row r="606" spans="1:7">
      <c r="A606" s="3228">
        <v>603</v>
      </c>
      <c r="B606" s="3229" t="s">
        <v>3147</v>
      </c>
      <c r="C606" s="3229" t="s">
        <v>3148</v>
      </c>
      <c r="D606" s="3229" t="s">
        <v>3154</v>
      </c>
      <c r="E606" s="3257" t="s">
        <v>4751</v>
      </c>
      <c r="F606" s="3257">
        <v>37.520000000000003</v>
      </c>
      <c r="G606" s="3245">
        <f t="shared" si="10"/>
        <v>7.7</v>
      </c>
    </row>
    <row r="607" spans="1:7">
      <c r="A607" s="3228">
        <v>604</v>
      </c>
      <c r="B607" s="3229" t="s">
        <v>3156</v>
      </c>
      <c r="C607" s="3229" t="s">
        <v>3157</v>
      </c>
      <c r="D607" s="3229" t="s">
        <v>3158</v>
      </c>
      <c r="E607" s="3257" t="s">
        <v>4752</v>
      </c>
      <c r="F607" s="3257">
        <v>37.520000000000003</v>
      </c>
      <c r="G607" s="3245">
        <f t="shared" si="10"/>
        <v>7.7</v>
      </c>
    </row>
    <row r="608" spans="1:7">
      <c r="A608" s="3228">
        <v>605</v>
      </c>
      <c r="B608" s="3229" t="s">
        <v>3156</v>
      </c>
      <c r="C608" s="3229" t="s">
        <v>3157</v>
      </c>
      <c r="D608" s="3229" t="s">
        <v>3158</v>
      </c>
      <c r="E608" s="3257" t="s">
        <v>4753</v>
      </c>
      <c r="F608" s="3257">
        <v>37.520000000000003</v>
      </c>
      <c r="G608" s="3245">
        <f t="shared" si="10"/>
        <v>7.7</v>
      </c>
    </row>
    <row r="609" spans="1:7">
      <c r="A609" s="3228">
        <v>606</v>
      </c>
      <c r="B609" s="3229" t="s">
        <v>3156</v>
      </c>
      <c r="C609" s="3229" t="s">
        <v>3157</v>
      </c>
      <c r="D609" s="3229" t="s">
        <v>3158</v>
      </c>
      <c r="E609" s="3257" t="s">
        <v>4754</v>
      </c>
      <c r="F609" s="3257">
        <v>37.520000000000003</v>
      </c>
      <c r="G609" s="3245">
        <f t="shared" si="10"/>
        <v>7.7</v>
      </c>
    </row>
    <row r="610" spans="1:7">
      <c r="A610" s="3228">
        <v>607</v>
      </c>
      <c r="B610" s="3229" t="s">
        <v>3156</v>
      </c>
      <c r="C610" s="3229" t="s">
        <v>3157</v>
      </c>
      <c r="D610" s="3229" t="s">
        <v>3158</v>
      </c>
      <c r="E610" s="3257" t="s">
        <v>4755</v>
      </c>
      <c r="F610" s="3257">
        <v>37.520000000000003</v>
      </c>
      <c r="G610" s="3245">
        <f t="shared" si="10"/>
        <v>7.7</v>
      </c>
    </row>
    <row r="611" spans="1:7">
      <c r="A611" s="3228">
        <v>608</v>
      </c>
      <c r="B611" s="3229" t="s">
        <v>3156</v>
      </c>
      <c r="C611" s="3229" t="s">
        <v>3157</v>
      </c>
      <c r="D611" s="3229" t="s">
        <v>3158</v>
      </c>
      <c r="E611" s="3257" t="s">
        <v>4756</v>
      </c>
      <c r="F611" s="3257">
        <v>37.520000000000003</v>
      </c>
      <c r="G611" s="3245">
        <f t="shared" si="10"/>
        <v>7.7</v>
      </c>
    </row>
    <row r="612" spans="1:7">
      <c r="A612" s="3228">
        <v>609</v>
      </c>
      <c r="B612" s="3229" t="s">
        <v>3156</v>
      </c>
      <c r="C612" s="3229" t="s">
        <v>3157</v>
      </c>
      <c r="D612" s="3229" t="s">
        <v>3158</v>
      </c>
      <c r="E612" s="3257" t="s">
        <v>4757</v>
      </c>
      <c r="F612" s="3257">
        <v>37.520000000000003</v>
      </c>
      <c r="G612" s="3245">
        <f t="shared" si="10"/>
        <v>7.7</v>
      </c>
    </row>
    <row r="613" spans="1:7">
      <c r="A613" s="3228">
        <v>610</v>
      </c>
      <c r="B613" s="3229" t="s">
        <v>3156</v>
      </c>
      <c r="C613" s="3229" t="s">
        <v>3157</v>
      </c>
      <c r="D613" s="3229" t="s">
        <v>3158</v>
      </c>
      <c r="E613" s="3257" t="s">
        <v>4758</v>
      </c>
      <c r="F613" s="3257">
        <v>37.520000000000003</v>
      </c>
      <c r="G613" s="3245">
        <f t="shared" si="10"/>
        <v>7.7</v>
      </c>
    </row>
    <row r="614" spans="1:7">
      <c r="A614" s="3228">
        <v>611</v>
      </c>
      <c r="B614" s="3229" t="s">
        <v>3156</v>
      </c>
      <c r="C614" s="3229" t="s">
        <v>3157</v>
      </c>
      <c r="D614" s="3229" t="s">
        <v>3158</v>
      </c>
      <c r="E614" s="3257" t="s">
        <v>4759</v>
      </c>
      <c r="F614" s="3257">
        <v>37.520000000000003</v>
      </c>
      <c r="G614" s="3245">
        <f t="shared" si="10"/>
        <v>7.7</v>
      </c>
    </row>
    <row r="615" spans="1:7">
      <c r="A615" s="3228">
        <v>612</v>
      </c>
      <c r="B615" s="3229" t="s">
        <v>3156</v>
      </c>
      <c r="C615" s="3229" t="s">
        <v>3157</v>
      </c>
      <c r="D615" s="3229" t="s">
        <v>3158</v>
      </c>
      <c r="E615" s="3257" t="s">
        <v>4760</v>
      </c>
      <c r="F615" s="3257">
        <v>37.520000000000003</v>
      </c>
      <c r="G615" s="3245">
        <f t="shared" si="10"/>
        <v>7.7</v>
      </c>
    </row>
    <row r="616" spans="1:7">
      <c r="A616" s="3228">
        <v>613</v>
      </c>
      <c r="B616" s="3229" t="s">
        <v>3156</v>
      </c>
      <c r="C616" s="3229" t="s">
        <v>3157</v>
      </c>
      <c r="D616" s="3229" t="s">
        <v>3158</v>
      </c>
      <c r="E616" s="3257" t="s">
        <v>4761</v>
      </c>
      <c r="F616" s="3257">
        <v>37.520000000000003</v>
      </c>
      <c r="G616" s="3245">
        <f t="shared" ref="G616:G679" si="11">ROUND(F616/$C$910*$D$910,2)</f>
        <v>7.7</v>
      </c>
    </row>
    <row r="617" spans="1:7">
      <c r="A617" s="3228">
        <v>614</v>
      </c>
      <c r="B617" s="3229" t="s">
        <v>3156</v>
      </c>
      <c r="C617" s="3229" t="s">
        <v>3157</v>
      </c>
      <c r="D617" s="3229" t="s">
        <v>3158</v>
      </c>
      <c r="E617" s="3257" t="s">
        <v>4762</v>
      </c>
      <c r="F617" s="3257">
        <v>37.520000000000003</v>
      </c>
      <c r="G617" s="3245">
        <f t="shared" si="11"/>
        <v>7.7</v>
      </c>
    </row>
    <row r="618" spans="1:7">
      <c r="A618" s="3228">
        <v>615</v>
      </c>
      <c r="B618" s="3229" t="s">
        <v>3156</v>
      </c>
      <c r="C618" s="3229" t="s">
        <v>3157</v>
      </c>
      <c r="D618" s="3229" t="s">
        <v>3158</v>
      </c>
      <c r="E618" s="3257" t="s">
        <v>4763</v>
      </c>
      <c r="F618" s="3257">
        <v>37.520000000000003</v>
      </c>
      <c r="G618" s="3245">
        <f t="shared" si="11"/>
        <v>7.7</v>
      </c>
    </row>
    <row r="619" spans="1:7">
      <c r="A619" s="3228">
        <v>616</v>
      </c>
      <c r="B619" s="3229" t="s">
        <v>3156</v>
      </c>
      <c r="C619" s="3229" t="s">
        <v>3157</v>
      </c>
      <c r="D619" s="3229" t="s">
        <v>3158</v>
      </c>
      <c r="E619" s="3257" t="s">
        <v>4764</v>
      </c>
      <c r="F619" s="3257">
        <v>37.520000000000003</v>
      </c>
      <c r="G619" s="3245">
        <f t="shared" si="11"/>
        <v>7.7</v>
      </c>
    </row>
    <row r="620" spans="1:7">
      <c r="A620" s="3228">
        <v>617</v>
      </c>
      <c r="B620" s="3229" t="s">
        <v>3156</v>
      </c>
      <c r="C620" s="3229" t="s">
        <v>3157</v>
      </c>
      <c r="D620" s="3229" t="s">
        <v>3158</v>
      </c>
      <c r="E620" s="3257" t="s">
        <v>4765</v>
      </c>
      <c r="F620" s="3257">
        <v>37.520000000000003</v>
      </c>
      <c r="G620" s="3245">
        <f t="shared" si="11"/>
        <v>7.7</v>
      </c>
    </row>
    <row r="621" spans="1:7">
      <c r="A621" s="3228">
        <v>618</v>
      </c>
      <c r="B621" s="3229" t="s">
        <v>3156</v>
      </c>
      <c r="C621" s="3229" t="s">
        <v>3157</v>
      </c>
      <c r="D621" s="3229" t="s">
        <v>3158</v>
      </c>
      <c r="E621" s="3257" t="s">
        <v>4766</v>
      </c>
      <c r="F621" s="3257">
        <v>37.520000000000003</v>
      </c>
      <c r="G621" s="3245">
        <f t="shared" si="11"/>
        <v>7.7</v>
      </c>
    </row>
    <row r="622" spans="1:7">
      <c r="A622" s="3228">
        <v>619</v>
      </c>
      <c r="B622" s="3229" t="s">
        <v>3156</v>
      </c>
      <c r="C622" s="3229" t="s">
        <v>3157</v>
      </c>
      <c r="D622" s="3229" t="s">
        <v>3158</v>
      </c>
      <c r="E622" s="3257" t="s">
        <v>4767</v>
      </c>
      <c r="F622" s="3257">
        <v>37.520000000000003</v>
      </c>
      <c r="G622" s="3245">
        <f t="shared" si="11"/>
        <v>7.7</v>
      </c>
    </row>
    <row r="623" spans="1:7">
      <c r="A623" s="3228">
        <v>620</v>
      </c>
      <c r="B623" s="3229" t="s">
        <v>3156</v>
      </c>
      <c r="C623" s="3229" t="s">
        <v>3157</v>
      </c>
      <c r="D623" s="3229" t="s">
        <v>3158</v>
      </c>
      <c r="E623" s="3257" t="s">
        <v>4768</v>
      </c>
      <c r="F623" s="3257">
        <v>37.520000000000003</v>
      </c>
      <c r="G623" s="3245">
        <f t="shared" si="11"/>
        <v>7.7</v>
      </c>
    </row>
    <row r="624" spans="1:7">
      <c r="A624" s="3228">
        <v>621</v>
      </c>
      <c r="B624" s="3229" t="s">
        <v>3156</v>
      </c>
      <c r="C624" s="3229" t="s">
        <v>3157</v>
      </c>
      <c r="D624" s="3229" t="s">
        <v>3158</v>
      </c>
      <c r="E624" s="3257" t="s">
        <v>4769</v>
      </c>
      <c r="F624" s="3257">
        <v>37.520000000000003</v>
      </c>
      <c r="G624" s="3245">
        <f t="shared" si="11"/>
        <v>7.7</v>
      </c>
    </row>
    <row r="625" spans="1:7">
      <c r="A625" s="3228">
        <v>622</v>
      </c>
      <c r="B625" s="3229" t="s">
        <v>3156</v>
      </c>
      <c r="C625" s="3229" t="s">
        <v>3157</v>
      </c>
      <c r="D625" s="3229" t="s">
        <v>3158</v>
      </c>
      <c r="E625" s="3257" t="s">
        <v>4770</v>
      </c>
      <c r="F625" s="3257">
        <v>37.520000000000003</v>
      </c>
      <c r="G625" s="3245">
        <f t="shared" si="11"/>
        <v>7.7</v>
      </c>
    </row>
    <row r="626" spans="1:7">
      <c r="A626" s="3228">
        <v>623</v>
      </c>
      <c r="B626" s="3229" t="s">
        <v>3156</v>
      </c>
      <c r="C626" s="3229" t="s">
        <v>3157</v>
      </c>
      <c r="D626" s="3229" t="s">
        <v>3158</v>
      </c>
      <c r="E626" s="3257" t="s">
        <v>4771</v>
      </c>
      <c r="F626" s="3257">
        <v>37.520000000000003</v>
      </c>
      <c r="G626" s="3245">
        <f t="shared" si="11"/>
        <v>7.7</v>
      </c>
    </row>
    <row r="627" spans="1:7">
      <c r="A627" s="3228">
        <v>624</v>
      </c>
      <c r="B627" s="3229" t="s">
        <v>3156</v>
      </c>
      <c r="C627" s="3229" t="s">
        <v>3157</v>
      </c>
      <c r="D627" s="3229" t="s">
        <v>3158</v>
      </c>
      <c r="E627" s="3257" t="s">
        <v>4772</v>
      </c>
      <c r="F627" s="3257">
        <v>37.520000000000003</v>
      </c>
      <c r="G627" s="3245">
        <f t="shared" si="11"/>
        <v>7.7</v>
      </c>
    </row>
    <row r="628" spans="1:7">
      <c r="A628" s="3228">
        <v>625</v>
      </c>
      <c r="B628" s="3229" t="s">
        <v>3156</v>
      </c>
      <c r="C628" s="3229" t="s">
        <v>3157</v>
      </c>
      <c r="D628" s="3229" t="s">
        <v>3158</v>
      </c>
      <c r="E628" s="3257" t="s">
        <v>4773</v>
      </c>
      <c r="F628" s="3257">
        <v>37.520000000000003</v>
      </c>
      <c r="G628" s="3245">
        <f t="shared" si="11"/>
        <v>7.7</v>
      </c>
    </row>
    <row r="629" spans="1:7">
      <c r="A629" s="3228">
        <v>626</v>
      </c>
      <c r="B629" s="3229" t="s">
        <v>3156</v>
      </c>
      <c r="C629" s="3229" t="s">
        <v>3157</v>
      </c>
      <c r="D629" s="3229" t="s">
        <v>3158</v>
      </c>
      <c r="E629" s="3257" t="s">
        <v>4774</v>
      </c>
      <c r="F629" s="3257">
        <v>37.520000000000003</v>
      </c>
      <c r="G629" s="3245">
        <f t="shared" si="11"/>
        <v>7.7</v>
      </c>
    </row>
    <row r="630" spans="1:7">
      <c r="A630" s="3228">
        <v>627</v>
      </c>
      <c r="B630" s="3229" t="s">
        <v>3156</v>
      </c>
      <c r="C630" s="3229" t="s">
        <v>3157</v>
      </c>
      <c r="D630" s="3229" t="s">
        <v>3158</v>
      </c>
      <c r="E630" s="3257" t="s">
        <v>4775</v>
      </c>
      <c r="F630" s="3257">
        <v>37.520000000000003</v>
      </c>
      <c r="G630" s="3245">
        <f t="shared" si="11"/>
        <v>7.7</v>
      </c>
    </row>
    <row r="631" spans="1:7">
      <c r="A631" s="3228">
        <v>628</v>
      </c>
      <c r="B631" s="3229" t="s">
        <v>3156</v>
      </c>
      <c r="C631" s="3229" t="s">
        <v>3157</v>
      </c>
      <c r="D631" s="3229" t="s">
        <v>3158</v>
      </c>
      <c r="E631" s="3257" t="s">
        <v>4776</v>
      </c>
      <c r="F631" s="3257">
        <v>37.520000000000003</v>
      </c>
      <c r="G631" s="3245">
        <f t="shared" si="11"/>
        <v>7.7</v>
      </c>
    </row>
    <row r="632" spans="1:7">
      <c r="A632" s="3228">
        <v>629</v>
      </c>
      <c r="B632" s="3229" t="s">
        <v>3156</v>
      </c>
      <c r="C632" s="3229" t="s">
        <v>3157</v>
      </c>
      <c r="D632" s="3229" t="s">
        <v>3158</v>
      </c>
      <c r="E632" s="3257" t="s">
        <v>4777</v>
      </c>
      <c r="F632" s="3257">
        <v>37.520000000000003</v>
      </c>
      <c r="G632" s="3245">
        <f t="shared" si="11"/>
        <v>7.7</v>
      </c>
    </row>
    <row r="633" spans="1:7">
      <c r="A633" s="3228">
        <v>630</v>
      </c>
      <c r="B633" s="3229" t="s">
        <v>3156</v>
      </c>
      <c r="C633" s="3229" t="s">
        <v>3157</v>
      </c>
      <c r="D633" s="3229" t="s">
        <v>3158</v>
      </c>
      <c r="E633" s="3257" t="s">
        <v>4778</v>
      </c>
      <c r="F633" s="3257">
        <v>37.520000000000003</v>
      </c>
      <c r="G633" s="3245">
        <f t="shared" si="11"/>
        <v>7.7</v>
      </c>
    </row>
    <row r="634" spans="1:7">
      <c r="A634" s="3228">
        <v>631</v>
      </c>
      <c r="B634" s="3229" t="s">
        <v>3156</v>
      </c>
      <c r="C634" s="3229" t="s">
        <v>3157</v>
      </c>
      <c r="D634" s="3229" t="s">
        <v>3158</v>
      </c>
      <c r="E634" s="3257" t="s">
        <v>4779</v>
      </c>
      <c r="F634" s="3257">
        <v>37.520000000000003</v>
      </c>
      <c r="G634" s="3245">
        <f t="shared" si="11"/>
        <v>7.7</v>
      </c>
    </row>
    <row r="635" spans="1:7">
      <c r="A635" s="3228">
        <v>632</v>
      </c>
      <c r="B635" s="3229" t="s">
        <v>3156</v>
      </c>
      <c r="C635" s="3229" t="s">
        <v>3157</v>
      </c>
      <c r="D635" s="3229" t="s">
        <v>3158</v>
      </c>
      <c r="E635" s="3257" t="s">
        <v>4780</v>
      </c>
      <c r="F635" s="3257">
        <v>37.520000000000003</v>
      </c>
      <c r="G635" s="3245">
        <f t="shared" si="11"/>
        <v>7.7</v>
      </c>
    </row>
    <row r="636" spans="1:7">
      <c r="A636" s="3228">
        <v>633</v>
      </c>
      <c r="B636" s="3229" t="s">
        <v>3156</v>
      </c>
      <c r="C636" s="3229" t="s">
        <v>3157</v>
      </c>
      <c r="D636" s="3229" t="s">
        <v>3158</v>
      </c>
      <c r="E636" s="3257" t="s">
        <v>4781</v>
      </c>
      <c r="F636" s="3257">
        <v>37.520000000000003</v>
      </c>
      <c r="G636" s="3245">
        <f t="shared" si="11"/>
        <v>7.7</v>
      </c>
    </row>
    <row r="637" spans="1:7">
      <c r="A637" s="3228">
        <v>634</v>
      </c>
      <c r="B637" s="3229" t="s">
        <v>3156</v>
      </c>
      <c r="C637" s="3229" t="s">
        <v>3157</v>
      </c>
      <c r="D637" s="3229" t="s">
        <v>3158</v>
      </c>
      <c r="E637" s="3257" t="s">
        <v>4782</v>
      </c>
      <c r="F637" s="3257">
        <v>37.520000000000003</v>
      </c>
      <c r="G637" s="3245">
        <f t="shared" si="11"/>
        <v>7.7</v>
      </c>
    </row>
    <row r="638" spans="1:7">
      <c r="A638" s="3228">
        <v>635</v>
      </c>
      <c r="B638" s="3229" t="s">
        <v>3156</v>
      </c>
      <c r="C638" s="3229" t="s">
        <v>3157</v>
      </c>
      <c r="D638" s="3229" t="s">
        <v>3158</v>
      </c>
      <c r="E638" s="3257" t="s">
        <v>4783</v>
      </c>
      <c r="F638" s="3257">
        <v>37.520000000000003</v>
      </c>
      <c r="G638" s="3245">
        <f t="shared" si="11"/>
        <v>7.7</v>
      </c>
    </row>
    <row r="639" spans="1:7">
      <c r="A639" s="3228">
        <v>636</v>
      </c>
      <c r="B639" s="3229" t="s">
        <v>3156</v>
      </c>
      <c r="C639" s="3229" t="s">
        <v>3157</v>
      </c>
      <c r="D639" s="3229" t="s">
        <v>3158</v>
      </c>
      <c r="E639" s="3257" t="s">
        <v>4784</v>
      </c>
      <c r="F639" s="3257">
        <v>39.090000000000003</v>
      </c>
      <c r="G639" s="3245">
        <f t="shared" si="11"/>
        <v>8.02</v>
      </c>
    </row>
    <row r="640" spans="1:7">
      <c r="A640" s="3228">
        <v>637</v>
      </c>
      <c r="B640" s="3229" t="s">
        <v>3156</v>
      </c>
      <c r="C640" s="3229" t="s">
        <v>3157</v>
      </c>
      <c r="D640" s="3229" t="s">
        <v>3158</v>
      </c>
      <c r="E640" s="3257" t="s">
        <v>4785</v>
      </c>
      <c r="F640" s="3257">
        <v>39.090000000000003</v>
      </c>
      <c r="G640" s="3245">
        <f t="shared" si="11"/>
        <v>8.02</v>
      </c>
    </row>
    <row r="641" spans="1:7">
      <c r="A641" s="3228">
        <v>638</v>
      </c>
      <c r="B641" s="3229" t="s">
        <v>3156</v>
      </c>
      <c r="C641" s="3229" t="s">
        <v>3157</v>
      </c>
      <c r="D641" s="3229" t="s">
        <v>3158</v>
      </c>
      <c r="E641" s="3257" t="s">
        <v>4786</v>
      </c>
      <c r="F641" s="3257">
        <v>39.090000000000003</v>
      </c>
      <c r="G641" s="3245">
        <f t="shared" si="11"/>
        <v>8.02</v>
      </c>
    </row>
    <row r="642" spans="1:7">
      <c r="A642" s="3228">
        <v>639</v>
      </c>
      <c r="B642" s="3229" t="s">
        <v>3156</v>
      </c>
      <c r="C642" s="3229" t="s">
        <v>3157</v>
      </c>
      <c r="D642" s="3229" t="s">
        <v>3158</v>
      </c>
      <c r="E642" s="3257" t="s">
        <v>4787</v>
      </c>
      <c r="F642" s="3257">
        <v>37.520000000000003</v>
      </c>
      <c r="G642" s="3245">
        <f t="shared" si="11"/>
        <v>7.7</v>
      </c>
    </row>
    <row r="643" spans="1:7">
      <c r="A643" s="3228">
        <v>640</v>
      </c>
      <c r="B643" s="3229" t="s">
        <v>3156</v>
      </c>
      <c r="C643" s="3229" t="s">
        <v>3157</v>
      </c>
      <c r="D643" s="3229" t="s">
        <v>3158</v>
      </c>
      <c r="E643" s="3257" t="s">
        <v>4788</v>
      </c>
      <c r="F643" s="3257">
        <v>36.020000000000003</v>
      </c>
      <c r="G643" s="3245">
        <f t="shared" si="11"/>
        <v>7.39</v>
      </c>
    </row>
    <row r="644" spans="1:7">
      <c r="A644" s="3228">
        <v>641</v>
      </c>
      <c r="B644" s="3229" t="s">
        <v>3156</v>
      </c>
      <c r="C644" s="3229" t="s">
        <v>3157</v>
      </c>
      <c r="D644" s="3229" t="s">
        <v>3158</v>
      </c>
      <c r="E644" s="3257" t="s">
        <v>4789</v>
      </c>
      <c r="F644" s="3257">
        <v>36.020000000000003</v>
      </c>
      <c r="G644" s="3245">
        <f t="shared" si="11"/>
        <v>7.39</v>
      </c>
    </row>
    <row r="645" spans="1:7">
      <c r="A645" s="3228">
        <v>642</v>
      </c>
      <c r="B645" s="3229" t="s">
        <v>3156</v>
      </c>
      <c r="C645" s="3229" t="s">
        <v>3157</v>
      </c>
      <c r="D645" s="3229" t="s">
        <v>3158</v>
      </c>
      <c r="E645" s="3257" t="s">
        <v>4790</v>
      </c>
      <c r="F645" s="3257">
        <v>36.020000000000003</v>
      </c>
      <c r="G645" s="3245">
        <f t="shared" si="11"/>
        <v>7.39</v>
      </c>
    </row>
    <row r="646" spans="1:7">
      <c r="A646" s="3228">
        <v>643</v>
      </c>
      <c r="B646" s="3229" t="s">
        <v>3156</v>
      </c>
      <c r="C646" s="3229" t="s">
        <v>3157</v>
      </c>
      <c r="D646" s="3229" t="s">
        <v>3158</v>
      </c>
      <c r="E646" s="3257" t="s">
        <v>4791</v>
      </c>
      <c r="F646" s="3257">
        <v>36.020000000000003</v>
      </c>
      <c r="G646" s="3245">
        <f t="shared" si="11"/>
        <v>7.39</v>
      </c>
    </row>
    <row r="647" spans="1:7">
      <c r="A647" s="3228">
        <v>644</v>
      </c>
      <c r="B647" s="3229" t="s">
        <v>3156</v>
      </c>
      <c r="C647" s="3229" t="s">
        <v>3157</v>
      </c>
      <c r="D647" s="3229" t="s">
        <v>3158</v>
      </c>
      <c r="E647" s="3257" t="s">
        <v>4792</v>
      </c>
      <c r="F647" s="3257">
        <v>36.020000000000003</v>
      </c>
      <c r="G647" s="3245">
        <f t="shared" si="11"/>
        <v>7.39</v>
      </c>
    </row>
    <row r="648" spans="1:7">
      <c r="A648" s="3228">
        <v>645</v>
      </c>
      <c r="B648" s="3229" t="s">
        <v>3156</v>
      </c>
      <c r="C648" s="3229" t="s">
        <v>3157</v>
      </c>
      <c r="D648" s="3229" t="s">
        <v>3158</v>
      </c>
      <c r="E648" s="3257" t="s">
        <v>4793</v>
      </c>
      <c r="F648" s="3257">
        <v>36.020000000000003</v>
      </c>
      <c r="G648" s="3245">
        <f t="shared" si="11"/>
        <v>7.39</v>
      </c>
    </row>
    <row r="649" spans="1:7">
      <c r="A649" s="3228">
        <v>646</v>
      </c>
      <c r="B649" s="3229" t="s">
        <v>3156</v>
      </c>
      <c r="C649" s="3229" t="s">
        <v>3157</v>
      </c>
      <c r="D649" s="3229" t="s">
        <v>3158</v>
      </c>
      <c r="E649" s="3257" t="s">
        <v>4794</v>
      </c>
      <c r="F649" s="3257">
        <v>36.020000000000003</v>
      </c>
      <c r="G649" s="3245">
        <f t="shared" si="11"/>
        <v>7.39</v>
      </c>
    </row>
    <row r="650" spans="1:7">
      <c r="A650" s="3228">
        <v>647</v>
      </c>
      <c r="B650" s="3229" t="s">
        <v>3156</v>
      </c>
      <c r="C650" s="3229" t="s">
        <v>3157</v>
      </c>
      <c r="D650" s="3229" t="s">
        <v>3158</v>
      </c>
      <c r="E650" s="3257" t="s">
        <v>4795</v>
      </c>
      <c r="F650" s="3257">
        <v>36.020000000000003</v>
      </c>
      <c r="G650" s="3245">
        <f t="shared" si="11"/>
        <v>7.39</v>
      </c>
    </row>
    <row r="651" spans="1:7">
      <c r="A651" s="3228">
        <v>648</v>
      </c>
      <c r="B651" s="3229" t="s">
        <v>3156</v>
      </c>
      <c r="C651" s="3229" t="s">
        <v>3157</v>
      </c>
      <c r="D651" s="3229" t="s">
        <v>3158</v>
      </c>
      <c r="E651" s="3257" t="s">
        <v>4796</v>
      </c>
      <c r="F651" s="3257">
        <v>36.020000000000003</v>
      </c>
      <c r="G651" s="3245">
        <f t="shared" si="11"/>
        <v>7.39</v>
      </c>
    </row>
    <row r="652" spans="1:7">
      <c r="A652" s="3228">
        <v>649</v>
      </c>
      <c r="B652" s="3229" t="s">
        <v>3156</v>
      </c>
      <c r="C652" s="3229" t="s">
        <v>3157</v>
      </c>
      <c r="D652" s="3229" t="s">
        <v>3158</v>
      </c>
      <c r="E652" s="3257" t="s">
        <v>4797</v>
      </c>
      <c r="F652" s="3257">
        <v>36.020000000000003</v>
      </c>
      <c r="G652" s="3245">
        <f t="shared" si="11"/>
        <v>7.39</v>
      </c>
    </row>
    <row r="653" spans="1:7">
      <c r="A653" s="3228">
        <v>650</v>
      </c>
      <c r="B653" s="3229" t="s">
        <v>3156</v>
      </c>
      <c r="C653" s="3229" t="s">
        <v>3157</v>
      </c>
      <c r="D653" s="3229" t="s">
        <v>3158</v>
      </c>
      <c r="E653" s="3257" t="s">
        <v>4798</v>
      </c>
      <c r="F653" s="3257">
        <v>36.020000000000003</v>
      </c>
      <c r="G653" s="3245">
        <f t="shared" si="11"/>
        <v>7.39</v>
      </c>
    </row>
    <row r="654" spans="1:7">
      <c r="A654" s="3228">
        <v>651</v>
      </c>
      <c r="B654" s="3229" t="s">
        <v>3156</v>
      </c>
      <c r="C654" s="3229" t="s">
        <v>3157</v>
      </c>
      <c r="D654" s="3229" t="s">
        <v>3158</v>
      </c>
      <c r="E654" s="3257" t="s">
        <v>4799</v>
      </c>
      <c r="F654" s="3257">
        <v>36.020000000000003</v>
      </c>
      <c r="G654" s="3245">
        <f t="shared" si="11"/>
        <v>7.39</v>
      </c>
    </row>
    <row r="655" spans="1:7">
      <c r="A655" s="3228">
        <v>652</v>
      </c>
      <c r="B655" s="3229" t="s">
        <v>3156</v>
      </c>
      <c r="C655" s="3229" t="s">
        <v>3157</v>
      </c>
      <c r="D655" s="3229" t="s">
        <v>3158</v>
      </c>
      <c r="E655" s="3257" t="s">
        <v>4800</v>
      </c>
      <c r="F655" s="3257">
        <v>37.520000000000003</v>
      </c>
      <c r="G655" s="3245">
        <f t="shared" si="11"/>
        <v>7.7</v>
      </c>
    </row>
    <row r="656" spans="1:7">
      <c r="A656" s="3228">
        <v>653</v>
      </c>
      <c r="B656" s="3229" t="s">
        <v>3156</v>
      </c>
      <c r="C656" s="3229" t="s">
        <v>3157</v>
      </c>
      <c r="D656" s="3229" t="s">
        <v>3158</v>
      </c>
      <c r="E656" s="3257" t="s">
        <v>4801</v>
      </c>
      <c r="F656" s="3257">
        <v>37.520000000000003</v>
      </c>
      <c r="G656" s="3245">
        <f t="shared" si="11"/>
        <v>7.7</v>
      </c>
    </row>
    <row r="657" spans="1:7">
      <c r="A657" s="3228">
        <v>654</v>
      </c>
      <c r="B657" s="3229" t="s">
        <v>3156</v>
      </c>
      <c r="C657" s="3229" t="s">
        <v>3157</v>
      </c>
      <c r="D657" s="3229" t="s">
        <v>3158</v>
      </c>
      <c r="E657" s="3257" t="s">
        <v>4802</v>
      </c>
      <c r="F657" s="3257">
        <v>37.520000000000003</v>
      </c>
      <c r="G657" s="3245">
        <f t="shared" si="11"/>
        <v>7.7</v>
      </c>
    </row>
    <row r="658" spans="1:7">
      <c r="A658" s="3228">
        <v>655</v>
      </c>
      <c r="B658" s="3229" t="s">
        <v>3156</v>
      </c>
      <c r="C658" s="3229" t="s">
        <v>3157</v>
      </c>
      <c r="D658" s="3229" t="s">
        <v>3158</v>
      </c>
      <c r="E658" s="3257" t="s">
        <v>4803</v>
      </c>
      <c r="F658" s="3257">
        <v>42.21</v>
      </c>
      <c r="G658" s="3245">
        <f t="shared" si="11"/>
        <v>8.66</v>
      </c>
    </row>
    <row r="659" spans="1:7">
      <c r="A659" s="3228">
        <v>656</v>
      </c>
      <c r="B659" s="3229" t="s">
        <v>3156</v>
      </c>
      <c r="C659" s="3229" t="s">
        <v>3157</v>
      </c>
      <c r="D659" s="3229" t="s">
        <v>3158</v>
      </c>
      <c r="E659" s="3257" t="s">
        <v>4804</v>
      </c>
      <c r="F659" s="3257">
        <v>39.090000000000003</v>
      </c>
      <c r="G659" s="3245">
        <f t="shared" si="11"/>
        <v>8.02</v>
      </c>
    </row>
    <row r="660" spans="1:7">
      <c r="A660" s="3228">
        <v>657</v>
      </c>
      <c r="B660" s="3229" t="s">
        <v>3156</v>
      </c>
      <c r="C660" s="3229" t="s">
        <v>3157</v>
      </c>
      <c r="D660" s="3229" t="s">
        <v>3158</v>
      </c>
      <c r="E660" s="3257" t="s">
        <v>4805</v>
      </c>
      <c r="F660" s="3257">
        <v>39.090000000000003</v>
      </c>
      <c r="G660" s="3245">
        <f t="shared" si="11"/>
        <v>8.02</v>
      </c>
    </row>
    <row r="661" spans="1:7">
      <c r="A661" s="3228">
        <v>658</v>
      </c>
      <c r="B661" s="3229" t="s">
        <v>3156</v>
      </c>
      <c r="C661" s="3229" t="s">
        <v>3157</v>
      </c>
      <c r="D661" s="3229" t="s">
        <v>3158</v>
      </c>
      <c r="E661" s="3257" t="s">
        <v>4806</v>
      </c>
      <c r="F661" s="3257">
        <v>39.090000000000003</v>
      </c>
      <c r="G661" s="3245">
        <f t="shared" si="11"/>
        <v>8.02</v>
      </c>
    </row>
    <row r="662" spans="1:7">
      <c r="A662" s="3228">
        <v>659</v>
      </c>
      <c r="B662" s="3229" t="s">
        <v>3156</v>
      </c>
      <c r="C662" s="3229" t="s">
        <v>3157</v>
      </c>
      <c r="D662" s="3229" t="s">
        <v>3158</v>
      </c>
      <c r="E662" s="3257" t="s">
        <v>4807</v>
      </c>
      <c r="F662" s="3257">
        <v>37.520000000000003</v>
      </c>
      <c r="G662" s="3245">
        <f t="shared" si="11"/>
        <v>7.7</v>
      </c>
    </row>
    <row r="663" spans="1:7">
      <c r="A663" s="3228">
        <v>660</v>
      </c>
      <c r="B663" s="3229" t="s">
        <v>3156</v>
      </c>
      <c r="C663" s="3229" t="s">
        <v>3157</v>
      </c>
      <c r="D663" s="3229" t="s">
        <v>3158</v>
      </c>
      <c r="E663" s="3257" t="s">
        <v>4808</v>
      </c>
      <c r="F663" s="3257">
        <v>37.520000000000003</v>
      </c>
      <c r="G663" s="3245">
        <f t="shared" si="11"/>
        <v>7.7</v>
      </c>
    </row>
    <row r="664" spans="1:7">
      <c r="A664" s="3228">
        <v>661</v>
      </c>
      <c r="B664" s="3229" t="s">
        <v>3156</v>
      </c>
      <c r="C664" s="3229" t="s">
        <v>3157</v>
      </c>
      <c r="D664" s="3229" t="s">
        <v>3158</v>
      </c>
      <c r="E664" s="3257" t="s">
        <v>4809</v>
      </c>
      <c r="F664" s="3257">
        <v>37.520000000000003</v>
      </c>
      <c r="G664" s="3245">
        <f t="shared" si="11"/>
        <v>7.7</v>
      </c>
    </row>
    <row r="665" spans="1:7">
      <c r="A665" s="3228">
        <v>662</v>
      </c>
      <c r="B665" s="3229" t="s">
        <v>3156</v>
      </c>
      <c r="C665" s="3229" t="s">
        <v>3157</v>
      </c>
      <c r="D665" s="3229" t="s">
        <v>3158</v>
      </c>
      <c r="E665" s="3257" t="s">
        <v>4810</v>
      </c>
      <c r="F665" s="3257">
        <v>39.090000000000003</v>
      </c>
      <c r="G665" s="3245">
        <f t="shared" si="11"/>
        <v>8.02</v>
      </c>
    </row>
    <row r="666" spans="1:7">
      <c r="A666" s="3228">
        <v>663</v>
      </c>
      <c r="B666" s="3229" t="s">
        <v>3156</v>
      </c>
      <c r="C666" s="3229" t="s">
        <v>3157</v>
      </c>
      <c r="D666" s="3229" t="s">
        <v>3158</v>
      </c>
      <c r="E666" s="3257" t="s">
        <v>4811</v>
      </c>
      <c r="F666" s="3257">
        <v>39.090000000000003</v>
      </c>
      <c r="G666" s="3245">
        <f t="shared" si="11"/>
        <v>8.02</v>
      </c>
    </row>
    <row r="667" spans="1:7">
      <c r="A667" s="3228">
        <v>664</v>
      </c>
      <c r="B667" s="3229" t="s">
        <v>3156</v>
      </c>
      <c r="C667" s="3229" t="s">
        <v>3157</v>
      </c>
      <c r="D667" s="3229" t="s">
        <v>3158</v>
      </c>
      <c r="E667" s="3257" t="s">
        <v>4812</v>
      </c>
      <c r="F667" s="3257">
        <v>39.090000000000003</v>
      </c>
      <c r="G667" s="3245">
        <f t="shared" si="11"/>
        <v>8.02</v>
      </c>
    </row>
    <row r="668" spans="1:7">
      <c r="A668" s="3228">
        <v>665</v>
      </c>
      <c r="B668" s="3229" t="s">
        <v>3156</v>
      </c>
      <c r="C668" s="3229" t="s">
        <v>3157</v>
      </c>
      <c r="D668" s="3229" t="s">
        <v>3158</v>
      </c>
      <c r="E668" s="3257" t="s">
        <v>4813</v>
      </c>
      <c r="F668" s="3257">
        <v>39.090000000000003</v>
      </c>
      <c r="G668" s="3245">
        <f t="shared" si="11"/>
        <v>8.02</v>
      </c>
    </row>
    <row r="669" spans="1:7">
      <c r="A669" s="3228">
        <v>666</v>
      </c>
      <c r="B669" s="3229" t="s">
        <v>3156</v>
      </c>
      <c r="C669" s="3229" t="s">
        <v>3157</v>
      </c>
      <c r="D669" s="3229" t="s">
        <v>3158</v>
      </c>
      <c r="E669" s="3257" t="s">
        <v>4814</v>
      </c>
      <c r="F669" s="3257">
        <v>39.090000000000003</v>
      </c>
      <c r="G669" s="3245">
        <f t="shared" si="11"/>
        <v>8.02</v>
      </c>
    </row>
    <row r="670" spans="1:7">
      <c r="A670" s="3228">
        <v>667</v>
      </c>
      <c r="B670" s="3229" t="s">
        <v>3156</v>
      </c>
      <c r="C670" s="3229" t="s">
        <v>3157</v>
      </c>
      <c r="D670" s="3229" t="s">
        <v>3158</v>
      </c>
      <c r="E670" s="3257" t="s">
        <v>4815</v>
      </c>
      <c r="F670" s="3257">
        <v>37.520000000000003</v>
      </c>
      <c r="G670" s="3245">
        <f t="shared" si="11"/>
        <v>7.7</v>
      </c>
    </row>
    <row r="671" spans="1:7">
      <c r="A671" s="3228">
        <v>668</v>
      </c>
      <c r="B671" s="3229" t="s">
        <v>3156</v>
      </c>
      <c r="C671" s="3229" t="s">
        <v>3157</v>
      </c>
      <c r="D671" s="3229" t="s">
        <v>3158</v>
      </c>
      <c r="E671" s="3257" t="s">
        <v>4816</v>
      </c>
      <c r="F671" s="3257">
        <v>37.520000000000003</v>
      </c>
      <c r="G671" s="3245">
        <f t="shared" si="11"/>
        <v>7.7</v>
      </c>
    </row>
    <row r="672" spans="1:7">
      <c r="A672" s="3228">
        <v>669</v>
      </c>
      <c r="B672" s="3229" t="s">
        <v>3156</v>
      </c>
      <c r="C672" s="3229" t="s">
        <v>3157</v>
      </c>
      <c r="D672" s="3229" t="s">
        <v>3158</v>
      </c>
      <c r="E672" s="3257" t="s">
        <v>4817</v>
      </c>
      <c r="F672" s="3257">
        <v>39.090000000000003</v>
      </c>
      <c r="G672" s="3245">
        <f t="shared" si="11"/>
        <v>8.02</v>
      </c>
    </row>
    <row r="673" spans="1:7">
      <c r="A673" s="3228">
        <v>670</v>
      </c>
      <c r="B673" s="3229" t="s">
        <v>3156</v>
      </c>
      <c r="C673" s="3229" t="s">
        <v>3157</v>
      </c>
      <c r="D673" s="3229" t="s">
        <v>3158</v>
      </c>
      <c r="E673" s="3257" t="s">
        <v>4818</v>
      </c>
      <c r="F673" s="3257">
        <v>37.520000000000003</v>
      </c>
      <c r="G673" s="3245">
        <f t="shared" si="11"/>
        <v>7.7</v>
      </c>
    </row>
    <row r="674" spans="1:7">
      <c r="A674" s="3228">
        <v>671</v>
      </c>
      <c r="B674" s="3229" t="s">
        <v>3156</v>
      </c>
      <c r="C674" s="3229" t="s">
        <v>3157</v>
      </c>
      <c r="D674" s="3229" t="s">
        <v>3158</v>
      </c>
      <c r="E674" s="3257" t="s">
        <v>4819</v>
      </c>
      <c r="F674" s="3257">
        <v>37.520000000000003</v>
      </c>
      <c r="G674" s="3245">
        <f t="shared" si="11"/>
        <v>7.7</v>
      </c>
    </row>
    <row r="675" spans="1:7">
      <c r="A675" s="3228">
        <v>672</v>
      </c>
      <c r="B675" s="3229" t="s">
        <v>3156</v>
      </c>
      <c r="C675" s="3229" t="s">
        <v>3157</v>
      </c>
      <c r="D675" s="3229" t="s">
        <v>3158</v>
      </c>
      <c r="E675" s="3257" t="s">
        <v>4820</v>
      </c>
      <c r="F675" s="3257">
        <v>37.520000000000003</v>
      </c>
      <c r="G675" s="3245">
        <f t="shared" si="11"/>
        <v>7.7</v>
      </c>
    </row>
    <row r="676" spans="1:7">
      <c r="A676" s="3228">
        <v>673</v>
      </c>
      <c r="B676" s="3229" t="s">
        <v>3156</v>
      </c>
      <c r="C676" s="3229" t="s">
        <v>3157</v>
      </c>
      <c r="D676" s="3229" t="s">
        <v>3158</v>
      </c>
      <c r="E676" s="3257" t="s">
        <v>4821</v>
      </c>
      <c r="F676" s="3257">
        <v>37.520000000000003</v>
      </c>
      <c r="G676" s="3245">
        <f t="shared" si="11"/>
        <v>7.7</v>
      </c>
    </row>
    <row r="677" spans="1:7">
      <c r="A677" s="3228">
        <v>674</v>
      </c>
      <c r="B677" s="3229" t="s">
        <v>3156</v>
      </c>
      <c r="C677" s="3229" t="s">
        <v>3157</v>
      </c>
      <c r="D677" s="3229" t="s">
        <v>3158</v>
      </c>
      <c r="E677" s="3257" t="s">
        <v>4822</v>
      </c>
      <c r="F677" s="3257">
        <v>37.520000000000003</v>
      </c>
      <c r="G677" s="3245">
        <f t="shared" si="11"/>
        <v>7.7</v>
      </c>
    </row>
    <row r="678" spans="1:7">
      <c r="A678" s="3228">
        <v>675</v>
      </c>
      <c r="B678" s="3229" t="s">
        <v>3156</v>
      </c>
      <c r="C678" s="3229" t="s">
        <v>3157</v>
      </c>
      <c r="D678" s="3229" t="s">
        <v>3158</v>
      </c>
      <c r="E678" s="3257" t="s">
        <v>4823</v>
      </c>
      <c r="F678" s="3257">
        <v>37.520000000000003</v>
      </c>
      <c r="G678" s="3245">
        <f t="shared" si="11"/>
        <v>7.7</v>
      </c>
    </row>
    <row r="679" spans="1:7">
      <c r="A679" s="3228">
        <v>676</v>
      </c>
      <c r="B679" s="3229" t="s">
        <v>3156</v>
      </c>
      <c r="C679" s="3229" t="s">
        <v>3157</v>
      </c>
      <c r="D679" s="3229" t="s">
        <v>3158</v>
      </c>
      <c r="E679" s="3257" t="s">
        <v>4824</v>
      </c>
      <c r="F679" s="3257">
        <v>39.090000000000003</v>
      </c>
      <c r="G679" s="3245">
        <f t="shared" si="11"/>
        <v>8.02</v>
      </c>
    </row>
    <row r="680" spans="1:7">
      <c r="A680" s="3228">
        <v>677</v>
      </c>
      <c r="B680" s="3229" t="s">
        <v>3156</v>
      </c>
      <c r="C680" s="3229" t="s">
        <v>3157</v>
      </c>
      <c r="D680" s="3229" t="s">
        <v>3158</v>
      </c>
      <c r="E680" s="3257" t="s">
        <v>4825</v>
      </c>
      <c r="F680" s="3257">
        <v>39.090000000000003</v>
      </c>
      <c r="G680" s="3245">
        <f t="shared" ref="G680:G743" si="12">ROUND(F680/$C$910*$D$910,2)</f>
        <v>8.02</v>
      </c>
    </row>
    <row r="681" spans="1:7">
      <c r="A681" s="3228">
        <v>678</v>
      </c>
      <c r="B681" s="3229" t="s">
        <v>3156</v>
      </c>
      <c r="C681" s="3229" t="s">
        <v>3157</v>
      </c>
      <c r="D681" s="3229" t="s">
        <v>3158</v>
      </c>
      <c r="E681" s="3257" t="s">
        <v>4826</v>
      </c>
      <c r="F681" s="3257">
        <v>37.520000000000003</v>
      </c>
      <c r="G681" s="3245">
        <f t="shared" si="12"/>
        <v>7.7</v>
      </c>
    </row>
    <row r="682" spans="1:7">
      <c r="A682" s="3228">
        <v>679</v>
      </c>
      <c r="B682" s="3229" t="s">
        <v>3156</v>
      </c>
      <c r="C682" s="3229" t="s">
        <v>3157</v>
      </c>
      <c r="D682" s="3229" t="s">
        <v>3158</v>
      </c>
      <c r="E682" s="3257" t="s">
        <v>4827</v>
      </c>
      <c r="F682" s="3257">
        <v>37.520000000000003</v>
      </c>
      <c r="G682" s="3245">
        <f t="shared" si="12"/>
        <v>7.7</v>
      </c>
    </row>
    <row r="683" spans="1:7">
      <c r="A683" s="3228">
        <v>680</v>
      </c>
      <c r="B683" s="3229" t="s">
        <v>3156</v>
      </c>
      <c r="C683" s="3229" t="s">
        <v>3157</v>
      </c>
      <c r="D683" s="3229" t="s">
        <v>3158</v>
      </c>
      <c r="E683" s="3257" t="s">
        <v>4828</v>
      </c>
      <c r="F683" s="3257">
        <v>48.78</v>
      </c>
      <c r="G683" s="3245">
        <f t="shared" si="12"/>
        <v>10.01</v>
      </c>
    </row>
    <row r="684" spans="1:7">
      <c r="A684" s="3228">
        <v>681</v>
      </c>
      <c r="B684" s="3229" t="s">
        <v>3156</v>
      </c>
      <c r="C684" s="3229" t="s">
        <v>3157</v>
      </c>
      <c r="D684" s="3229" t="s">
        <v>3158</v>
      </c>
      <c r="E684" s="3257" t="s">
        <v>4829</v>
      </c>
      <c r="F684" s="3257">
        <v>36.020000000000003</v>
      </c>
      <c r="G684" s="3245">
        <f t="shared" si="12"/>
        <v>7.39</v>
      </c>
    </row>
    <row r="685" spans="1:7">
      <c r="A685" s="3228">
        <v>682</v>
      </c>
      <c r="B685" s="3229" t="s">
        <v>3156</v>
      </c>
      <c r="C685" s="3229" t="s">
        <v>3157</v>
      </c>
      <c r="D685" s="3229" t="s">
        <v>3158</v>
      </c>
      <c r="E685" s="3257" t="s">
        <v>4830</v>
      </c>
      <c r="F685" s="3257">
        <v>36.020000000000003</v>
      </c>
      <c r="G685" s="3245">
        <f t="shared" si="12"/>
        <v>7.39</v>
      </c>
    </row>
    <row r="686" spans="1:7">
      <c r="A686" s="3228">
        <v>683</v>
      </c>
      <c r="B686" s="3229" t="s">
        <v>3156</v>
      </c>
      <c r="C686" s="3229" t="s">
        <v>3157</v>
      </c>
      <c r="D686" s="3229" t="s">
        <v>3158</v>
      </c>
      <c r="E686" s="3257" t="s">
        <v>4831</v>
      </c>
      <c r="F686" s="3257">
        <v>36.020000000000003</v>
      </c>
      <c r="G686" s="3245">
        <f t="shared" si="12"/>
        <v>7.39</v>
      </c>
    </row>
    <row r="687" spans="1:7">
      <c r="A687" s="3228">
        <v>684</v>
      </c>
      <c r="B687" s="3229" t="s">
        <v>3156</v>
      </c>
      <c r="C687" s="3229" t="s">
        <v>3157</v>
      </c>
      <c r="D687" s="3229" t="s">
        <v>3158</v>
      </c>
      <c r="E687" s="3257" t="s">
        <v>4832</v>
      </c>
      <c r="F687" s="3257">
        <v>36.020000000000003</v>
      </c>
      <c r="G687" s="3245">
        <f t="shared" si="12"/>
        <v>7.39</v>
      </c>
    </row>
    <row r="688" spans="1:7">
      <c r="A688" s="3228">
        <v>685</v>
      </c>
      <c r="B688" s="3229" t="s">
        <v>3156</v>
      </c>
      <c r="C688" s="3229" t="s">
        <v>3157</v>
      </c>
      <c r="D688" s="3229" t="s">
        <v>3158</v>
      </c>
      <c r="E688" s="3257" t="s">
        <v>4833</v>
      </c>
      <c r="F688" s="3257">
        <v>36.020000000000003</v>
      </c>
      <c r="G688" s="3245">
        <f t="shared" si="12"/>
        <v>7.39</v>
      </c>
    </row>
    <row r="689" spans="1:7">
      <c r="A689" s="3228">
        <v>686</v>
      </c>
      <c r="B689" s="3229" t="s">
        <v>3156</v>
      </c>
      <c r="C689" s="3229" t="s">
        <v>3157</v>
      </c>
      <c r="D689" s="3229" t="s">
        <v>3158</v>
      </c>
      <c r="E689" s="3257" t="s">
        <v>4834</v>
      </c>
      <c r="F689" s="3257">
        <v>36.020000000000003</v>
      </c>
      <c r="G689" s="3245">
        <f t="shared" si="12"/>
        <v>7.39</v>
      </c>
    </row>
    <row r="690" spans="1:7">
      <c r="A690" s="3228">
        <v>687</v>
      </c>
      <c r="B690" s="3229" t="s">
        <v>3156</v>
      </c>
      <c r="C690" s="3229" t="s">
        <v>3157</v>
      </c>
      <c r="D690" s="3229" t="s">
        <v>3158</v>
      </c>
      <c r="E690" s="3257" t="s">
        <v>4835</v>
      </c>
      <c r="F690" s="3257">
        <v>37.520000000000003</v>
      </c>
      <c r="G690" s="3245">
        <f t="shared" si="12"/>
        <v>7.7</v>
      </c>
    </row>
    <row r="691" spans="1:7">
      <c r="A691" s="3228">
        <v>688</v>
      </c>
      <c r="B691" s="3229" t="s">
        <v>3156</v>
      </c>
      <c r="C691" s="3229" t="s">
        <v>3157</v>
      </c>
      <c r="D691" s="3229" t="s">
        <v>3158</v>
      </c>
      <c r="E691" s="3257" t="s">
        <v>4836</v>
      </c>
      <c r="F691" s="3257">
        <v>37.520000000000003</v>
      </c>
      <c r="G691" s="3245">
        <f t="shared" si="12"/>
        <v>7.7</v>
      </c>
    </row>
    <row r="692" spans="1:7">
      <c r="A692" s="3228">
        <v>689</v>
      </c>
      <c r="B692" s="3229" t="s">
        <v>3156</v>
      </c>
      <c r="C692" s="3229" t="s">
        <v>3157</v>
      </c>
      <c r="D692" s="3229" t="s">
        <v>3158</v>
      </c>
      <c r="E692" s="3257" t="s">
        <v>4837</v>
      </c>
      <c r="F692" s="3257">
        <v>37.520000000000003</v>
      </c>
      <c r="G692" s="3245">
        <f t="shared" si="12"/>
        <v>7.7</v>
      </c>
    </row>
    <row r="693" spans="1:7">
      <c r="A693" s="3228">
        <v>690</v>
      </c>
      <c r="B693" s="3229" t="s">
        <v>3156</v>
      </c>
      <c r="C693" s="3229" t="s">
        <v>3157</v>
      </c>
      <c r="D693" s="3229" t="s">
        <v>3158</v>
      </c>
      <c r="E693" s="3257" t="s">
        <v>4838</v>
      </c>
      <c r="F693" s="3257">
        <v>39.090000000000003</v>
      </c>
      <c r="G693" s="3245">
        <f t="shared" si="12"/>
        <v>8.02</v>
      </c>
    </row>
    <row r="694" spans="1:7">
      <c r="A694" s="3228">
        <v>691</v>
      </c>
      <c r="B694" s="3229" t="s">
        <v>3156</v>
      </c>
      <c r="C694" s="3229" t="s">
        <v>3157</v>
      </c>
      <c r="D694" s="3229" t="s">
        <v>3158</v>
      </c>
      <c r="E694" s="3257" t="s">
        <v>4839</v>
      </c>
      <c r="F694" s="3257">
        <v>39.090000000000003</v>
      </c>
      <c r="G694" s="3245">
        <f t="shared" si="12"/>
        <v>8.02</v>
      </c>
    </row>
    <row r="695" spans="1:7">
      <c r="A695" s="3228">
        <v>692</v>
      </c>
      <c r="B695" s="3229" t="s">
        <v>3156</v>
      </c>
      <c r="C695" s="3229" t="s">
        <v>3157</v>
      </c>
      <c r="D695" s="3229" t="s">
        <v>3158</v>
      </c>
      <c r="E695" s="3257" t="s">
        <v>4840</v>
      </c>
      <c r="F695" s="3257">
        <v>39.090000000000003</v>
      </c>
      <c r="G695" s="3245">
        <f t="shared" si="12"/>
        <v>8.02</v>
      </c>
    </row>
    <row r="696" spans="1:7">
      <c r="A696" s="3228">
        <v>693</v>
      </c>
      <c r="B696" s="3229" t="s">
        <v>3156</v>
      </c>
      <c r="C696" s="3229" t="s">
        <v>3157</v>
      </c>
      <c r="D696" s="3229" t="s">
        <v>3158</v>
      </c>
      <c r="E696" s="3257" t="s">
        <v>4841</v>
      </c>
      <c r="F696" s="3257">
        <v>37.4</v>
      </c>
      <c r="G696" s="3245">
        <f t="shared" si="12"/>
        <v>7.68</v>
      </c>
    </row>
    <row r="697" spans="1:7">
      <c r="A697" s="3228">
        <v>694</v>
      </c>
      <c r="B697" s="3229" t="s">
        <v>3156</v>
      </c>
      <c r="C697" s="3229" t="s">
        <v>3157</v>
      </c>
      <c r="D697" s="3229" t="s">
        <v>3158</v>
      </c>
      <c r="E697" s="3257" t="s">
        <v>4842</v>
      </c>
      <c r="F697" s="3257">
        <v>39.840000000000003</v>
      </c>
      <c r="G697" s="3245">
        <f t="shared" si="12"/>
        <v>8.18</v>
      </c>
    </row>
    <row r="698" spans="1:7">
      <c r="A698" s="3228">
        <v>695</v>
      </c>
      <c r="B698" s="3229" t="s">
        <v>3156</v>
      </c>
      <c r="C698" s="3229" t="s">
        <v>3157</v>
      </c>
      <c r="D698" s="3229" t="s">
        <v>3158</v>
      </c>
      <c r="E698" s="3257" t="s">
        <v>4843</v>
      </c>
      <c r="F698" s="3257">
        <v>45.34</v>
      </c>
      <c r="G698" s="3245">
        <f t="shared" si="12"/>
        <v>9.31</v>
      </c>
    </row>
    <row r="699" spans="1:7">
      <c r="A699" s="3228">
        <v>696</v>
      </c>
      <c r="B699" s="3229" t="s">
        <v>3156</v>
      </c>
      <c r="C699" s="3229" t="s">
        <v>3157</v>
      </c>
      <c r="D699" s="3229" t="s">
        <v>3158</v>
      </c>
      <c r="E699" s="3257" t="s">
        <v>4844</v>
      </c>
      <c r="F699" s="3257">
        <v>45.34</v>
      </c>
      <c r="G699" s="3245">
        <f t="shared" si="12"/>
        <v>9.31</v>
      </c>
    </row>
    <row r="700" spans="1:7">
      <c r="A700" s="3228">
        <v>697</v>
      </c>
      <c r="B700" s="3229" t="s">
        <v>3156</v>
      </c>
      <c r="C700" s="3229" t="s">
        <v>3157</v>
      </c>
      <c r="D700" s="3229" t="s">
        <v>3158</v>
      </c>
      <c r="E700" s="3257" t="s">
        <v>4845</v>
      </c>
      <c r="F700" s="3257">
        <v>45.34</v>
      </c>
      <c r="G700" s="3245">
        <f t="shared" si="12"/>
        <v>9.31</v>
      </c>
    </row>
    <row r="701" spans="1:7">
      <c r="A701" s="3228">
        <v>698</v>
      </c>
      <c r="B701" s="3229" t="s">
        <v>3156</v>
      </c>
      <c r="C701" s="3229" t="s">
        <v>3157</v>
      </c>
      <c r="D701" s="3229" t="s">
        <v>3158</v>
      </c>
      <c r="E701" s="3257" t="s">
        <v>4846</v>
      </c>
      <c r="F701" s="3257">
        <v>36.020000000000003</v>
      </c>
      <c r="G701" s="3245">
        <f t="shared" si="12"/>
        <v>7.39</v>
      </c>
    </row>
    <row r="702" spans="1:7">
      <c r="A702" s="3228">
        <v>699</v>
      </c>
      <c r="B702" s="3229" t="s">
        <v>3156</v>
      </c>
      <c r="C702" s="3229" t="s">
        <v>3157</v>
      </c>
      <c r="D702" s="3229" t="s">
        <v>3158</v>
      </c>
      <c r="E702" s="3257" t="s">
        <v>4847</v>
      </c>
      <c r="F702" s="3257">
        <v>36.020000000000003</v>
      </c>
      <c r="G702" s="3245">
        <f t="shared" si="12"/>
        <v>7.39</v>
      </c>
    </row>
    <row r="703" spans="1:7">
      <c r="A703" s="3228">
        <v>700</v>
      </c>
      <c r="B703" s="3229" t="s">
        <v>3156</v>
      </c>
      <c r="C703" s="3229" t="s">
        <v>3157</v>
      </c>
      <c r="D703" s="3229" t="s">
        <v>3158</v>
      </c>
      <c r="E703" s="3257" t="s">
        <v>4848</v>
      </c>
      <c r="F703" s="3257">
        <v>36.020000000000003</v>
      </c>
      <c r="G703" s="3245">
        <f t="shared" si="12"/>
        <v>7.39</v>
      </c>
    </row>
    <row r="704" spans="1:7">
      <c r="A704" s="3228">
        <v>701</v>
      </c>
      <c r="B704" s="3229" t="s">
        <v>3156</v>
      </c>
      <c r="C704" s="3229" t="s">
        <v>3157</v>
      </c>
      <c r="D704" s="3229" t="s">
        <v>3158</v>
      </c>
      <c r="E704" s="3257" t="s">
        <v>4849</v>
      </c>
      <c r="F704" s="3257">
        <v>36.020000000000003</v>
      </c>
      <c r="G704" s="3245">
        <f t="shared" si="12"/>
        <v>7.39</v>
      </c>
    </row>
    <row r="705" spans="1:7">
      <c r="A705" s="3228">
        <v>702</v>
      </c>
      <c r="B705" s="3229" t="s">
        <v>3156</v>
      </c>
      <c r="C705" s="3229" t="s">
        <v>3157</v>
      </c>
      <c r="D705" s="3229" t="s">
        <v>3158</v>
      </c>
      <c r="E705" s="3257" t="s">
        <v>4850</v>
      </c>
      <c r="F705" s="3257">
        <v>36.020000000000003</v>
      </c>
      <c r="G705" s="3245">
        <f t="shared" si="12"/>
        <v>7.39</v>
      </c>
    </row>
    <row r="706" spans="1:7">
      <c r="A706" s="3228">
        <v>703</v>
      </c>
      <c r="B706" s="3229" t="s">
        <v>3156</v>
      </c>
      <c r="C706" s="3229" t="s">
        <v>3157</v>
      </c>
      <c r="D706" s="3229" t="s">
        <v>3158</v>
      </c>
      <c r="E706" s="3257" t="s">
        <v>4851</v>
      </c>
      <c r="F706" s="3257">
        <v>36.020000000000003</v>
      </c>
      <c r="G706" s="3245">
        <f t="shared" si="12"/>
        <v>7.39</v>
      </c>
    </row>
    <row r="707" spans="1:7">
      <c r="A707" s="3228">
        <v>704</v>
      </c>
      <c r="B707" s="3229" t="s">
        <v>3156</v>
      </c>
      <c r="C707" s="3229" t="s">
        <v>3157</v>
      </c>
      <c r="D707" s="3229" t="s">
        <v>3158</v>
      </c>
      <c r="E707" s="3257" t="s">
        <v>4852</v>
      </c>
      <c r="F707" s="3257">
        <v>36.020000000000003</v>
      </c>
      <c r="G707" s="3245">
        <f t="shared" si="12"/>
        <v>7.39</v>
      </c>
    </row>
    <row r="708" spans="1:7">
      <c r="A708" s="3228">
        <v>705</v>
      </c>
      <c r="B708" s="3229" t="s">
        <v>3156</v>
      </c>
      <c r="C708" s="3229" t="s">
        <v>3157</v>
      </c>
      <c r="D708" s="3229" t="s">
        <v>3158</v>
      </c>
      <c r="E708" s="3257" t="s">
        <v>4853</v>
      </c>
      <c r="F708" s="3257">
        <v>36.020000000000003</v>
      </c>
      <c r="G708" s="3245">
        <f t="shared" si="12"/>
        <v>7.39</v>
      </c>
    </row>
    <row r="709" spans="1:7">
      <c r="A709" s="3228">
        <v>706</v>
      </c>
      <c r="B709" s="3229" t="s">
        <v>3156</v>
      </c>
      <c r="C709" s="3229" t="s">
        <v>3157</v>
      </c>
      <c r="D709" s="3229" t="s">
        <v>3158</v>
      </c>
      <c r="E709" s="3257" t="s">
        <v>4854</v>
      </c>
      <c r="F709" s="3257">
        <v>36.020000000000003</v>
      </c>
      <c r="G709" s="3245">
        <f t="shared" si="12"/>
        <v>7.39</v>
      </c>
    </row>
    <row r="710" spans="1:7">
      <c r="A710" s="3228">
        <v>707</v>
      </c>
      <c r="B710" s="3229" t="s">
        <v>3156</v>
      </c>
      <c r="C710" s="3229" t="s">
        <v>3157</v>
      </c>
      <c r="D710" s="3229" t="s">
        <v>3158</v>
      </c>
      <c r="E710" s="3257" t="s">
        <v>4855</v>
      </c>
      <c r="F710" s="3257">
        <v>36.020000000000003</v>
      </c>
      <c r="G710" s="3245">
        <f t="shared" si="12"/>
        <v>7.39</v>
      </c>
    </row>
    <row r="711" spans="1:7">
      <c r="A711" s="3228">
        <v>708</v>
      </c>
      <c r="B711" s="3229" t="s">
        <v>3156</v>
      </c>
      <c r="C711" s="3229" t="s">
        <v>3157</v>
      </c>
      <c r="D711" s="3229" t="s">
        <v>3158</v>
      </c>
      <c r="E711" s="3257" t="s">
        <v>4856</v>
      </c>
      <c r="F711" s="3257">
        <v>36.020000000000003</v>
      </c>
      <c r="G711" s="3245">
        <f t="shared" si="12"/>
        <v>7.39</v>
      </c>
    </row>
    <row r="712" spans="1:7">
      <c r="A712" s="3228">
        <v>709</v>
      </c>
      <c r="B712" s="3229" t="s">
        <v>3156</v>
      </c>
      <c r="C712" s="3229" t="s">
        <v>3157</v>
      </c>
      <c r="D712" s="3229" t="s">
        <v>3158</v>
      </c>
      <c r="E712" s="3257" t="s">
        <v>4857</v>
      </c>
      <c r="F712" s="3257">
        <v>36.020000000000003</v>
      </c>
      <c r="G712" s="3245">
        <f t="shared" si="12"/>
        <v>7.39</v>
      </c>
    </row>
    <row r="713" spans="1:7">
      <c r="A713" s="3228">
        <v>710</v>
      </c>
      <c r="B713" s="3229" t="s">
        <v>3156</v>
      </c>
      <c r="C713" s="3229" t="s">
        <v>3157</v>
      </c>
      <c r="D713" s="3229" t="s">
        <v>3158</v>
      </c>
      <c r="E713" s="3257" t="s">
        <v>4858</v>
      </c>
      <c r="F713" s="3257">
        <v>39.090000000000003</v>
      </c>
      <c r="G713" s="3245">
        <f t="shared" si="12"/>
        <v>8.02</v>
      </c>
    </row>
    <row r="714" spans="1:7">
      <c r="A714" s="3228">
        <v>711</v>
      </c>
      <c r="B714" s="3229" t="s">
        <v>3156</v>
      </c>
      <c r="C714" s="3229" t="s">
        <v>3157</v>
      </c>
      <c r="D714" s="3229" t="s">
        <v>3158</v>
      </c>
      <c r="E714" s="3257" t="s">
        <v>4859</v>
      </c>
      <c r="F714" s="3257">
        <v>39.090000000000003</v>
      </c>
      <c r="G714" s="3245">
        <f t="shared" si="12"/>
        <v>8.02</v>
      </c>
    </row>
    <row r="715" spans="1:7">
      <c r="A715" s="3228">
        <v>712</v>
      </c>
      <c r="B715" s="3229" t="s">
        <v>3156</v>
      </c>
      <c r="C715" s="3229" t="s">
        <v>3157</v>
      </c>
      <c r="D715" s="3229" t="s">
        <v>3158</v>
      </c>
      <c r="E715" s="3257" t="s">
        <v>4860</v>
      </c>
      <c r="F715" s="3257">
        <v>39.090000000000003</v>
      </c>
      <c r="G715" s="3245">
        <f t="shared" si="12"/>
        <v>8.02</v>
      </c>
    </row>
    <row r="716" spans="1:7">
      <c r="A716" s="3228">
        <v>713</v>
      </c>
      <c r="B716" s="3229" t="s">
        <v>3156</v>
      </c>
      <c r="C716" s="3229" t="s">
        <v>3157</v>
      </c>
      <c r="D716" s="3229" t="s">
        <v>3158</v>
      </c>
      <c r="E716" s="3257" t="s">
        <v>4861</v>
      </c>
      <c r="F716" s="3257">
        <v>36.020000000000003</v>
      </c>
      <c r="G716" s="3245">
        <f t="shared" si="12"/>
        <v>7.39</v>
      </c>
    </row>
    <row r="717" spans="1:7">
      <c r="A717" s="3228">
        <v>714</v>
      </c>
      <c r="B717" s="3229" t="s">
        <v>3156</v>
      </c>
      <c r="C717" s="3229" t="s">
        <v>3157</v>
      </c>
      <c r="D717" s="3229" t="s">
        <v>3158</v>
      </c>
      <c r="E717" s="3257" t="s">
        <v>4862</v>
      </c>
      <c r="F717" s="3257">
        <v>36.020000000000003</v>
      </c>
      <c r="G717" s="3245">
        <f t="shared" si="12"/>
        <v>7.39</v>
      </c>
    </row>
    <row r="718" spans="1:7">
      <c r="A718" s="3228">
        <v>715</v>
      </c>
      <c r="B718" s="3229" t="s">
        <v>3156</v>
      </c>
      <c r="C718" s="3229" t="s">
        <v>3157</v>
      </c>
      <c r="D718" s="3229" t="s">
        <v>3158</v>
      </c>
      <c r="E718" s="3257" t="s">
        <v>4863</v>
      </c>
      <c r="F718" s="3257">
        <v>36.020000000000003</v>
      </c>
      <c r="G718" s="3245">
        <f t="shared" si="12"/>
        <v>7.39</v>
      </c>
    </row>
    <row r="719" spans="1:7">
      <c r="A719" s="3228">
        <v>716</v>
      </c>
      <c r="B719" s="3229" t="s">
        <v>3156</v>
      </c>
      <c r="C719" s="3229" t="s">
        <v>3157</v>
      </c>
      <c r="D719" s="3229" t="s">
        <v>3158</v>
      </c>
      <c r="E719" s="3257" t="s">
        <v>4864</v>
      </c>
      <c r="F719" s="3257">
        <v>39.090000000000003</v>
      </c>
      <c r="G719" s="3245">
        <f t="shared" si="12"/>
        <v>8.02</v>
      </c>
    </row>
    <row r="720" spans="1:7">
      <c r="A720" s="3228">
        <v>717</v>
      </c>
      <c r="B720" s="3229" t="s">
        <v>3156</v>
      </c>
      <c r="C720" s="3229" t="s">
        <v>3157</v>
      </c>
      <c r="D720" s="3229" t="s">
        <v>3158</v>
      </c>
      <c r="E720" s="3257" t="s">
        <v>4865</v>
      </c>
      <c r="F720" s="3257">
        <v>39.090000000000003</v>
      </c>
      <c r="G720" s="3245">
        <f t="shared" si="12"/>
        <v>8.02</v>
      </c>
    </row>
    <row r="721" spans="1:7">
      <c r="A721" s="3228">
        <v>718</v>
      </c>
      <c r="B721" s="3229" t="s">
        <v>3156</v>
      </c>
      <c r="C721" s="3229" t="s">
        <v>3157</v>
      </c>
      <c r="D721" s="3229" t="s">
        <v>3158</v>
      </c>
      <c r="E721" s="3257" t="s">
        <v>4866</v>
      </c>
      <c r="F721" s="3257">
        <v>39.090000000000003</v>
      </c>
      <c r="G721" s="3245">
        <f t="shared" si="12"/>
        <v>8.02</v>
      </c>
    </row>
    <row r="722" spans="1:7">
      <c r="A722" s="3228">
        <v>719</v>
      </c>
      <c r="B722" s="3229" t="s">
        <v>3156</v>
      </c>
      <c r="C722" s="3229" t="s">
        <v>3157</v>
      </c>
      <c r="D722" s="3229" t="s">
        <v>3158</v>
      </c>
      <c r="E722" s="3257" t="s">
        <v>4867</v>
      </c>
      <c r="F722" s="3257">
        <v>39.090000000000003</v>
      </c>
      <c r="G722" s="3245">
        <f t="shared" si="12"/>
        <v>8.02</v>
      </c>
    </row>
    <row r="723" spans="1:7">
      <c r="A723" s="3228">
        <v>720</v>
      </c>
      <c r="B723" s="3229" t="s">
        <v>3156</v>
      </c>
      <c r="C723" s="3229" t="s">
        <v>3157</v>
      </c>
      <c r="D723" s="3229" t="s">
        <v>3158</v>
      </c>
      <c r="E723" s="3257" t="s">
        <v>4868</v>
      </c>
      <c r="F723" s="3257">
        <v>39.090000000000003</v>
      </c>
      <c r="G723" s="3245">
        <f t="shared" si="12"/>
        <v>8.02</v>
      </c>
    </row>
    <row r="724" spans="1:7">
      <c r="A724" s="3228">
        <v>721</v>
      </c>
      <c r="B724" s="3229" t="s">
        <v>3156</v>
      </c>
      <c r="C724" s="3229" t="s">
        <v>3157</v>
      </c>
      <c r="D724" s="3229" t="s">
        <v>3158</v>
      </c>
      <c r="E724" s="3257" t="s">
        <v>4869</v>
      </c>
      <c r="F724" s="3257">
        <v>36.74</v>
      </c>
      <c r="G724" s="3245">
        <f t="shared" si="12"/>
        <v>7.54</v>
      </c>
    </row>
    <row r="725" spans="1:7">
      <c r="A725" s="3228">
        <v>722</v>
      </c>
      <c r="B725" s="3229" t="s">
        <v>3156</v>
      </c>
      <c r="C725" s="3229" t="s">
        <v>3157</v>
      </c>
      <c r="D725" s="3229" t="s">
        <v>3158</v>
      </c>
      <c r="E725" s="3257" t="s">
        <v>4870</v>
      </c>
      <c r="F725" s="3257">
        <v>36.74</v>
      </c>
      <c r="G725" s="3245">
        <f t="shared" si="12"/>
        <v>7.54</v>
      </c>
    </row>
    <row r="726" spans="1:7">
      <c r="A726" s="3228">
        <v>723</v>
      </c>
      <c r="B726" s="3229" t="s">
        <v>3156</v>
      </c>
      <c r="C726" s="3229" t="s">
        <v>3157</v>
      </c>
      <c r="D726" s="3229" t="s">
        <v>3158</v>
      </c>
      <c r="E726" s="3257" t="s">
        <v>4871</v>
      </c>
      <c r="F726" s="3257">
        <v>36.74</v>
      </c>
      <c r="G726" s="3245">
        <f t="shared" si="12"/>
        <v>7.54</v>
      </c>
    </row>
    <row r="727" spans="1:7">
      <c r="A727" s="3228">
        <v>724</v>
      </c>
      <c r="B727" s="3229" t="s">
        <v>3156</v>
      </c>
      <c r="C727" s="3229" t="s">
        <v>3157</v>
      </c>
      <c r="D727" s="3229" t="s">
        <v>3158</v>
      </c>
      <c r="E727" s="3257" t="s">
        <v>4872</v>
      </c>
      <c r="F727" s="3257">
        <v>36.74</v>
      </c>
      <c r="G727" s="3245">
        <f t="shared" si="12"/>
        <v>7.54</v>
      </c>
    </row>
    <row r="728" spans="1:7">
      <c r="A728" s="3228">
        <v>725</v>
      </c>
      <c r="B728" s="3229" t="s">
        <v>3156</v>
      </c>
      <c r="C728" s="3229" t="s">
        <v>3157</v>
      </c>
      <c r="D728" s="3229" t="s">
        <v>3158</v>
      </c>
      <c r="E728" s="3257" t="s">
        <v>4873</v>
      </c>
      <c r="F728" s="3257">
        <v>36.74</v>
      </c>
      <c r="G728" s="3245">
        <f t="shared" si="12"/>
        <v>7.54</v>
      </c>
    </row>
    <row r="729" spans="1:7">
      <c r="A729" s="3228">
        <v>726</v>
      </c>
      <c r="B729" s="3229" t="s">
        <v>3156</v>
      </c>
      <c r="C729" s="3229" t="s">
        <v>3157</v>
      </c>
      <c r="D729" s="3229" t="s">
        <v>3158</v>
      </c>
      <c r="E729" s="3257" t="s">
        <v>4874</v>
      </c>
      <c r="F729" s="3257">
        <v>37.520000000000003</v>
      </c>
      <c r="G729" s="3245">
        <f t="shared" si="12"/>
        <v>7.7</v>
      </c>
    </row>
    <row r="730" spans="1:7">
      <c r="A730" s="3228">
        <v>727</v>
      </c>
      <c r="B730" s="3229" t="s">
        <v>3156</v>
      </c>
      <c r="C730" s="3229" t="s">
        <v>3157</v>
      </c>
      <c r="D730" s="3229" t="s">
        <v>3158</v>
      </c>
      <c r="E730" s="3257" t="s">
        <v>4875</v>
      </c>
      <c r="F730" s="3257">
        <v>37.520000000000003</v>
      </c>
      <c r="G730" s="3245">
        <f t="shared" si="12"/>
        <v>7.7</v>
      </c>
    </row>
    <row r="731" spans="1:7">
      <c r="A731" s="3228">
        <v>728</v>
      </c>
      <c r="B731" s="3229" t="s">
        <v>3156</v>
      </c>
      <c r="C731" s="3229" t="s">
        <v>3157</v>
      </c>
      <c r="D731" s="3229" t="s">
        <v>3158</v>
      </c>
      <c r="E731" s="3257" t="s">
        <v>4876</v>
      </c>
      <c r="F731" s="3257">
        <v>37.520000000000003</v>
      </c>
      <c r="G731" s="3245">
        <f t="shared" si="12"/>
        <v>7.7</v>
      </c>
    </row>
    <row r="732" spans="1:7">
      <c r="A732" s="3228">
        <v>729</v>
      </c>
      <c r="B732" s="3229" t="s">
        <v>3156</v>
      </c>
      <c r="C732" s="3229" t="s">
        <v>3157</v>
      </c>
      <c r="D732" s="3229" t="s">
        <v>3158</v>
      </c>
      <c r="E732" s="3257" t="s">
        <v>4877</v>
      </c>
      <c r="F732" s="3257">
        <v>37.520000000000003</v>
      </c>
      <c r="G732" s="3245">
        <f t="shared" si="12"/>
        <v>7.7</v>
      </c>
    </row>
    <row r="733" spans="1:7">
      <c r="A733" s="3228">
        <v>730</v>
      </c>
      <c r="B733" s="3229" t="s">
        <v>3156</v>
      </c>
      <c r="C733" s="3229" t="s">
        <v>3157</v>
      </c>
      <c r="D733" s="3229" t="s">
        <v>3158</v>
      </c>
      <c r="E733" s="3257" t="s">
        <v>4878</v>
      </c>
      <c r="F733" s="3257">
        <v>37.520000000000003</v>
      </c>
      <c r="G733" s="3245">
        <f t="shared" si="12"/>
        <v>7.7</v>
      </c>
    </row>
    <row r="734" spans="1:7">
      <c r="A734" s="3228">
        <v>731</v>
      </c>
      <c r="B734" s="3229" t="s">
        <v>3156</v>
      </c>
      <c r="C734" s="3229" t="s">
        <v>3157</v>
      </c>
      <c r="D734" s="3229" t="s">
        <v>3158</v>
      </c>
      <c r="E734" s="3257" t="s">
        <v>4879</v>
      </c>
      <c r="F734" s="3257">
        <v>37.520000000000003</v>
      </c>
      <c r="G734" s="3245">
        <f t="shared" si="12"/>
        <v>7.7</v>
      </c>
    </row>
    <row r="735" spans="1:7">
      <c r="A735" s="3228">
        <v>732</v>
      </c>
      <c r="B735" s="3229" t="s">
        <v>3156</v>
      </c>
      <c r="C735" s="3229" t="s">
        <v>3157</v>
      </c>
      <c r="D735" s="3229" t="s">
        <v>3158</v>
      </c>
      <c r="E735" s="3257" t="s">
        <v>4880</v>
      </c>
      <c r="F735" s="3257">
        <v>37.520000000000003</v>
      </c>
      <c r="G735" s="3245">
        <f t="shared" si="12"/>
        <v>7.7</v>
      </c>
    </row>
    <row r="736" spans="1:7">
      <c r="A736" s="3228">
        <v>733</v>
      </c>
      <c r="B736" s="3229" t="s">
        <v>3156</v>
      </c>
      <c r="C736" s="3229" t="s">
        <v>3157</v>
      </c>
      <c r="D736" s="3229" t="s">
        <v>3158</v>
      </c>
      <c r="E736" s="3257" t="s">
        <v>4881</v>
      </c>
      <c r="F736" s="3257">
        <v>37.520000000000003</v>
      </c>
      <c r="G736" s="3245">
        <f t="shared" si="12"/>
        <v>7.7</v>
      </c>
    </row>
    <row r="737" spans="1:7">
      <c r="A737" s="3228">
        <v>734</v>
      </c>
      <c r="B737" s="3229" t="s">
        <v>3156</v>
      </c>
      <c r="C737" s="3229" t="s">
        <v>3157</v>
      </c>
      <c r="D737" s="3229" t="s">
        <v>3158</v>
      </c>
      <c r="E737" s="3257" t="s">
        <v>4882</v>
      </c>
      <c r="F737" s="3257">
        <v>37.520000000000003</v>
      </c>
      <c r="G737" s="3245">
        <f t="shared" si="12"/>
        <v>7.7</v>
      </c>
    </row>
    <row r="738" spans="1:7">
      <c r="A738" s="3228">
        <v>735</v>
      </c>
      <c r="B738" s="3229" t="s">
        <v>3156</v>
      </c>
      <c r="C738" s="3229" t="s">
        <v>3157</v>
      </c>
      <c r="D738" s="3229" t="s">
        <v>3158</v>
      </c>
      <c r="E738" s="3257" t="s">
        <v>4883</v>
      </c>
      <c r="F738" s="3257">
        <v>37.520000000000003</v>
      </c>
      <c r="G738" s="3245">
        <f t="shared" si="12"/>
        <v>7.7</v>
      </c>
    </row>
    <row r="739" spans="1:7">
      <c r="A739" s="3228">
        <v>736</v>
      </c>
      <c r="B739" s="3229" t="s">
        <v>3156</v>
      </c>
      <c r="C739" s="3229" t="s">
        <v>3157</v>
      </c>
      <c r="D739" s="3229" t="s">
        <v>3158</v>
      </c>
      <c r="E739" s="3257" t="s">
        <v>4884</v>
      </c>
      <c r="F739" s="3257">
        <v>37.520000000000003</v>
      </c>
      <c r="G739" s="3245">
        <f t="shared" si="12"/>
        <v>7.7</v>
      </c>
    </row>
    <row r="740" spans="1:7">
      <c r="A740" s="3228">
        <v>737</v>
      </c>
      <c r="B740" s="3229" t="s">
        <v>3156</v>
      </c>
      <c r="C740" s="3229" t="s">
        <v>3157</v>
      </c>
      <c r="D740" s="3229" t="s">
        <v>3158</v>
      </c>
      <c r="E740" s="3257" t="s">
        <v>4885</v>
      </c>
      <c r="F740" s="3257">
        <v>37.520000000000003</v>
      </c>
      <c r="G740" s="3245">
        <f t="shared" si="12"/>
        <v>7.7</v>
      </c>
    </row>
    <row r="741" spans="1:7">
      <c r="A741" s="3228">
        <v>738</v>
      </c>
      <c r="B741" s="3229" t="s">
        <v>3156</v>
      </c>
      <c r="C741" s="3229" t="s">
        <v>3157</v>
      </c>
      <c r="D741" s="3229" t="s">
        <v>3158</v>
      </c>
      <c r="E741" s="3257" t="s">
        <v>4886</v>
      </c>
      <c r="F741" s="3257">
        <v>37.520000000000003</v>
      </c>
      <c r="G741" s="3245">
        <f t="shared" si="12"/>
        <v>7.7</v>
      </c>
    </row>
    <row r="742" spans="1:7">
      <c r="A742" s="3228">
        <v>739</v>
      </c>
      <c r="B742" s="3229" t="s">
        <v>3156</v>
      </c>
      <c r="C742" s="3229" t="s">
        <v>3157</v>
      </c>
      <c r="D742" s="3229" t="s">
        <v>3158</v>
      </c>
      <c r="E742" s="3257" t="s">
        <v>4887</v>
      </c>
      <c r="F742" s="3257">
        <v>37.520000000000003</v>
      </c>
      <c r="G742" s="3245">
        <f t="shared" si="12"/>
        <v>7.7</v>
      </c>
    </row>
    <row r="743" spans="1:7">
      <c r="A743" s="3228">
        <v>740</v>
      </c>
      <c r="B743" s="3229" t="s">
        <v>3156</v>
      </c>
      <c r="C743" s="3229" t="s">
        <v>3157</v>
      </c>
      <c r="D743" s="3229" t="s">
        <v>3158</v>
      </c>
      <c r="E743" s="3257" t="s">
        <v>4888</v>
      </c>
      <c r="F743" s="3257">
        <v>37.520000000000003</v>
      </c>
      <c r="G743" s="3245">
        <f t="shared" si="12"/>
        <v>7.7</v>
      </c>
    </row>
    <row r="744" spans="1:7">
      <c r="A744" s="3228">
        <v>741</v>
      </c>
      <c r="B744" s="3229" t="s">
        <v>3156</v>
      </c>
      <c r="C744" s="3229" t="s">
        <v>3157</v>
      </c>
      <c r="D744" s="3229" t="s">
        <v>3158</v>
      </c>
      <c r="E744" s="3257" t="s">
        <v>4889</v>
      </c>
      <c r="F744" s="3257">
        <v>37.520000000000003</v>
      </c>
      <c r="G744" s="3245">
        <f t="shared" ref="G744:G807" si="13">ROUND(F744/$C$910*$D$910,2)</f>
        <v>7.7</v>
      </c>
    </row>
    <row r="745" spans="1:7">
      <c r="A745" s="3228">
        <v>742</v>
      </c>
      <c r="B745" s="3229" t="s">
        <v>3156</v>
      </c>
      <c r="C745" s="3229" t="s">
        <v>3157</v>
      </c>
      <c r="D745" s="3229" t="s">
        <v>3158</v>
      </c>
      <c r="E745" s="3257" t="s">
        <v>4890</v>
      </c>
      <c r="F745" s="3257">
        <v>37.520000000000003</v>
      </c>
      <c r="G745" s="3245">
        <f t="shared" si="13"/>
        <v>7.7</v>
      </c>
    </row>
    <row r="746" spans="1:7">
      <c r="A746" s="3228">
        <v>743</v>
      </c>
      <c r="B746" s="3229" t="s">
        <v>3156</v>
      </c>
      <c r="C746" s="3229" t="s">
        <v>3157</v>
      </c>
      <c r="D746" s="3229" t="s">
        <v>3158</v>
      </c>
      <c r="E746" s="3257" t="s">
        <v>4891</v>
      </c>
      <c r="F746" s="3257">
        <v>37.520000000000003</v>
      </c>
      <c r="G746" s="3245">
        <f t="shared" si="13"/>
        <v>7.7</v>
      </c>
    </row>
    <row r="747" spans="1:7">
      <c r="A747" s="3228">
        <v>744</v>
      </c>
      <c r="B747" s="3229" t="s">
        <v>3156</v>
      </c>
      <c r="C747" s="3229" t="s">
        <v>3157</v>
      </c>
      <c r="D747" s="3229" t="s">
        <v>3158</v>
      </c>
      <c r="E747" s="3257" t="s">
        <v>4892</v>
      </c>
      <c r="F747" s="3257">
        <v>37.520000000000003</v>
      </c>
      <c r="G747" s="3245">
        <f t="shared" si="13"/>
        <v>7.7</v>
      </c>
    </row>
    <row r="748" spans="1:7">
      <c r="A748" s="3228">
        <v>745</v>
      </c>
      <c r="B748" s="3229" t="s">
        <v>3156</v>
      </c>
      <c r="C748" s="3229" t="s">
        <v>3157</v>
      </c>
      <c r="D748" s="3229" t="s">
        <v>3158</v>
      </c>
      <c r="E748" s="3257" t="s">
        <v>4893</v>
      </c>
      <c r="F748" s="3257">
        <v>39.090000000000003</v>
      </c>
      <c r="G748" s="3245">
        <f t="shared" si="13"/>
        <v>8.02</v>
      </c>
    </row>
    <row r="749" spans="1:7">
      <c r="A749" s="3228">
        <v>746</v>
      </c>
      <c r="B749" s="3229" t="s">
        <v>3156</v>
      </c>
      <c r="C749" s="3229" t="s">
        <v>3157</v>
      </c>
      <c r="D749" s="3229" t="s">
        <v>3158</v>
      </c>
      <c r="E749" s="3257" t="s">
        <v>4894</v>
      </c>
      <c r="F749" s="3257">
        <v>39.090000000000003</v>
      </c>
      <c r="G749" s="3245">
        <f t="shared" si="13"/>
        <v>8.02</v>
      </c>
    </row>
    <row r="750" spans="1:7">
      <c r="A750" s="3228">
        <v>747</v>
      </c>
      <c r="B750" s="3229" t="s">
        <v>3156</v>
      </c>
      <c r="C750" s="3229" t="s">
        <v>3157</v>
      </c>
      <c r="D750" s="3229" t="s">
        <v>3158</v>
      </c>
      <c r="E750" s="3257" t="s">
        <v>4895</v>
      </c>
      <c r="F750" s="3257">
        <v>46.91</v>
      </c>
      <c r="G750" s="3245">
        <f t="shared" si="13"/>
        <v>9.6300000000000008</v>
      </c>
    </row>
    <row r="751" spans="1:7">
      <c r="A751" s="3228">
        <v>748</v>
      </c>
      <c r="B751" s="3229" t="s">
        <v>3156</v>
      </c>
      <c r="C751" s="3229" t="s">
        <v>3157</v>
      </c>
      <c r="D751" s="3229" t="s">
        <v>3158</v>
      </c>
      <c r="E751" s="3257" t="s">
        <v>4896</v>
      </c>
      <c r="F751" s="3257">
        <v>46.91</v>
      </c>
      <c r="G751" s="3245">
        <f t="shared" si="13"/>
        <v>9.6300000000000008</v>
      </c>
    </row>
    <row r="752" spans="1:7">
      <c r="A752" s="3228">
        <v>749</v>
      </c>
      <c r="B752" s="3229" t="s">
        <v>3156</v>
      </c>
      <c r="C752" s="3229" t="s">
        <v>3157</v>
      </c>
      <c r="D752" s="3229" t="s">
        <v>3158</v>
      </c>
      <c r="E752" s="3257" t="s">
        <v>4897</v>
      </c>
      <c r="F752" s="3257">
        <v>46.91</v>
      </c>
      <c r="G752" s="3245">
        <f t="shared" si="13"/>
        <v>9.6300000000000008</v>
      </c>
    </row>
    <row r="753" spans="1:7">
      <c r="A753" s="3228">
        <v>750</v>
      </c>
      <c r="B753" s="3229" t="s">
        <v>3156</v>
      </c>
      <c r="C753" s="3229" t="s">
        <v>3157</v>
      </c>
      <c r="D753" s="3229" t="s">
        <v>3158</v>
      </c>
      <c r="E753" s="3257" t="s">
        <v>4898</v>
      </c>
      <c r="F753" s="3257">
        <v>46.91</v>
      </c>
      <c r="G753" s="3245">
        <f t="shared" si="13"/>
        <v>9.6300000000000008</v>
      </c>
    </row>
    <row r="754" spans="1:7">
      <c r="A754" s="3228">
        <v>751</v>
      </c>
      <c r="B754" s="3229" t="s">
        <v>3156</v>
      </c>
      <c r="C754" s="3229" t="s">
        <v>3157</v>
      </c>
      <c r="D754" s="3229" t="s">
        <v>3158</v>
      </c>
      <c r="E754" s="3257" t="s">
        <v>4899</v>
      </c>
      <c r="F754" s="3257">
        <v>46.91</v>
      </c>
      <c r="G754" s="3245">
        <f t="shared" si="13"/>
        <v>9.6300000000000008</v>
      </c>
    </row>
    <row r="755" spans="1:7">
      <c r="A755" s="3228">
        <v>752</v>
      </c>
      <c r="B755" s="3229" t="s">
        <v>3156</v>
      </c>
      <c r="C755" s="3229" t="s">
        <v>3157</v>
      </c>
      <c r="D755" s="3229" t="s">
        <v>3158</v>
      </c>
      <c r="E755" s="3257" t="s">
        <v>4900</v>
      </c>
      <c r="F755" s="3257">
        <v>46.91</v>
      </c>
      <c r="G755" s="3245">
        <f t="shared" si="13"/>
        <v>9.6300000000000008</v>
      </c>
    </row>
    <row r="756" spans="1:7">
      <c r="A756" s="3228">
        <v>753</v>
      </c>
      <c r="B756" s="3229" t="s">
        <v>3156</v>
      </c>
      <c r="C756" s="3229" t="s">
        <v>3157</v>
      </c>
      <c r="D756" s="3229" t="s">
        <v>3158</v>
      </c>
      <c r="E756" s="3257" t="s">
        <v>4901</v>
      </c>
      <c r="F756" s="3257">
        <v>46.91</v>
      </c>
      <c r="G756" s="3245">
        <f t="shared" si="13"/>
        <v>9.6300000000000008</v>
      </c>
    </row>
    <row r="757" spans="1:7">
      <c r="A757" s="3228">
        <v>754</v>
      </c>
      <c r="B757" s="3229" t="s">
        <v>3156</v>
      </c>
      <c r="C757" s="3229" t="s">
        <v>3157</v>
      </c>
      <c r="D757" s="3229" t="s">
        <v>3158</v>
      </c>
      <c r="E757" s="3257" t="s">
        <v>4902</v>
      </c>
      <c r="F757" s="3257">
        <v>48.78</v>
      </c>
      <c r="G757" s="3245">
        <f t="shared" si="13"/>
        <v>10.01</v>
      </c>
    </row>
    <row r="758" spans="1:7">
      <c r="A758" s="3228">
        <v>755</v>
      </c>
      <c r="B758" s="3229" t="s">
        <v>3156</v>
      </c>
      <c r="C758" s="3229" t="s">
        <v>3157</v>
      </c>
      <c r="D758" s="3229" t="s">
        <v>3158</v>
      </c>
      <c r="E758" s="3257" t="s">
        <v>4903</v>
      </c>
      <c r="F758" s="3257">
        <v>37.520000000000003</v>
      </c>
      <c r="G758" s="3245">
        <f t="shared" si="13"/>
        <v>7.7</v>
      </c>
    </row>
    <row r="759" spans="1:7">
      <c r="A759" s="3228">
        <v>756</v>
      </c>
      <c r="B759" s="3229" t="s">
        <v>3156</v>
      </c>
      <c r="C759" s="3229" t="s">
        <v>3157</v>
      </c>
      <c r="D759" s="3229" t="s">
        <v>3158</v>
      </c>
      <c r="E759" s="3257" t="s">
        <v>4904</v>
      </c>
      <c r="F759" s="3257">
        <v>37.520000000000003</v>
      </c>
      <c r="G759" s="3245">
        <f t="shared" si="13"/>
        <v>7.7</v>
      </c>
    </row>
    <row r="760" spans="1:7">
      <c r="A760" s="3228">
        <v>757</v>
      </c>
      <c r="B760" s="3229" t="s">
        <v>3156</v>
      </c>
      <c r="C760" s="3229" t="s">
        <v>3157</v>
      </c>
      <c r="D760" s="3229" t="s">
        <v>3158</v>
      </c>
      <c r="E760" s="3257" t="s">
        <v>4905</v>
      </c>
      <c r="F760" s="3257">
        <v>37.520000000000003</v>
      </c>
      <c r="G760" s="3245">
        <f t="shared" si="13"/>
        <v>7.7</v>
      </c>
    </row>
    <row r="761" spans="1:7">
      <c r="A761" s="3228">
        <v>758</v>
      </c>
      <c r="B761" s="3229" t="s">
        <v>3156</v>
      </c>
      <c r="C761" s="3229" t="s">
        <v>3157</v>
      </c>
      <c r="D761" s="3229" t="s">
        <v>3158</v>
      </c>
      <c r="E761" s="3257" t="s">
        <v>4906</v>
      </c>
      <c r="F761" s="3257">
        <v>37.520000000000003</v>
      </c>
      <c r="G761" s="3245">
        <f t="shared" si="13"/>
        <v>7.7</v>
      </c>
    </row>
    <row r="762" spans="1:7">
      <c r="A762" s="3228">
        <v>759</v>
      </c>
      <c r="B762" s="3229" t="s">
        <v>3156</v>
      </c>
      <c r="C762" s="3229" t="s">
        <v>3157</v>
      </c>
      <c r="D762" s="3229" t="s">
        <v>3158</v>
      </c>
      <c r="E762" s="3257" t="s">
        <v>4907</v>
      </c>
      <c r="F762" s="3257">
        <v>37.520000000000003</v>
      </c>
      <c r="G762" s="3245">
        <f t="shared" si="13"/>
        <v>7.7</v>
      </c>
    </row>
    <row r="763" spans="1:7">
      <c r="A763" s="3228">
        <v>760</v>
      </c>
      <c r="B763" s="3229" t="s">
        <v>3156</v>
      </c>
      <c r="C763" s="3229" t="s">
        <v>3157</v>
      </c>
      <c r="D763" s="3229" t="s">
        <v>3158</v>
      </c>
      <c r="E763" s="3257" t="s">
        <v>4908</v>
      </c>
      <c r="F763" s="3257">
        <v>37.520000000000003</v>
      </c>
      <c r="G763" s="3245">
        <f t="shared" si="13"/>
        <v>7.7</v>
      </c>
    </row>
    <row r="764" spans="1:7">
      <c r="A764" s="3228">
        <v>761</v>
      </c>
      <c r="B764" s="3229" t="s">
        <v>3156</v>
      </c>
      <c r="C764" s="3229" t="s">
        <v>3157</v>
      </c>
      <c r="D764" s="3229" t="s">
        <v>3158</v>
      </c>
      <c r="E764" s="3257" t="s">
        <v>4909</v>
      </c>
      <c r="F764" s="3257">
        <v>37.520000000000003</v>
      </c>
      <c r="G764" s="3245">
        <f t="shared" si="13"/>
        <v>7.7</v>
      </c>
    </row>
    <row r="765" spans="1:7">
      <c r="A765" s="3228">
        <v>762</v>
      </c>
      <c r="B765" s="3229" t="s">
        <v>3156</v>
      </c>
      <c r="C765" s="3229" t="s">
        <v>3157</v>
      </c>
      <c r="D765" s="3229" t="s">
        <v>3158</v>
      </c>
      <c r="E765" s="3257" t="s">
        <v>4910</v>
      </c>
      <c r="F765" s="3257">
        <v>37.520000000000003</v>
      </c>
      <c r="G765" s="3245">
        <f t="shared" si="13"/>
        <v>7.7</v>
      </c>
    </row>
    <row r="766" spans="1:7">
      <c r="A766" s="3228">
        <v>763</v>
      </c>
      <c r="B766" s="3229" t="s">
        <v>3156</v>
      </c>
      <c r="C766" s="3229" t="s">
        <v>3157</v>
      </c>
      <c r="D766" s="3229" t="s">
        <v>3158</v>
      </c>
      <c r="E766" s="3257" t="s">
        <v>4911</v>
      </c>
      <c r="F766" s="3257">
        <v>37.520000000000003</v>
      </c>
      <c r="G766" s="3245">
        <f t="shared" si="13"/>
        <v>7.7</v>
      </c>
    </row>
    <row r="767" spans="1:7">
      <c r="A767" s="3228">
        <v>764</v>
      </c>
      <c r="B767" s="3229" t="s">
        <v>3156</v>
      </c>
      <c r="C767" s="3229" t="s">
        <v>3157</v>
      </c>
      <c r="D767" s="3229" t="s">
        <v>3158</v>
      </c>
      <c r="E767" s="3257" t="s">
        <v>4912</v>
      </c>
      <c r="F767" s="3257">
        <v>37.520000000000003</v>
      </c>
      <c r="G767" s="3245">
        <f t="shared" si="13"/>
        <v>7.7</v>
      </c>
    </row>
    <row r="768" spans="1:7">
      <c r="A768" s="3228">
        <v>765</v>
      </c>
      <c r="B768" s="3229" t="s">
        <v>3156</v>
      </c>
      <c r="C768" s="3229" t="s">
        <v>3157</v>
      </c>
      <c r="D768" s="3229" t="s">
        <v>3158</v>
      </c>
      <c r="E768" s="3257" t="s">
        <v>4913</v>
      </c>
      <c r="F768" s="3257">
        <v>37.520000000000003</v>
      </c>
      <c r="G768" s="3245">
        <f t="shared" si="13"/>
        <v>7.7</v>
      </c>
    </row>
    <row r="769" spans="1:7">
      <c r="A769" s="3228">
        <v>766</v>
      </c>
      <c r="B769" s="3229" t="s">
        <v>3156</v>
      </c>
      <c r="C769" s="3229" t="s">
        <v>3157</v>
      </c>
      <c r="D769" s="3229" t="s">
        <v>3158</v>
      </c>
      <c r="E769" s="3257" t="s">
        <v>4914</v>
      </c>
      <c r="F769" s="3257">
        <v>39.090000000000003</v>
      </c>
      <c r="G769" s="3245">
        <f t="shared" si="13"/>
        <v>8.02</v>
      </c>
    </row>
    <row r="770" spans="1:7">
      <c r="A770" s="3228">
        <v>767</v>
      </c>
      <c r="B770" s="3229" t="s">
        <v>3156</v>
      </c>
      <c r="C770" s="3229" t="s">
        <v>3157</v>
      </c>
      <c r="D770" s="3229" t="s">
        <v>3158</v>
      </c>
      <c r="E770" s="3257" t="s">
        <v>4915</v>
      </c>
      <c r="F770" s="3257">
        <v>39.090000000000003</v>
      </c>
      <c r="G770" s="3245">
        <f t="shared" si="13"/>
        <v>8.02</v>
      </c>
    </row>
    <row r="771" spans="1:7">
      <c r="A771" s="3228">
        <v>768</v>
      </c>
      <c r="B771" s="3229" t="s">
        <v>3156</v>
      </c>
      <c r="C771" s="3229" t="s">
        <v>3157</v>
      </c>
      <c r="D771" s="3229" t="s">
        <v>3158</v>
      </c>
      <c r="E771" s="3257" t="s">
        <v>4916</v>
      </c>
      <c r="F771" s="3257">
        <v>39.090000000000003</v>
      </c>
      <c r="G771" s="3245">
        <f t="shared" si="13"/>
        <v>8.02</v>
      </c>
    </row>
    <row r="772" spans="1:7">
      <c r="A772" s="3228">
        <v>769</v>
      </c>
      <c r="B772" s="3229" t="s">
        <v>3156</v>
      </c>
      <c r="C772" s="3229" t="s">
        <v>3157</v>
      </c>
      <c r="D772" s="3229" t="s">
        <v>3158</v>
      </c>
      <c r="E772" s="3257" t="s">
        <v>4917</v>
      </c>
      <c r="F772" s="3257">
        <v>39.090000000000003</v>
      </c>
      <c r="G772" s="3245">
        <f t="shared" si="13"/>
        <v>8.02</v>
      </c>
    </row>
    <row r="773" spans="1:7">
      <c r="A773" s="3228">
        <v>770</v>
      </c>
      <c r="B773" s="3229" t="s">
        <v>3156</v>
      </c>
      <c r="C773" s="3229" t="s">
        <v>3157</v>
      </c>
      <c r="D773" s="3229" t="s">
        <v>3158</v>
      </c>
      <c r="E773" s="3257" t="s">
        <v>4918</v>
      </c>
      <c r="F773" s="3257">
        <v>39.090000000000003</v>
      </c>
      <c r="G773" s="3245">
        <f t="shared" si="13"/>
        <v>8.02</v>
      </c>
    </row>
    <row r="774" spans="1:7">
      <c r="A774" s="3228">
        <v>771</v>
      </c>
      <c r="B774" s="3229" t="s">
        <v>3156</v>
      </c>
      <c r="C774" s="3229" t="s">
        <v>3157</v>
      </c>
      <c r="D774" s="3229" t="s">
        <v>3158</v>
      </c>
      <c r="E774" s="3257" t="s">
        <v>4919</v>
      </c>
      <c r="F774" s="3257">
        <v>39.090000000000003</v>
      </c>
      <c r="G774" s="3245">
        <f t="shared" si="13"/>
        <v>8.02</v>
      </c>
    </row>
    <row r="775" spans="1:7">
      <c r="A775" s="3228">
        <v>772</v>
      </c>
      <c r="B775" s="3229" t="s">
        <v>3156</v>
      </c>
      <c r="C775" s="3229" t="s">
        <v>3157</v>
      </c>
      <c r="D775" s="3229" t="s">
        <v>3158</v>
      </c>
      <c r="E775" s="3257" t="s">
        <v>4920</v>
      </c>
      <c r="F775" s="3257">
        <v>39.090000000000003</v>
      </c>
      <c r="G775" s="3245">
        <f t="shared" si="13"/>
        <v>8.02</v>
      </c>
    </row>
    <row r="776" spans="1:7">
      <c r="A776" s="3228">
        <v>773</v>
      </c>
      <c r="B776" s="3229" t="s">
        <v>3156</v>
      </c>
      <c r="C776" s="3229" t="s">
        <v>3157</v>
      </c>
      <c r="D776" s="3229" t="s">
        <v>3158</v>
      </c>
      <c r="E776" s="3257" t="s">
        <v>4921</v>
      </c>
      <c r="F776" s="3257">
        <v>39.090000000000003</v>
      </c>
      <c r="G776" s="3245">
        <f t="shared" si="13"/>
        <v>8.02</v>
      </c>
    </row>
    <row r="777" spans="1:7">
      <c r="A777" s="3228">
        <v>774</v>
      </c>
      <c r="B777" s="3229" t="s">
        <v>3156</v>
      </c>
      <c r="C777" s="3229" t="s">
        <v>3157</v>
      </c>
      <c r="D777" s="3229" t="s">
        <v>3158</v>
      </c>
      <c r="E777" s="3257" t="s">
        <v>4922</v>
      </c>
      <c r="F777" s="3257">
        <v>39.090000000000003</v>
      </c>
      <c r="G777" s="3245">
        <f t="shared" si="13"/>
        <v>8.02</v>
      </c>
    </row>
    <row r="778" spans="1:7">
      <c r="A778" s="3228">
        <v>775</v>
      </c>
      <c r="B778" s="3229" t="s">
        <v>3156</v>
      </c>
      <c r="C778" s="3229" t="s">
        <v>3157</v>
      </c>
      <c r="D778" s="3229" t="s">
        <v>3158</v>
      </c>
      <c r="E778" s="3257" t="s">
        <v>4923</v>
      </c>
      <c r="F778" s="3257">
        <v>36.74</v>
      </c>
      <c r="G778" s="3245">
        <f t="shared" si="13"/>
        <v>7.54</v>
      </c>
    </row>
    <row r="779" spans="1:7">
      <c r="A779" s="3228">
        <v>776</v>
      </c>
      <c r="B779" s="3229" t="s">
        <v>3156</v>
      </c>
      <c r="C779" s="3229" t="s">
        <v>3157</v>
      </c>
      <c r="D779" s="3229" t="s">
        <v>3158</v>
      </c>
      <c r="E779" s="3257" t="s">
        <v>4924</v>
      </c>
      <c r="F779" s="3257">
        <v>36.74</v>
      </c>
      <c r="G779" s="3245">
        <f t="shared" si="13"/>
        <v>7.54</v>
      </c>
    </row>
    <row r="780" spans="1:7">
      <c r="A780" s="3228">
        <v>777</v>
      </c>
      <c r="B780" s="3229" t="s">
        <v>3156</v>
      </c>
      <c r="C780" s="3229" t="s">
        <v>3157</v>
      </c>
      <c r="D780" s="3229" t="s">
        <v>3158</v>
      </c>
      <c r="E780" s="3257" t="s">
        <v>4925</v>
      </c>
      <c r="F780" s="3257">
        <v>36.74</v>
      </c>
      <c r="G780" s="3245">
        <f t="shared" si="13"/>
        <v>7.54</v>
      </c>
    </row>
    <row r="781" spans="1:7">
      <c r="A781" s="3228">
        <v>778</v>
      </c>
      <c r="B781" s="3229" t="s">
        <v>3156</v>
      </c>
      <c r="C781" s="3229" t="s">
        <v>3157</v>
      </c>
      <c r="D781" s="3229" t="s">
        <v>3158</v>
      </c>
      <c r="E781" s="3257" t="s">
        <v>4926</v>
      </c>
      <c r="F781" s="3257">
        <v>36.74</v>
      </c>
      <c r="G781" s="3245">
        <f t="shared" si="13"/>
        <v>7.54</v>
      </c>
    </row>
    <row r="782" spans="1:7">
      <c r="A782" s="3228">
        <v>779</v>
      </c>
      <c r="B782" s="3229" t="s">
        <v>3156</v>
      </c>
      <c r="C782" s="3229" t="s">
        <v>3157</v>
      </c>
      <c r="D782" s="3229" t="s">
        <v>3158</v>
      </c>
      <c r="E782" s="3257" t="s">
        <v>4927</v>
      </c>
      <c r="F782" s="3257">
        <v>36.74</v>
      </c>
      <c r="G782" s="3245">
        <f t="shared" si="13"/>
        <v>7.54</v>
      </c>
    </row>
    <row r="783" spans="1:7">
      <c r="A783" s="3228">
        <v>780</v>
      </c>
      <c r="B783" s="3229" t="s">
        <v>3156</v>
      </c>
      <c r="C783" s="3229" t="s">
        <v>3157</v>
      </c>
      <c r="D783" s="3229" t="s">
        <v>3158</v>
      </c>
      <c r="E783" s="3257" t="s">
        <v>4928</v>
      </c>
      <c r="F783" s="3257">
        <v>36.74</v>
      </c>
      <c r="G783" s="3245">
        <f t="shared" si="13"/>
        <v>7.54</v>
      </c>
    </row>
    <row r="784" spans="1:7">
      <c r="A784" s="3228">
        <v>781</v>
      </c>
      <c r="B784" s="3229" t="s">
        <v>3156</v>
      </c>
      <c r="C784" s="3229" t="s">
        <v>3157</v>
      </c>
      <c r="D784" s="3229" t="s">
        <v>3158</v>
      </c>
      <c r="E784" s="3257" t="s">
        <v>4929</v>
      </c>
      <c r="F784" s="3257">
        <v>36.74</v>
      </c>
      <c r="G784" s="3245">
        <f t="shared" si="13"/>
        <v>7.54</v>
      </c>
    </row>
    <row r="785" spans="1:7">
      <c r="A785" s="3228">
        <v>782</v>
      </c>
      <c r="B785" s="3229" t="s">
        <v>3156</v>
      </c>
      <c r="C785" s="3229" t="s">
        <v>3157</v>
      </c>
      <c r="D785" s="3229" t="s">
        <v>3158</v>
      </c>
      <c r="E785" s="3257" t="s">
        <v>4930</v>
      </c>
      <c r="F785" s="3257">
        <v>36.74</v>
      </c>
      <c r="G785" s="3245">
        <f t="shared" si="13"/>
        <v>7.54</v>
      </c>
    </row>
    <row r="786" spans="1:7">
      <c r="A786" s="3228">
        <v>783</v>
      </c>
      <c r="B786" s="3229" t="s">
        <v>3156</v>
      </c>
      <c r="C786" s="3229" t="s">
        <v>3157</v>
      </c>
      <c r="D786" s="3229" t="s">
        <v>3158</v>
      </c>
      <c r="E786" s="3257" t="s">
        <v>4931</v>
      </c>
      <c r="F786" s="3257">
        <v>36.74</v>
      </c>
      <c r="G786" s="3245">
        <f t="shared" si="13"/>
        <v>7.54</v>
      </c>
    </row>
    <row r="787" spans="1:7">
      <c r="A787" s="3228">
        <v>784</v>
      </c>
      <c r="B787" s="3229" t="s">
        <v>3156</v>
      </c>
      <c r="C787" s="3229" t="s">
        <v>3157</v>
      </c>
      <c r="D787" s="3229" t="s">
        <v>3158</v>
      </c>
      <c r="E787" s="3257" t="s">
        <v>4932</v>
      </c>
      <c r="F787" s="3257">
        <v>39.090000000000003</v>
      </c>
      <c r="G787" s="3245">
        <f t="shared" si="13"/>
        <v>8.02</v>
      </c>
    </row>
    <row r="788" spans="1:7">
      <c r="A788" s="3228">
        <v>785</v>
      </c>
      <c r="B788" s="3229" t="s">
        <v>3156</v>
      </c>
      <c r="C788" s="3229" t="s">
        <v>3157</v>
      </c>
      <c r="D788" s="3229" t="s">
        <v>3158</v>
      </c>
      <c r="E788" s="3257" t="s">
        <v>4933</v>
      </c>
      <c r="F788" s="3257">
        <v>39.090000000000003</v>
      </c>
      <c r="G788" s="3245">
        <f t="shared" si="13"/>
        <v>8.02</v>
      </c>
    </row>
    <row r="789" spans="1:7">
      <c r="A789" s="3228">
        <v>786</v>
      </c>
      <c r="B789" s="3229" t="s">
        <v>3156</v>
      </c>
      <c r="C789" s="3229" t="s">
        <v>3157</v>
      </c>
      <c r="D789" s="3229" t="s">
        <v>3158</v>
      </c>
      <c r="E789" s="3257" t="s">
        <v>4934</v>
      </c>
      <c r="F789" s="3257">
        <v>39.090000000000003</v>
      </c>
      <c r="G789" s="3245">
        <f t="shared" si="13"/>
        <v>8.02</v>
      </c>
    </row>
    <row r="790" spans="1:7">
      <c r="A790" s="3228">
        <v>787</v>
      </c>
      <c r="B790" s="3229" t="s">
        <v>3156</v>
      </c>
      <c r="C790" s="3229" t="s">
        <v>3157</v>
      </c>
      <c r="D790" s="3229" t="s">
        <v>3158</v>
      </c>
      <c r="E790" s="3257" t="s">
        <v>4935</v>
      </c>
      <c r="F790" s="3257">
        <v>39.090000000000003</v>
      </c>
      <c r="G790" s="3245">
        <f t="shared" si="13"/>
        <v>8.02</v>
      </c>
    </row>
    <row r="791" spans="1:7">
      <c r="A791" s="3228">
        <v>788</v>
      </c>
      <c r="B791" s="3229" t="s">
        <v>3156</v>
      </c>
      <c r="C791" s="3229" t="s">
        <v>3157</v>
      </c>
      <c r="D791" s="3229" t="s">
        <v>3158</v>
      </c>
      <c r="E791" s="3257" t="s">
        <v>4936</v>
      </c>
      <c r="F791" s="3257">
        <v>39.090000000000003</v>
      </c>
      <c r="G791" s="3245">
        <f t="shared" si="13"/>
        <v>8.02</v>
      </c>
    </row>
    <row r="792" spans="1:7">
      <c r="A792" s="3228">
        <v>789</v>
      </c>
      <c r="B792" s="3229" t="s">
        <v>3156</v>
      </c>
      <c r="C792" s="3229" t="s">
        <v>3157</v>
      </c>
      <c r="D792" s="3229" t="s">
        <v>3158</v>
      </c>
      <c r="E792" s="3257" t="s">
        <v>4937</v>
      </c>
      <c r="F792" s="3257">
        <v>39.090000000000003</v>
      </c>
      <c r="G792" s="3245">
        <f t="shared" si="13"/>
        <v>8.02</v>
      </c>
    </row>
    <row r="793" spans="1:7">
      <c r="A793" s="3228">
        <v>790</v>
      </c>
      <c r="B793" s="3229" t="s">
        <v>3156</v>
      </c>
      <c r="C793" s="3229" t="s">
        <v>3157</v>
      </c>
      <c r="D793" s="3229" t="s">
        <v>3158</v>
      </c>
      <c r="E793" s="3257" t="s">
        <v>4938</v>
      </c>
      <c r="F793" s="3257">
        <v>39.090000000000003</v>
      </c>
      <c r="G793" s="3245">
        <f t="shared" si="13"/>
        <v>8.02</v>
      </c>
    </row>
    <row r="794" spans="1:7">
      <c r="A794" s="3228">
        <v>791</v>
      </c>
      <c r="B794" s="3229" t="s">
        <v>3156</v>
      </c>
      <c r="C794" s="3229" t="s">
        <v>3157</v>
      </c>
      <c r="D794" s="3229" t="s">
        <v>3158</v>
      </c>
      <c r="E794" s="3257" t="s">
        <v>4939</v>
      </c>
      <c r="F794" s="3257">
        <v>36.74</v>
      </c>
      <c r="G794" s="3245">
        <f t="shared" si="13"/>
        <v>7.54</v>
      </c>
    </row>
    <row r="795" spans="1:7">
      <c r="A795" s="3228">
        <v>792</v>
      </c>
      <c r="B795" s="3229" t="s">
        <v>3156</v>
      </c>
      <c r="C795" s="3229" t="s">
        <v>3157</v>
      </c>
      <c r="D795" s="3229" t="s">
        <v>3158</v>
      </c>
      <c r="E795" s="3257" t="s">
        <v>4940</v>
      </c>
      <c r="F795" s="3257">
        <v>36.74</v>
      </c>
      <c r="G795" s="3245">
        <f t="shared" si="13"/>
        <v>7.54</v>
      </c>
    </row>
    <row r="796" spans="1:7">
      <c r="A796" s="3228">
        <v>793</v>
      </c>
      <c r="B796" s="3229" t="s">
        <v>3156</v>
      </c>
      <c r="C796" s="3229" t="s">
        <v>3157</v>
      </c>
      <c r="D796" s="3229" t="s">
        <v>3158</v>
      </c>
      <c r="E796" s="3257" t="s">
        <v>4941</v>
      </c>
      <c r="F796" s="3257">
        <v>36.770000000000003</v>
      </c>
      <c r="G796" s="3245">
        <f t="shared" si="13"/>
        <v>7.55</v>
      </c>
    </row>
    <row r="797" spans="1:7">
      <c r="A797" s="3228">
        <v>794</v>
      </c>
      <c r="B797" s="3229" t="s">
        <v>3156</v>
      </c>
      <c r="C797" s="3229" t="s">
        <v>3157</v>
      </c>
      <c r="D797" s="3229" t="s">
        <v>3158</v>
      </c>
      <c r="E797" s="3257" t="s">
        <v>4942</v>
      </c>
      <c r="F797" s="3257">
        <v>36.770000000000003</v>
      </c>
      <c r="G797" s="3245">
        <f t="shared" si="13"/>
        <v>7.55</v>
      </c>
    </row>
    <row r="798" spans="1:7">
      <c r="A798" s="3228">
        <v>795</v>
      </c>
      <c r="B798" s="3229" t="s">
        <v>3156</v>
      </c>
      <c r="C798" s="3229" t="s">
        <v>3157</v>
      </c>
      <c r="D798" s="3229" t="s">
        <v>3158</v>
      </c>
      <c r="E798" s="3257" t="s">
        <v>4943</v>
      </c>
      <c r="F798" s="3257">
        <v>36.770000000000003</v>
      </c>
      <c r="G798" s="3245">
        <f t="shared" si="13"/>
        <v>7.55</v>
      </c>
    </row>
    <row r="799" spans="1:7">
      <c r="A799" s="3228">
        <v>796</v>
      </c>
      <c r="B799" s="3229" t="s">
        <v>3156</v>
      </c>
      <c r="C799" s="3229" t="s">
        <v>3157</v>
      </c>
      <c r="D799" s="3229" t="s">
        <v>3158</v>
      </c>
      <c r="E799" s="3257" t="s">
        <v>4944</v>
      </c>
      <c r="F799" s="3257">
        <v>40.65</v>
      </c>
      <c r="G799" s="3245">
        <f t="shared" si="13"/>
        <v>8.34</v>
      </c>
    </row>
    <row r="800" spans="1:7">
      <c r="A800" s="3228">
        <v>797</v>
      </c>
      <c r="B800" s="3229" t="s">
        <v>3156</v>
      </c>
      <c r="C800" s="3229" t="s">
        <v>3157</v>
      </c>
      <c r="D800" s="3229" t="s">
        <v>3158</v>
      </c>
      <c r="E800" s="3257" t="s">
        <v>4945</v>
      </c>
      <c r="F800" s="3257">
        <v>37.520000000000003</v>
      </c>
      <c r="G800" s="3245">
        <f t="shared" si="13"/>
        <v>7.7</v>
      </c>
    </row>
    <row r="801" spans="1:7">
      <c r="A801" s="3228">
        <v>798</v>
      </c>
      <c r="B801" s="3229" t="s">
        <v>3156</v>
      </c>
      <c r="C801" s="3229" t="s">
        <v>3157</v>
      </c>
      <c r="D801" s="3229" t="s">
        <v>3158</v>
      </c>
      <c r="E801" s="3257" t="s">
        <v>4946</v>
      </c>
      <c r="F801" s="3257">
        <v>37.520000000000003</v>
      </c>
      <c r="G801" s="3245">
        <f t="shared" si="13"/>
        <v>7.7</v>
      </c>
    </row>
    <row r="802" spans="1:7">
      <c r="A802" s="3228">
        <v>799</v>
      </c>
      <c r="B802" s="3229" t="s">
        <v>3156</v>
      </c>
      <c r="C802" s="3229" t="s">
        <v>3157</v>
      </c>
      <c r="D802" s="3229" t="s">
        <v>3158</v>
      </c>
      <c r="E802" s="3257" t="s">
        <v>4947</v>
      </c>
      <c r="F802" s="3257">
        <v>37.520000000000003</v>
      </c>
      <c r="G802" s="3245">
        <f t="shared" si="13"/>
        <v>7.7</v>
      </c>
    </row>
    <row r="803" spans="1:7">
      <c r="A803" s="3228">
        <v>800</v>
      </c>
      <c r="B803" s="3229" t="s">
        <v>3156</v>
      </c>
      <c r="C803" s="3229" t="s">
        <v>3157</v>
      </c>
      <c r="D803" s="3229" t="s">
        <v>3158</v>
      </c>
      <c r="E803" s="3257" t="s">
        <v>4948</v>
      </c>
      <c r="F803" s="3257">
        <v>37.520000000000003</v>
      </c>
      <c r="G803" s="3245">
        <f t="shared" si="13"/>
        <v>7.7</v>
      </c>
    </row>
    <row r="804" spans="1:7">
      <c r="A804" s="3228">
        <v>801</v>
      </c>
      <c r="B804" s="3229" t="s">
        <v>3156</v>
      </c>
      <c r="C804" s="3229" t="s">
        <v>3157</v>
      </c>
      <c r="D804" s="3229" t="s">
        <v>3158</v>
      </c>
      <c r="E804" s="3257" t="s">
        <v>4949</v>
      </c>
      <c r="F804" s="3257">
        <v>37.520000000000003</v>
      </c>
      <c r="G804" s="3245">
        <f t="shared" si="13"/>
        <v>7.7</v>
      </c>
    </row>
    <row r="805" spans="1:7">
      <c r="A805" s="3228">
        <v>802</v>
      </c>
      <c r="B805" s="3229" t="s">
        <v>3156</v>
      </c>
      <c r="C805" s="3229" t="s">
        <v>3157</v>
      </c>
      <c r="D805" s="3229" t="s">
        <v>3158</v>
      </c>
      <c r="E805" s="3257" t="s">
        <v>4950</v>
      </c>
      <c r="F805" s="3257">
        <v>37.520000000000003</v>
      </c>
      <c r="G805" s="3245">
        <f t="shared" si="13"/>
        <v>7.7</v>
      </c>
    </row>
    <row r="806" spans="1:7">
      <c r="A806" s="3228">
        <v>803</v>
      </c>
      <c r="B806" s="3229" t="s">
        <v>3156</v>
      </c>
      <c r="C806" s="3229" t="s">
        <v>3157</v>
      </c>
      <c r="D806" s="3229" t="s">
        <v>3158</v>
      </c>
      <c r="E806" s="3257" t="s">
        <v>4951</v>
      </c>
      <c r="F806" s="3257">
        <v>37.520000000000003</v>
      </c>
      <c r="G806" s="3245">
        <f t="shared" si="13"/>
        <v>7.7</v>
      </c>
    </row>
    <row r="807" spans="1:7">
      <c r="A807" s="3228">
        <v>804</v>
      </c>
      <c r="B807" s="3229" t="s">
        <v>3156</v>
      </c>
      <c r="C807" s="3229" t="s">
        <v>3157</v>
      </c>
      <c r="D807" s="3229" t="s">
        <v>3158</v>
      </c>
      <c r="E807" s="3257" t="s">
        <v>4952</v>
      </c>
      <c r="F807" s="3257">
        <v>37.520000000000003</v>
      </c>
      <c r="G807" s="3245">
        <f t="shared" si="13"/>
        <v>7.7</v>
      </c>
    </row>
    <row r="808" spans="1:7">
      <c r="A808" s="3228">
        <v>805</v>
      </c>
      <c r="B808" s="3229" t="s">
        <v>3156</v>
      </c>
      <c r="C808" s="3229" t="s">
        <v>3157</v>
      </c>
      <c r="D808" s="3229" t="s">
        <v>3158</v>
      </c>
      <c r="E808" s="3257" t="s">
        <v>4953</v>
      </c>
      <c r="F808" s="3257">
        <v>36.020000000000003</v>
      </c>
      <c r="G808" s="3245">
        <f t="shared" ref="G808:G871" si="14">ROUND(F808/$C$910*$D$910,2)</f>
        <v>7.39</v>
      </c>
    </row>
    <row r="809" spans="1:7">
      <c r="A809" s="3228">
        <v>806</v>
      </c>
      <c r="B809" s="3229" t="s">
        <v>3156</v>
      </c>
      <c r="C809" s="3229" t="s">
        <v>3157</v>
      </c>
      <c r="D809" s="3229" t="s">
        <v>3158</v>
      </c>
      <c r="E809" s="3257" t="s">
        <v>4954</v>
      </c>
      <c r="F809" s="3257">
        <v>36.020000000000003</v>
      </c>
      <c r="G809" s="3245">
        <f t="shared" si="14"/>
        <v>7.39</v>
      </c>
    </row>
    <row r="810" spans="1:7">
      <c r="A810" s="3228">
        <v>807</v>
      </c>
      <c r="B810" s="3229" t="s">
        <v>3156</v>
      </c>
      <c r="C810" s="3229" t="s">
        <v>3157</v>
      </c>
      <c r="D810" s="3229" t="s">
        <v>3158</v>
      </c>
      <c r="E810" s="3257" t="s">
        <v>4955</v>
      </c>
      <c r="F810" s="3257">
        <v>36.020000000000003</v>
      </c>
      <c r="G810" s="3245">
        <f t="shared" si="14"/>
        <v>7.39</v>
      </c>
    </row>
    <row r="811" spans="1:7">
      <c r="A811" s="3228">
        <v>808</v>
      </c>
      <c r="B811" s="3229" t="s">
        <v>3156</v>
      </c>
      <c r="C811" s="3229" t="s">
        <v>3157</v>
      </c>
      <c r="D811" s="3229" t="s">
        <v>3158</v>
      </c>
      <c r="E811" s="3257" t="s">
        <v>4956</v>
      </c>
      <c r="F811" s="3257">
        <v>36.020000000000003</v>
      </c>
      <c r="G811" s="3245">
        <f t="shared" si="14"/>
        <v>7.39</v>
      </c>
    </row>
    <row r="812" spans="1:7">
      <c r="A812" s="3228">
        <v>809</v>
      </c>
      <c r="B812" s="3229" t="s">
        <v>3156</v>
      </c>
      <c r="C812" s="3229" t="s">
        <v>3157</v>
      </c>
      <c r="D812" s="3229" t="s">
        <v>3158</v>
      </c>
      <c r="E812" s="3257" t="s">
        <v>4957</v>
      </c>
      <c r="F812" s="3257">
        <v>36.020000000000003</v>
      </c>
      <c r="G812" s="3245">
        <f t="shared" si="14"/>
        <v>7.39</v>
      </c>
    </row>
    <row r="813" spans="1:7">
      <c r="A813" s="3228">
        <v>810</v>
      </c>
      <c r="B813" s="3229" t="s">
        <v>3156</v>
      </c>
      <c r="C813" s="3229" t="s">
        <v>3157</v>
      </c>
      <c r="D813" s="3229" t="s">
        <v>3158</v>
      </c>
      <c r="E813" s="3257" t="s">
        <v>4958</v>
      </c>
      <c r="F813" s="3257">
        <v>36.020000000000003</v>
      </c>
      <c r="G813" s="3245">
        <f t="shared" si="14"/>
        <v>7.39</v>
      </c>
    </row>
    <row r="814" spans="1:7">
      <c r="A814" s="3228">
        <v>811</v>
      </c>
      <c r="B814" s="3229" t="s">
        <v>3156</v>
      </c>
      <c r="C814" s="3229" t="s">
        <v>3157</v>
      </c>
      <c r="D814" s="3229" t="s">
        <v>3158</v>
      </c>
      <c r="E814" s="3257" t="s">
        <v>4959</v>
      </c>
      <c r="F814" s="3257">
        <v>36.020000000000003</v>
      </c>
      <c r="G814" s="3245">
        <f t="shared" si="14"/>
        <v>7.39</v>
      </c>
    </row>
    <row r="815" spans="1:7">
      <c r="A815" s="3228">
        <v>812</v>
      </c>
      <c r="B815" s="3229" t="s">
        <v>3156</v>
      </c>
      <c r="C815" s="3229" t="s">
        <v>3157</v>
      </c>
      <c r="D815" s="3229" t="s">
        <v>3158</v>
      </c>
      <c r="E815" s="3257" t="s">
        <v>4960</v>
      </c>
      <c r="F815" s="3257">
        <v>39.090000000000003</v>
      </c>
      <c r="G815" s="3245">
        <f t="shared" si="14"/>
        <v>8.02</v>
      </c>
    </row>
    <row r="816" spans="1:7">
      <c r="A816" s="3228">
        <v>813</v>
      </c>
      <c r="B816" s="3229" t="s">
        <v>3156</v>
      </c>
      <c r="C816" s="3229" t="s">
        <v>3157</v>
      </c>
      <c r="D816" s="3229" t="s">
        <v>3158</v>
      </c>
      <c r="E816" s="3257" t="s">
        <v>4961</v>
      </c>
      <c r="F816" s="3257">
        <v>39.090000000000003</v>
      </c>
      <c r="G816" s="3245">
        <f t="shared" si="14"/>
        <v>8.02</v>
      </c>
    </row>
    <row r="817" spans="1:7">
      <c r="A817" s="3228">
        <v>814</v>
      </c>
      <c r="B817" s="3229" t="s">
        <v>3156</v>
      </c>
      <c r="C817" s="3229" t="s">
        <v>3157</v>
      </c>
      <c r="D817" s="3229" t="s">
        <v>3158</v>
      </c>
      <c r="E817" s="3257" t="s">
        <v>4962</v>
      </c>
      <c r="F817" s="3257">
        <v>39.090000000000003</v>
      </c>
      <c r="G817" s="3245">
        <f t="shared" si="14"/>
        <v>8.02</v>
      </c>
    </row>
    <row r="818" spans="1:7">
      <c r="A818" s="3228">
        <v>815</v>
      </c>
      <c r="B818" s="3229" t="s">
        <v>3156</v>
      </c>
      <c r="C818" s="3229" t="s">
        <v>3157</v>
      </c>
      <c r="D818" s="3229" t="s">
        <v>3158</v>
      </c>
      <c r="E818" s="3257" t="s">
        <v>4963</v>
      </c>
      <c r="F818" s="3257">
        <v>36.020000000000003</v>
      </c>
      <c r="G818" s="3245">
        <f t="shared" si="14"/>
        <v>7.39</v>
      </c>
    </row>
    <row r="819" spans="1:7">
      <c r="A819" s="3228">
        <v>816</v>
      </c>
      <c r="B819" s="3229" t="s">
        <v>3156</v>
      </c>
      <c r="C819" s="3229" t="s">
        <v>3157</v>
      </c>
      <c r="D819" s="3229" t="s">
        <v>3158</v>
      </c>
      <c r="E819" s="3257" t="s">
        <v>4964</v>
      </c>
      <c r="F819" s="3257">
        <v>36.020000000000003</v>
      </c>
      <c r="G819" s="3245">
        <f t="shared" si="14"/>
        <v>7.39</v>
      </c>
    </row>
    <row r="820" spans="1:7">
      <c r="A820" s="3228">
        <v>817</v>
      </c>
      <c r="B820" s="3229" t="s">
        <v>3156</v>
      </c>
      <c r="C820" s="3229" t="s">
        <v>3157</v>
      </c>
      <c r="D820" s="3229" t="s">
        <v>3158</v>
      </c>
      <c r="E820" s="3257" t="s">
        <v>4965</v>
      </c>
      <c r="F820" s="3257">
        <v>36.020000000000003</v>
      </c>
      <c r="G820" s="3245">
        <f t="shared" si="14"/>
        <v>7.39</v>
      </c>
    </row>
    <row r="821" spans="1:7">
      <c r="A821" s="3228">
        <v>818</v>
      </c>
      <c r="B821" s="3229" t="s">
        <v>3156</v>
      </c>
      <c r="C821" s="3229" t="s">
        <v>3157</v>
      </c>
      <c r="D821" s="3229" t="s">
        <v>3158</v>
      </c>
      <c r="E821" s="3257" t="s">
        <v>4966</v>
      </c>
      <c r="F821" s="3257">
        <v>39.090000000000003</v>
      </c>
      <c r="G821" s="3245">
        <f t="shared" si="14"/>
        <v>8.02</v>
      </c>
    </row>
    <row r="822" spans="1:7">
      <c r="A822" s="3228">
        <v>819</v>
      </c>
      <c r="B822" s="3229" t="s">
        <v>3156</v>
      </c>
      <c r="C822" s="3229" t="s">
        <v>3157</v>
      </c>
      <c r="D822" s="3229" t="s">
        <v>3158</v>
      </c>
      <c r="E822" s="3257" t="s">
        <v>4967</v>
      </c>
      <c r="F822" s="3257">
        <v>39.090000000000003</v>
      </c>
      <c r="G822" s="3245">
        <f t="shared" si="14"/>
        <v>8.02</v>
      </c>
    </row>
    <row r="823" spans="1:7">
      <c r="A823" s="3228">
        <v>820</v>
      </c>
      <c r="B823" s="3229" t="s">
        <v>3156</v>
      </c>
      <c r="C823" s="3229" t="s">
        <v>3157</v>
      </c>
      <c r="D823" s="3229" t="s">
        <v>3158</v>
      </c>
      <c r="E823" s="3257" t="s">
        <v>4968</v>
      </c>
      <c r="F823" s="3257">
        <v>39.090000000000003</v>
      </c>
      <c r="G823" s="3245">
        <f t="shared" si="14"/>
        <v>8.02</v>
      </c>
    </row>
    <row r="824" spans="1:7">
      <c r="A824" s="3228">
        <v>821</v>
      </c>
      <c r="B824" s="3229" t="s">
        <v>3156</v>
      </c>
      <c r="C824" s="3229" t="s">
        <v>3157</v>
      </c>
      <c r="D824" s="3229" t="s">
        <v>3158</v>
      </c>
      <c r="E824" s="3257" t="s">
        <v>4969</v>
      </c>
      <c r="F824" s="3257">
        <v>39.090000000000003</v>
      </c>
      <c r="G824" s="3245">
        <f t="shared" si="14"/>
        <v>8.02</v>
      </c>
    </row>
    <row r="825" spans="1:7">
      <c r="A825" s="3228">
        <v>822</v>
      </c>
      <c r="B825" s="3229" t="s">
        <v>3156</v>
      </c>
      <c r="C825" s="3229" t="s">
        <v>3157</v>
      </c>
      <c r="D825" s="3229" t="s">
        <v>3158</v>
      </c>
      <c r="E825" s="3257" t="s">
        <v>4970</v>
      </c>
      <c r="F825" s="3257">
        <v>39.090000000000003</v>
      </c>
      <c r="G825" s="3245">
        <f t="shared" si="14"/>
        <v>8.02</v>
      </c>
    </row>
    <row r="826" spans="1:7">
      <c r="A826" s="3228">
        <v>823</v>
      </c>
      <c r="B826" s="3229" t="s">
        <v>3156</v>
      </c>
      <c r="C826" s="3229" t="s">
        <v>3157</v>
      </c>
      <c r="D826" s="3229" t="s">
        <v>3158</v>
      </c>
      <c r="E826" s="3257" t="s">
        <v>4971</v>
      </c>
      <c r="F826" s="3257">
        <v>39.090000000000003</v>
      </c>
      <c r="G826" s="3245">
        <f t="shared" si="14"/>
        <v>8.02</v>
      </c>
    </row>
    <row r="827" spans="1:7">
      <c r="A827" s="3228">
        <v>824</v>
      </c>
      <c r="B827" s="3229" t="s">
        <v>3156</v>
      </c>
      <c r="C827" s="3229" t="s">
        <v>3157</v>
      </c>
      <c r="D827" s="3229" t="s">
        <v>3158</v>
      </c>
      <c r="E827" s="3257" t="s">
        <v>4972</v>
      </c>
      <c r="F827" s="3257">
        <v>36.74</v>
      </c>
      <c r="G827" s="3245">
        <f t="shared" si="14"/>
        <v>7.54</v>
      </c>
    </row>
    <row r="828" spans="1:7">
      <c r="A828" s="3228">
        <v>825</v>
      </c>
      <c r="B828" s="3229" t="s">
        <v>3156</v>
      </c>
      <c r="C828" s="3229" t="s">
        <v>3157</v>
      </c>
      <c r="D828" s="3229" t="s">
        <v>3158</v>
      </c>
      <c r="E828" s="3257" t="s">
        <v>4973</v>
      </c>
      <c r="F828" s="3257">
        <v>36.74</v>
      </c>
      <c r="G828" s="3245">
        <f t="shared" si="14"/>
        <v>7.54</v>
      </c>
    </row>
    <row r="829" spans="1:7">
      <c r="A829" s="3228">
        <v>826</v>
      </c>
      <c r="B829" s="3229" t="s">
        <v>3156</v>
      </c>
      <c r="C829" s="3229" t="s">
        <v>3157</v>
      </c>
      <c r="D829" s="3229" t="s">
        <v>3158</v>
      </c>
      <c r="E829" s="3257" t="s">
        <v>4974</v>
      </c>
      <c r="F829" s="3257">
        <v>36.74</v>
      </c>
      <c r="G829" s="3245">
        <f t="shared" si="14"/>
        <v>7.54</v>
      </c>
    </row>
    <row r="830" spans="1:7">
      <c r="A830" s="3228">
        <v>827</v>
      </c>
      <c r="B830" s="3229" t="s">
        <v>3156</v>
      </c>
      <c r="C830" s="3229" t="s">
        <v>3157</v>
      </c>
      <c r="D830" s="3229" t="s">
        <v>3158</v>
      </c>
      <c r="E830" s="3257" t="s">
        <v>4975</v>
      </c>
      <c r="F830" s="3257">
        <v>36.74</v>
      </c>
      <c r="G830" s="3245">
        <f t="shared" si="14"/>
        <v>7.54</v>
      </c>
    </row>
    <row r="831" spans="1:7">
      <c r="A831" s="3228">
        <v>828</v>
      </c>
      <c r="B831" s="3229" t="s">
        <v>3156</v>
      </c>
      <c r="C831" s="3229" t="s">
        <v>3157</v>
      </c>
      <c r="D831" s="3229" t="s">
        <v>3158</v>
      </c>
      <c r="E831" s="3257" t="s">
        <v>4976</v>
      </c>
      <c r="F831" s="3257">
        <v>36.74</v>
      </c>
      <c r="G831" s="3245">
        <f t="shared" si="14"/>
        <v>7.54</v>
      </c>
    </row>
    <row r="832" spans="1:7">
      <c r="A832" s="3228">
        <v>829</v>
      </c>
      <c r="B832" s="3229" t="s">
        <v>3156</v>
      </c>
      <c r="C832" s="3229" t="s">
        <v>3157</v>
      </c>
      <c r="D832" s="3229" t="s">
        <v>3158</v>
      </c>
      <c r="E832" s="3257" t="s">
        <v>4977</v>
      </c>
      <c r="F832" s="3257">
        <v>36.74</v>
      </c>
      <c r="G832" s="3245">
        <f t="shared" si="14"/>
        <v>7.54</v>
      </c>
    </row>
    <row r="833" spans="1:7">
      <c r="A833" s="3228">
        <v>830</v>
      </c>
      <c r="B833" s="3229" t="s">
        <v>3156</v>
      </c>
      <c r="C833" s="3229" t="s">
        <v>3157</v>
      </c>
      <c r="D833" s="3229" t="s">
        <v>3158</v>
      </c>
      <c r="E833" s="3257" t="s">
        <v>4978</v>
      </c>
      <c r="F833" s="3257">
        <v>39.090000000000003</v>
      </c>
      <c r="G833" s="3245">
        <f t="shared" si="14"/>
        <v>8.02</v>
      </c>
    </row>
    <row r="834" spans="1:7">
      <c r="A834" s="3228">
        <v>831</v>
      </c>
      <c r="B834" s="3229" t="s">
        <v>3156</v>
      </c>
      <c r="C834" s="3229" t="s">
        <v>3157</v>
      </c>
      <c r="D834" s="3229" t="s">
        <v>3158</v>
      </c>
      <c r="E834" s="3257" t="s">
        <v>4979</v>
      </c>
      <c r="F834" s="3257">
        <v>39.090000000000003</v>
      </c>
      <c r="G834" s="3245">
        <f t="shared" si="14"/>
        <v>8.02</v>
      </c>
    </row>
    <row r="835" spans="1:7">
      <c r="A835" s="3228">
        <v>832</v>
      </c>
      <c r="B835" s="3229" t="s">
        <v>3156</v>
      </c>
      <c r="C835" s="3229" t="s">
        <v>3157</v>
      </c>
      <c r="D835" s="3229" t="s">
        <v>3158</v>
      </c>
      <c r="E835" s="3257" t="s">
        <v>4980</v>
      </c>
      <c r="F835" s="3257">
        <v>39.090000000000003</v>
      </c>
      <c r="G835" s="3245">
        <f t="shared" si="14"/>
        <v>8.02</v>
      </c>
    </row>
    <row r="836" spans="1:7">
      <c r="A836" s="3228">
        <v>833</v>
      </c>
      <c r="B836" s="3229" t="s">
        <v>3156</v>
      </c>
      <c r="C836" s="3229" t="s">
        <v>3157</v>
      </c>
      <c r="D836" s="3229" t="s">
        <v>3158</v>
      </c>
      <c r="E836" s="3257" t="s">
        <v>4981</v>
      </c>
      <c r="F836" s="3257">
        <v>39.090000000000003</v>
      </c>
      <c r="G836" s="3245">
        <f t="shared" si="14"/>
        <v>8.02</v>
      </c>
    </row>
    <row r="837" spans="1:7">
      <c r="A837" s="3228">
        <v>834</v>
      </c>
      <c r="B837" s="3229" t="s">
        <v>3156</v>
      </c>
      <c r="C837" s="3229" t="s">
        <v>3157</v>
      </c>
      <c r="D837" s="3229" t="s">
        <v>3158</v>
      </c>
      <c r="E837" s="3257" t="s">
        <v>4982</v>
      </c>
      <c r="F837" s="3257">
        <v>39.090000000000003</v>
      </c>
      <c r="G837" s="3245">
        <f t="shared" si="14"/>
        <v>8.02</v>
      </c>
    </row>
    <row r="838" spans="1:7">
      <c r="A838" s="3228">
        <v>835</v>
      </c>
      <c r="B838" s="3229" t="s">
        <v>3156</v>
      </c>
      <c r="C838" s="3229" t="s">
        <v>3157</v>
      </c>
      <c r="D838" s="3229" t="s">
        <v>3158</v>
      </c>
      <c r="E838" s="3257" t="s">
        <v>4983</v>
      </c>
      <c r="F838" s="3257">
        <v>39.090000000000003</v>
      </c>
      <c r="G838" s="3245">
        <f t="shared" si="14"/>
        <v>8.02</v>
      </c>
    </row>
    <row r="839" spans="1:7">
      <c r="A839" s="3228">
        <v>836</v>
      </c>
      <c r="B839" s="3229" t="s">
        <v>3156</v>
      </c>
      <c r="C839" s="3229" t="s">
        <v>3157</v>
      </c>
      <c r="D839" s="3229" t="s">
        <v>3158</v>
      </c>
      <c r="E839" s="3257" t="s">
        <v>4984</v>
      </c>
      <c r="F839" s="3257">
        <v>39.090000000000003</v>
      </c>
      <c r="G839" s="3245">
        <f t="shared" si="14"/>
        <v>8.02</v>
      </c>
    </row>
    <row r="840" spans="1:7">
      <c r="A840" s="3228">
        <v>837</v>
      </c>
      <c r="B840" s="3229" t="s">
        <v>3156</v>
      </c>
      <c r="C840" s="3229" t="s">
        <v>3157</v>
      </c>
      <c r="D840" s="3229" t="s">
        <v>3158</v>
      </c>
      <c r="E840" s="3257" t="s">
        <v>4985</v>
      </c>
      <c r="F840" s="3257">
        <v>39.090000000000003</v>
      </c>
      <c r="G840" s="3245">
        <f t="shared" si="14"/>
        <v>8.02</v>
      </c>
    </row>
    <row r="841" spans="1:7">
      <c r="A841" s="3228">
        <v>838</v>
      </c>
      <c r="B841" s="3229" t="s">
        <v>3156</v>
      </c>
      <c r="C841" s="3229" t="s">
        <v>3157</v>
      </c>
      <c r="D841" s="3229" t="s">
        <v>3158</v>
      </c>
      <c r="E841" s="3257" t="s">
        <v>4986</v>
      </c>
      <c r="F841" s="3257">
        <v>39.090000000000003</v>
      </c>
      <c r="G841" s="3245">
        <f t="shared" si="14"/>
        <v>8.02</v>
      </c>
    </row>
    <row r="842" spans="1:7">
      <c r="A842" s="3228">
        <v>839</v>
      </c>
      <c r="B842" s="3229" t="s">
        <v>3156</v>
      </c>
      <c r="C842" s="3229" t="s">
        <v>3157</v>
      </c>
      <c r="D842" s="3229" t="s">
        <v>3158</v>
      </c>
      <c r="E842" s="3257" t="s">
        <v>4987</v>
      </c>
      <c r="F842" s="3257">
        <v>39.090000000000003</v>
      </c>
      <c r="G842" s="3245">
        <f t="shared" si="14"/>
        <v>8.02</v>
      </c>
    </row>
    <row r="843" spans="1:7">
      <c r="A843" s="3228">
        <v>840</v>
      </c>
      <c r="B843" s="3229" t="s">
        <v>3156</v>
      </c>
      <c r="C843" s="3229" t="s">
        <v>3157</v>
      </c>
      <c r="D843" s="3229" t="s">
        <v>3158</v>
      </c>
      <c r="E843" s="3257" t="s">
        <v>4988</v>
      </c>
      <c r="F843" s="3257">
        <v>39.090000000000003</v>
      </c>
      <c r="G843" s="3245">
        <f t="shared" si="14"/>
        <v>8.02</v>
      </c>
    </row>
    <row r="844" spans="1:7">
      <c r="A844" s="3228">
        <v>841</v>
      </c>
      <c r="B844" s="3229" t="s">
        <v>3156</v>
      </c>
      <c r="C844" s="3229" t="s">
        <v>3157</v>
      </c>
      <c r="D844" s="3229" t="s">
        <v>3158</v>
      </c>
      <c r="E844" s="3257" t="s">
        <v>4989</v>
      </c>
      <c r="F844" s="3257">
        <v>39.090000000000003</v>
      </c>
      <c r="G844" s="3245">
        <f t="shared" si="14"/>
        <v>8.02</v>
      </c>
    </row>
    <row r="845" spans="1:7">
      <c r="A845" s="3228">
        <v>842</v>
      </c>
      <c r="B845" s="3229" t="s">
        <v>3156</v>
      </c>
      <c r="C845" s="3229" t="s">
        <v>3157</v>
      </c>
      <c r="D845" s="3229" t="s">
        <v>3158</v>
      </c>
      <c r="E845" s="3257" t="s">
        <v>4990</v>
      </c>
      <c r="F845" s="3257">
        <v>36.74</v>
      </c>
      <c r="G845" s="3245">
        <f t="shared" si="14"/>
        <v>7.54</v>
      </c>
    </row>
    <row r="846" spans="1:7">
      <c r="A846" s="3228">
        <v>843</v>
      </c>
      <c r="B846" s="3229" t="s">
        <v>3156</v>
      </c>
      <c r="C846" s="3229" t="s">
        <v>3157</v>
      </c>
      <c r="D846" s="3229" t="s">
        <v>3158</v>
      </c>
      <c r="E846" s="3257" t="s">
        <v>4991</v>
      </c>
      <c r="F846" s="3257">
        <v>36.74</v>
      </c>
      <c r="G846" s="3245">
        <f t="shared" si="14"/>
        <v>7.54</v>
      </c>
    </row>
    <row r="847" spans="1:7">
      <c r="A847" s="3228">
        <v>844</v>
      </c>
      <c r="B847" s="3229" t="s">
        <v>3156</v>
      </c>
      <c r="C847" s="3229" t="s">
        <v>3157</v>
      </c>
      <c r="D847" s="3229" t="s">
        <v>3158</v>
      </c>
      <c r="E847" s="3257" t="s">
        <v>4992</v>
      </c>
      <c r="F847" s="3257">
        <v>36.74</v>
      </c>
      <c r="G847" s="3245">
        <f t="shared" si="14"/>
        <v>7.54</v>
      </c>
    </row>
    <row r="848" spans="1:7">
      <c r="A848" s="3228">
        <v>845</v>
      </c>
      <c r="B848" s="3229" t="s">
        <v>3156</v>
      </c>
      <c r="C848" s="3229" t="s">
        <v>3157</v>
      </c>
      <c r="D848" s="3229" t="s">
        <v>3158</v>
      </c>
      <c r="E848" s="3257" t="s">
        <v>4993</v>
      </c>
      <c r="F848" s="3257">
        <v>36.74</v>
      </c>
      <c r="G848" s="3245">
        <f t="shared" si="14"/>
        <v>7.54</v>
      </c>
    </row>
    <row r="849" spans="1:7">
      <c r="A849" s="3228">
        <v>846</v>
      </c>
      <c r="B849" s="3229" t="s">
        <v>3156</v>
      </c>
      <c r="C849" s="3229" t="s">
        <v>3157</v>
      </c>
      <c r="D849" s="3229" t="s">
        <v>3158</v>
      </c>
      <c r="E849" s="3257" t="s">
        <v>4994</v>
      </c>
      <c r="F849" s="3257">
        <v>36.74</v>
      </c>
      <c r="G849" s="3245">
        <f t="shared" si="14"/>
        <v>7.54</v>
      </c>
    </row>
    <row r="850" spans="1:7">
      <c r="A850" s="3228">
        <v>847</v>
      </c>
      <c r="B850" s="3229" t="s">
        <v>3156</v>
      </c>
      <c r="C850" s="3229" t="s">
        <v>3157</v>
      </c>
      <c r="D850" s="3229" t="s">
        <v>3158</v>
      </c>
      <c r="E850" s="3257" t="s">
        <v>4995</v>
      </c>
      <c r="F850" s="3257">
        <v>36.74</v>
      </c>
      <c r="G850" s="3245">
        <f t="shared" si="14"/>
        <v>7.54</v>
      </c>
    </row>
    <row r="851" spans="1:7">
      <c r="A851" s="3228">
        <v>848</v>
      </c>
      <c r="B851" s="3229" t="s">
        <v>3156</v>
      </c>
      <c r="C851" s="3229" t="s">
        <v>3157</v>
      </c>
      <c r="D851" s="3229" t="s">
        <v>3158</v>
      </c>
      <c r="E851" s="3257" t="s">
        <v>4996</v>
      </c>
      <c r="F851" s="3257">
        <v>36.74</v>
      </c>
      <c r="G851" s="3245">
        <f t="shared" si="14"/>
        <v>7.54</v>
      </c>
    </row>
    <row r="852" spans="1:7">
      <c r="A852" s="3228">
        <v>849</v>
      </c>
      <c r="B852" s="3229" t="s">
        <v>3156</v>
      </c>
      <c r="C852" s="3229" t="s">
        <v>3157</v>
      </c>
      <c r="D852" s="3229" t="s">
        <v>3158</v>
      </c>
      <c r="E852" s="3257" t="s">
        <v>4997</v>
      </c>
      <c r="F852" s="3257">
        <v>36.74</v>
      </c>
      <c r="G852" s="3245">
        <f t="shared" si="14"/>
        <v>7.54</v>
      </c>
    </row>
    <row r="853" spans="1:7">
      <c r="A853" s="3228">
        <v>850</v>
      </c>
      <c r="B853" s="3229" t="s">
        <v>3156</v>
      </c>
      <c r="C853" s="3229" t="s">
        <v>3157</v>
      </c>
      <c r="D853" s="3229" t="s">
        <v>3158</v>
      </c>
      <c r="E853" s="3257" t="s">
        <v>4998</v>
      </c>
      <c r="F853" s="3257">
        <v>39.090000000000003</v>
      </c>
      <c r="G853" s="3245">
        <f t="shared" si="14"/>
        <v>8.02</v>
      </c>
    </row>
    <row r="854" spans="1:7">
      <c r="A854" s="3228">
        <v>851</v>
      </c>
      <c r="B854" s="3229" t="s">
        <v>3156</v>
      </c>
      <c r="C854" s="3229" t="s">
        <v>3157</v>
      </c>
      <c r="D854" s="3229" t="s">
        <v>3158</v>
      </c>
      <c r="E854" s="3257" t="s">
        <v>4999</v>
      </c>
      <c r="F854" s="3257">
        <v>39.090000000000003</v>
      </c>
      <c r="G854" s="3245">
        <f t="shared" si="14"/>
        <v>8.02</v>
      </c>
    </row>
    <row r="855" spans="1:7">
      <c r="A855" s="3228">
        <v>852</v>
      </c>
      <c r="B855" s="3229" t="s">
        <v>3156</v>
      </c>
      <c r="C855" s="3229" t="s">
        <v>3157</v>
      </c>
      <c r="D855" s="3229" t="s">
        <v>3158</v>
      </c>
      <c r="E855" s="3257" t="s">
        <v>5000</v>
      </c>
      <c r="F855" s="3257">
        <v>39.090000000000003</v>
      </c>
      <c r="G855" s="3245">
        <f t="shared" si="14"/>
        <v>8.02</v>
      </c>
    </row>
    <row r="856" spans="1:7">
      <c r="A856" s="3228">
        <v>853</v>
      </c>
      <c r="B856" s="3229" t="s">
        <v>3156</v>
      </c>
      <c r="C856" s="3229" t="s">
        <v>3157</v>
      </c>
      <c r="D856" s="3229" t="s">
        <v>3158</v>
      </c>
      <c r="E856" s="3257" t="s">
        <v>5001</v>
      </c>
      <c r="F856" s="3257">
        <v>39.090000000000003</v>
      </c>
      <c r="G856" s="3245">
        <f t="shared" si="14"/>
        <v>8.02</v>
      </c>
    </row>
    <row r="857" spans="1:7">
      <c r="A857" s="3228">
        <v>854</v>
      </c>
      <c r="B857" s="3229" t="s">
        <v>3156</v>
      </c>
      <c r="C857" s="3229" t="s">
        <v>3157</v>
      </c>
      <c r="D857" s="3229" t="s">
        <v>3158</v>
      </c>
      <c r="E857" s="3257" t="s">
        <v>5002</v>
      </c>
      <c r="F857" s="3257">
        <v>39.090000000000003</v>
      </c>
      <c r="G857" s="3245">
        <f t="shared" si="14"/>
        <v>8.02</v>
      </c>
    </row>
    <row r="858" spans="1:7">
      <c r="A858" s="3228">
        <v>855</v>
      </c>
      <c r="B858" s="3229" t="s">
        <v>3156</v>
      </c>
      <c r="C858" s="3229" t="s">
        <v>3157</v>
      </c>
      <c r="D858" s="3229" t="s">
        <v>3158</v>
      </c>
      <c r="E858" s="3257" t="s">
        <v>5003</v>
      </c>
      <c r="F858" s="3257">
        <v>32.83</v>
      </c>
      <c r="G858" s="3245">
        <f t="shared" si="14"/>
        <v>6.74</v>
      </c>
    </row>
    <row r="859" spans="1:7">
      <c r="A859" s="3228">
        <v>856</v>
      </c>
      <c r="B859" s="3229" t="s">
        <v>3156</v>
      </c>
      <c r="C859" s="3229" t="s">
        <v>3157</v>
      </c>
      <c r="D859" s="3229" t="s">
        <v>3158</v>
      </c>
      <c r="E859" s="3257" t="s">
        <v>5004</v>
      </c>
      <c r="F859" s="3257">
        <v>39.090000000000003</v>
      </c>
      <c r="G859" s="3245">
        <f t="shared" si="14"/>
        <v>8.02</v>
      </c>
    </row>
    <row r="860" spans="1:7">
      <c r="A860" s="3228">
        <v>857</v>
      </c>
      <c r="B860" s="3229" t="s">
        <v>3156</v>
      </c>
      <c r="C860" s="3229" t="s">
        <v>3157</v>
      </c>
      <c r="D860" s="3229" t="s">
        <v>3158</v>
      </c>
      <c r="E860" s="3257" t="s">
        <v>5005</v>
      </c>
      <c r="F860" s="3257">
        <v>37.520000000000003</v>
      </c>
      <c r="G860" s="3245">
        <f t="shared" si="14"/>
        <v>7.7</v>
      </c>
    </row>
    <row r="861" spans="1:7">
      <c r="A861" s="3228">
        <v>858</v>
      </c>
      <c r="B861" s="3229" t="s">
        <v>3156</v>
      </c>
      <c r="C861" s="3229" t="s">
        <v>3157</v>
      </c>
      <c r="D861" s="3229" t="s">
        <v>3158</v>
      </c>
      <c r="E861" s="3257" t="s">
        <v>5006</v>
      </c>
      <c r="F861" s="3257">
        <v>37.520000000000003</v>
      </c>
      <c r="G861" s="3245">
        <f t="shared" si="14"/>
        <v>7.7</v>
      </c>
    </row>
    <row r="862" spans="1:7">
      <c r="A862" s="3228">
        <v>859</v>
      </c>
      <c r="B862" s="3229" t="s">
        <v>3156</v>
      </c>
      <c r="C862" s="3229" t="s">
        <v>3157</v>
      </c>
      <c r="D862" s="3229" t="s">
        <v>3158</v>
      </c>
      <c r="E862" s="3257" t="s">
        <v>5007</v>
      </c>
      <c r="F862" s="3257">
        <v>37.520000000000003</v>
      </c>
      <c r="G862" s="3245">
        <f t="shared" si="14"/>
        <v>7.7</v>
      </c>
    </row>
    <row r="863" spans="1:7">
      <c r="A863" s="3228">
        <v>860</v>
      </c>
      <c r="B863" s="3229" t="s">
        <v>3156</v>
      </c>
      <c r="C863" s="3229" t="s">
        <v>3157</v>
      </c>
      <c r="D863" s="3229" t="s">
        <v>3158</v>
      </c>
      <c r="E863" s="3257" t="s">
        <v>5008</v>
      </c>
      <c r="F863" s="3257">
        <v>37.520000000000003</v>
      </c>
      <c r="G863" s="3245">
        <f t="shared" si="14"/>
        <v>7.7</v>
      </c>
    </row>
    <row r="864" spans="1:7">
      <c r="A864" s="3228">
        <v>861</v>
      </c>
      <c r="B864" s="3229" t="s">
        <v>3156</v>
      </c>
      <c r="C864" s="3229" t="s">
        <v>3157</v>
      </c>
      <c r="D864" s="3229" t="s">
        <v>3158</v>
      </c>
      <c r="E864" s="3257" t="s">
        <v>5009</v>
      </c>
      <c r="F864" s="3257">
        <v>37.520000000000003</v>
      </c>
      <c r="G864" s="3245">
        <f t="shared" si="14"/>
        <v>7.7</v>
      </c>
    </row>
    <row r="865" spans="1:7">
      <c r="A865" s="3228">
        <v>862</v>
      </c>
      <c r="B865" s="3229" t="s">
        <v>3156</v>
      </c>
      <c r="C865" s="3229" t="s">
        <v>3157</v>
      </c>
      <c r="D865" s="3229" t="s">
        <v>3158</v>
      </c>
      <c r="E865" s="3257" t="s">
        <v>5010</v>
      </c>
      <c r="F865" s="3257">
        <v>37.520000000000003</v>
      </c>
      <c r="G865" s="3245">
        <f t="shared" si="14"/>
        <v>7.7</v>
      </c>
    </row>
    <row r="866" spans="1:7">
      <c r="A866" s="3228">
        <v>863</v>
      </c>
      <c r="B866" s="3229" t="s">
        <v>3156</v>
      </c>
      <c r="C866" s="3229" t="s">
        <v>3157</v>
      </c>
      <c r="D866" s="3229" t="s">
        <v>3158</v>
      </c>
      <c r="E866" s="3257" t="s">
        <v>5011</v>
      </c>
      <c r="F866" s="3257">
        <v>32.270000000000003</v>
      </c>
      <c r="G866" s="3245">
        <f t="shared" si="14"/>
        <v>6.62</v>
      </c>
    </row>
    <row r="867" spans="1:7">
      <c r="A867" s="3228">
        <v>864</v>
      </c>
      <c r="B867" s="3229" t="s">
        <v>3156</v>
      </c>
      <c r="C867" s="3229" t="s">
        <v>3157</v>
      </c>
      <c r="D867" s="3229" t="s">
        <v>3158</v>
      </c>
      <c r="E867" s="3257" t="s">
        <v>5012</v>
      </c>
      <c r="F867" s="3257">
        <v>32.270000000000003</v>
      </c>
      <c r="G867" s="3245">
        <f t="shared" si="14"/>
        <v>6.62</v>
      </c>
    </row>
    <row r="868" spans="1:7">
      <c r="A868" s="3228">
        <v>865</v>
      </c>
      <c r="B868" s="3229" t="s">
        <v>3156</v>
      </c>
      <c r="C868" s="3229" t="s">
        <v>3157</v>
      </c>
      <c r="D868" s="3229" t="s">
        <v>3158</v>
      </c>
      <c r="E868" s="3257" t="s">
        <v>5013</v>
      </c>
      <c r="F868" s="3257">
        <v>32.270000000000003</v>
      </c>
      <c r="G868" s="3245">
        <f t="shared" si="14"/>
        <v>6.62</v>
      </c>
    </row>
    <row r="869" spans="1:7">
      <c r="A869" s="3228">
        <v>866</v>
      </c>
      <c r="B869" s="3229" t="s">
        <v>3156</v>
      </c>
      <c r="C869" s="3229" t="s">
        <v>3157</v>
      </c>
      <c r="D869" s="3229" t="s">
        <v>3158</v>
      </c>
      <c r="E869" s="3257" t="s">
        <v>5014</v>
      </c>
      <c r="F869" s="3257">
        <v>39.090000000000003</v>
      </c>
      <c r="G869" s="3245">
        <f t="shared" si="14"/>
        <v>8.02</v>
      </c>
    </row>
    <row r="870" spans="1:7">
      <c r="A870" s="3228">
        <v>867</v>
      </c>
      <c r="B870" s="3229" t="s">
        <v>3156</v>
      </c>
      <c r="C870" s="3229" t="s">
        <v>3157</v>
      </c>
      <c r="D870" s="3229" t="s">
        <v>3158</v>
      </c>
      <c r="E870" s="3257" t="s">
        <v>5015</v>
      </c>
      <c r="F870" s="3257">
        <v>38.31</v>
      </c>
      <c r="G870" s="3245">
        <f t="shared" si="14"/>
        <v>7.86</v>
      </c>
    </row>
    <row r="871" spans="1:7">
      <c r="A871" s="3228">
        <v>868</v>
      </c>
      <c r="B871" s="3229" t="s">
        <v>3156</v>
      </c>
      <c r="C871" s="3229" t="s">
        <v>3157</v>
      </c>
      <c r="D871" s="3229" t="s">
        <v>3158</v>
      </c>
      <c r="E871" s="3257" t="s">
        <v>5016</v>
      </c>
      <c r="F871" s="3257">
        <v>39.090000000000003</v>
      </c>
      <c r="G871" s="3245">
        <f t="shared" si="14"/>
        <v>8.02</v>
      </c>
    </row>
    <row r="872" spans="1:7">
      <c r="A872" s="3228">
        <v>869</v>
      </c>
      <c r="B872" s="3229" t="s">
        <v>3156</v>
      </c>
      <c r="C872" s="3229" t="s">
        <v>3157</v>
      </c>
      <c r="D872" s="3229" t="s">
        <v>3158</v>
      </c>
      <c r="E872" s="3257" t="s">
        <v>5017</v>
      </c>
      <c r="F872" s="3257">
        <v>39.090000000000003</v>
      </c>
      <c r="G872" s="3245">
        <f t="shared" ref="G872:G903" si="15">ROUND(F872/$C$910*$D$910,2)</f>
        <v>8.02</v>
      </c>
    </row>
    <row r="873" spans="1:7">
      <c r="A873" s="3228">
        <v>870</v>
      </c>
      <c r="B873" s="3229" t="s">
        <v>3156</v>
      </c>
      <c r="C873" s="3229" t="s">
        <v>3157</v>
      </c>
      <c r="D873" s="3229" t="s">
        <v>3158</v>
      </c>
      <c r="E873" s="3257" t="s">
        <v>5018</v>
      </c>
      <c r="F873" s="3257">
        <v>36.74</v>
      </c>
      <c r="G873" s="3245">
        <f t="shared" si="15"/>
        <v>7.54</v>
      </c>
    </row>
    <row r="874" spans="1:7">
      <c r="A874" s="3228">
        <v>871</v>
      </c>
      <c r="B874" s="3229" t="s">
        <v>3156</v>
      </c>
      <c r="C874" s="3229" t="s">
        <v>3157</v>
      </c>
      <c r="D874" s="3229" t="s">
        <v>3158</v>
      </c>
      <c r="E874" s="3257" t="s">
        <v>5019</v>
      </c>
      <c r="F874" s="3257">
        <v>36.74</v>
      </c>
      <c r="G874" s="3245">
        <f t="shared" si="15"/>
        <v>7.54</v>
      </c>
    </row>
    <row r="875" spans="1:7">
      <c r="A875" s="3228">
        <v>872</v>
      </c>
      <c r="B875" s="3229" t="s">
        <v>3156</v>
      </c>
      <c r="C875" s="3229" t="s">
        <v>3157</v>
      </c>
      <c r="D875" s="3229" t="s">
        <v>3158</v>
      </c>
      <c r="E875" s="3257" t="s">
        <v>5020</v>
      </c>
      <c r="F875" s="3257">
        <v>36.74</v>
      </c>
      <c r="G875" s="3245">
        <f t="shared" si="15"/>
        <v>7.54</v>
      </c>
    </row>
    <row r="876" spans="1:7">
      <c r="A876" s="3228">
        <v>873</v>
      </c>
      <c r="B876" s="3229" t="s">
        <v>3156</v>
      </c>
      <c r="C876" s="3229" t="s">
        <v>3157</v>
      </c>
      <c r="D876" s="3229" t="s">
        <v>3158</v>
      </c>
      <c r="E876" s="3257" t="s">
        <v>5021</v>
      </c>
      <c r="F876" s="3257">
        <v>36.74</v>
      </c>
      <c r="G876" s="3245">
        <f t="shared" si="15"/>
        <v>7.54</v>
      </c>
    </row>
    <row r="877" spans="1:7">
      <c r="A877" s="3228">
        <v>874</v>
      </c>
      <c r="B877" s="3229" t="s">
        <v>3156</v>
      </c>
      <c r="C877" s="3229" t="s">
        <v>3157</v>
      </c>
      <c r="D877" s="3229" t="s">
        <v>3158</v>
      </c>
      <c r="E877" s="3257" t="s">
        <v>5022</v>
      </c>
      <c r="F877" s="3257">
        <v>39.090000000000003</v>
      </c>
      <c r="G877" s="3245">
        <f t="shared" si="15"/>
        <v>8.02</v>
      </c>
    </row>
    <row r="878" spans="1:7">
      <c r="A878" s="3228">
        <v>875</v>
      </c>
      <c r="B878" s="3229" t="s">
        <v>3156</v>
      </c>
      <c r="C878" s="3229" t="s">
        <v>3157</v>
      </c>
      <c r="D878" s="3229" t="s">
        <v>3158</v>
      </c>
      <c r="E878" s="3257" t="s">
        <v>5023</v>
      </c>
      <c r="F878" s="3257">
        <v>39.090000000000003</v>
      </c>
      <c r="G878" s="3245">
        <f t="shared" si="15"/>
        <v>8.02</v>
      </c>
    </row>
    <row r="879" spans="1:7">
      <c r="A879" s="3228">
        <v>876</v>
      </c>
      <c r="B879" s="3229" t="s">
        <v>3156</v>
      </c>
      <c r="C879" s="3229" t="s">
        <v>3157</v>
      </c>
      <c r="D879" s="3229" t="s">
        <v>3158</v>
      </c>
      <c r="E879" s="3257" t="s">
        <v>5024</v>
      </c>
      <c r="F879" s="3257">
        <v>39.090000000000003</v>
      </c>
      <c r="G879" s="3245">
        <f t="shared" si="15"/>
        <v>8.02</v>
      </c>
    </row>
    <row r="880" spans="1:7">
      <c r="A880" s="3228">
        <v>877</v>
      </c>
      <c r="B880" s="3229" t="s">
        <v>3156</v>
      </c>
      <c r="C880" s="3229" t="s">
        <v>3157</v>
      </c>
      <c r="D880" s="3229" t="s">
        <v>3158</v>
      </c>
      <c r="E880" s="3257" t="s">
        <v>5025</v>
      </c>
      <c r="F880" s="3257">
        <v>39.090000000000003</v>
      </c>
      <c r="G880" s="3245">
        <f t="shared" si="15"/>
        <v>8.02</v>
      </c>
    </row>
    <row r="881" spans="1:7">
      <c r="A881" s="3228">
        <v>878</v>
      </c>
      <c r="B881" s="3229" t="s">
        <v>3156</v>
      </c>
      <c r="C881" s="3229" t="s">
        <v>3157</v>
      </c>
      <c r="D881" s="3229" t="s">
        <v>3158</v>
      </c>
      <c r="E881" s="3257" t="s">
        <v>5026</v>
      </c>
      <c r="F881" s="3257">
        <v>39.090000000000003</v>
      </c>
      <c r="G881" s="3245">
        <f t="shared" si="15"/>
        <v>8.02</v>
      </c>
    </row>
    <row r="882" spans="1:7">
      <c r="A882" s="3228">
        <v>879</v>
      </c>
      <c r="B882" s="3229" t="s">
        <v>3156</v>
      </c>
      <c r="C882" s="3229" t="s">
        <v>3157</v>
      </c>
      <c r="D882" s="3229" t="s">
        <v>3158</v>
      </c>
      <c r="E882" s="3257" t="s">
        <v>5027</v>
      </c>
      <c r="F882" s="3257">
        <v>39.090000000000003</v>
      </c>
      <c r="G882" s="3245">
        <f t="shared" si="15"/>
        <v>8.02</v>
      </c>
    </row>
    <row r="883" spans="1:7">
      <c r="A883" s="3228">
        <v>880</v>
      </c>
      <c r="B883" s="3229" t="s">
        <v>3156</v>
      </c>
      <c r="C883" s="3229" t="s">
        <v>3157</v>
      </c>
      <c r="D883" s="3229" t="s">
        <v>3158</v>
      </c>
      <c r="E883" s="3257" t="s">
        <v>5028</v>
      </c>
      <c r="F883" s="3257">
        <v>36.74</v>
      </c>
      <c r="G883" s="3245">
        <f t="shared" si="15"/>
        <v>7.54</v>
      </c>
    </row>
    <row r="884" spans="1:7">
      <c r="A884" s="3228">
        <v>881</v>
      </c>
      <c r="B884" s="3229" t="s">
        <v>3156</v>
      </c>
      <c r="C884" s="3229" t="s">
        <v>3157</v>
      </c>
      <c r="D884" s="3229" t="s">
        <v>3158</v>
      </c>
      <c r="E884" s="3257" t="s">
        <v>5029</v>
      </c>
      <c r="F884" s="3257">
        <v>36.74</v>
      </c>
      <c r="G884" s="3245">
        <f t="shared" si="15"/>
        <v>7.54</v>
      </c>
    </row>
    <row r="885" spans="1:7">
      <c r="A885" s="3228">
        <v>882</v>
      </c>
      <c r="B885" s="3229" t="s">
        <v>3156</v>
      </c>
      <c r="C885" s="3229" t="s">
        <v>3157</v>
      </c>
      <c r="D885" s="3229" t="s">
        <v>3158</v>
      </c>
      <c r="E885" s="3257" t="s">
        <v>5030</v>
      </c>
      <c r="F885" s="3257">
        <v>36.74</v>
      </c>
      <c r="G885" s="3245">
        <f t="shared" si="15"/>
        <v>7.54</v>
      </c>
    </row>
    <row r="886" spans="1:7">
      <c r="A886" s="3228">
        <v>883</v>
      </c>
      <c r="B886" s="3229" t="s">
        <v>3156</v>
      </c>
      <c r="C886" s="3229" t="s">
        <v>3157</v>
      </c>
      <c r="D886" s="3229" t="s">
        <v>3158</v>
      </c>
      <c r="E886" s="3257" t="s">
        <v>5031</v>
      </c>
      <c r="F886" s="3257">
        <v>36.74</v>
      </c>
      <c r="G886" s="3245">
        <f t="shared" si="15"/>
        <v>7.54</v>
      </c>
    </row>
    <row r="887" spans="1:7">
      <c r="A887" s="3228">
        <v>884</v>
      </c>
      <c r="B887" s="3229" t="s">
        <v>3156</v>
      </c>
      <c r="C887" s="3229" t="s">
        <v>3157</v>
      </c>
      <c r="D887" s="3229" t="s">
        <v>3158</v>
      </c>
      <c r="E887" s="3257" t="s">
        <v>5032</v>
      </c>
      <c r="F887" s="3257">
        <v>36.74</v>
      </c>
      <c r="G887" s="3245">
        <f t="shared" si="15"/>
        <v>7.54</v>
      </c>
    </row>
    <row r="888" spans="1:7">
      <c r="A888" s="3228">
        <v>885</v>
      </c>
      <c r="B888" s="3229" t="s">
        <v>3156</v>
      </c>
      <c r="C888" s="3229" t="s">
        <v>3157</v>
      </c>
      <c r="D888" s="3229" t="s">
        <v>3158</v>
      </c>
      <c r="E888" s="3257" t="s">
        <v>5033</v>
      </c>
      <c r="F888" s="3257">
        <v>36.74</v>
      </c>
      <c r="G888" s="3245">
        <f t="shared" si="15"/>
        <v>7.54</v>
      </c>
    </row>
    <row r="889" spans="1:7">
      <c r="A889" s="3228">
        <v>886</v>
      </c>
      <c r="B889" s="3229" t="s">
        <v>3156</v>
      </c>
      <c r="C889" s="3229" t="s">
        <v>3157</v>
      </c>
      <c r="D889" s="3229" t="s">
        <v>3158</v>
      </c>
      <c r="E889" s="3257" t="s">
        <v>5034</v>
      </c>
      <c r="F889" s="3257">
        <v>39.090000000000003</v>
      </c>
      <c r="G889" s="3245">
        <f t="shared" si="15"/>
        <v>8.02</v>
      </c>
    </row>
    <row r="890" spans="1:7">
      <c r="A890" s="3228">
        <v>887</v>
      </c>
      <c r="B890" s="3229" t="s">
        <v>3156</v>
      </c>
      <c r="C890" s="3229" t="s">
        <v>3157</v>
      </c>
      <c r="D890" s="3229" t="s">
        <v>3158</v>
      </c>
      <c r="E890" s="3257" t="s">
        <v>5035</v>
      </c>
      <c r="F890" s="3257">
        <v>39.090000000000003</v>
      </c>
      <c r="G890" s="3245">
        <f t="shared" si="15"/>
        <v>8.02</v>
      </c>
    </row>
    <row r="891" spans="1:7">
      <c r="A891" s="3228">
        <v>888</v>
      </c>
      <c r="B891" s="3229" t="s">
        <v>3156</v>
      </c>
      <c r="C891" s="3229" t="s">
        <v>3157</v>
      </c>
      <c r="D891" s="3229" t="s">
        <v>3158</v>
      </c>
      <c r="E891" s="3257" t="s">
        <v>5036</v>
      </c>
      <c r="F891" s="3257">
        <v>39.090000000000003</v>
      </c>
      <c r="G891" s="3245">
        <f t="shared" si="15"/>
        <v>8.02</v>
      </c>
    </row>
    <row r="892" spans="1:7">
      <c r="A892" s="3228">
        <v>889</v>
      </c>
      <c r="B892" s="3229" t="s">
        <v>3156</v>
      </c>
      <c r="C892" s="3229" t="s">
        <v>3157</v>
      </c>
      <c r="D892" s="3229" t="s">
        <v>3158</v>
      </c>
      <c r="E892" s="3257" t="s">
        <v>5037</v>
      </c>
      <c r="F892" s="3257">
        <v>39.090000000000003</v>
      </c>
      <c r="G892" s="3245">
        <f t="shared" si="15"/>
        <v>8.02</v>
      </c>
    </row>
    <row r="893" spans="1:7">
      <c r="A893" s="3228">
        <v>890</v>
      </c>
      <c r="B893" s="3229" t="s">
        <v>3156</v>
      </c>
      <c r="C893" s="3229" t="s">
        <v>3157</v>
      </c>
      <c r="D893" s="3229" t="s">
        <v>3158</v>
      </c>
      <c r="E893" s="3257" t="s">
        <v>5038</v>
      </c>
      <c r="F893" s="3257">
        <v>39.090000000000003</v>
      </c>
      <c r="G893" s="3245">
        <f t="shared" si="15"/>
        <v>8.02</v>
      </c>
    </row>
    <row r="894" spans="1:7">
      <c r="A894" s="3228">
        <v>891</v>
      </c>
      <c r="B894" s="3229" t="s">
        <v>3156</v>
      </c>
      <c r="C894" s="3229" t="s">
        <v>3157</v>
      </c>
      <c r="D894" s="3229" t="s">
        <v>3158</v>
      </c>
      <c r="E894" s="3257" t="s">
        <v>5039</v>
      </c>
      <c r="F894" s="3257">
        <v>39.090000000000003</v>
      </c>
      <c r="G894" s="3245">
        <f t="shared" si="15"/>
        <v>8.02</v>
      </c>
    </row>
    <row r="895" spans="1:7">
      <c r="A895" s="3228">
        <v>892</v>
      </c>
      <c r="B895" s="3229" t="s">
        <v>3156</v>
      </c>
      <c r="C895" s="3229" t="s">
        <v>3157</v>
      </c>
      <c r="D895" s="3229" t="s">
        <v>3158</v>
      </c>
      <c r="E895" s="3257" t="s">
        <v>5040</v>
      </c>
      <c r="F895" s="3257">
        <v>39.090000000000003</v>
      </c>
      <c r="G895" s="3245">
        <f t="shared" si="15"/>
        <v>8.02</v>
      </c>
    </row>
    <row r="896" spans="1:7">
      <c r="A896" s="3228">
        <v>893</v>
      </c>
      <c r="B896" s="3229" t="s">
        <v>3156</v>
      </c>
      <c r="C896" s="3229" t="s">
        <v>3157</v>
      </c>
      <c r="D896" s="3229" t="s">
        <v>3158</v>
      </c>
      <c r="E896" s="3257" t="s">
        <v>5041</v>
      </c>
      <c r="F896" s="3257">
        <v>39.090000000000003</v>
      </c>
      <c r="G896" s="3245">
        <f t="shared" si="15"/>
        <v>8.02</v>
      </c>
    </row>
    <row r="897" spans="1:9">
      <c r="A897" s="3228">
        <v>894</v>
      </c>
      <c r="B897" s="3229" t="s">
        <v>3156</v>
      </c>
      <c r="C897" s="3229" t="s">
        <v>3157</v>
      </c>
      <c r="D897" s="3229" t="s">
        <v>3158</v>
      </c>
      <c r="E897" s="3257" t="s">
        <v>5042</v>
      </c>
      <c r="F897" s="3257">
        <v>36.74</v>
      </c>
      <c r="G897" s="3245">
        <f t="shared" si="15"/>
        <v>7.54</v>
      </c>
    </row>
    <row r="898" spans="1:9">
      <c r="A898" s="3228">
        <v>895</v>
      </c>
      <c r="B898" s="3229" t="s">
        <v>3156</v>
      </c>
      <c r="C898" s="3229" t="s">
        <v>3157</v>
      </c>
      <c r="D898" s="3229" t="s">
        <v>3158</v>
      </c>
      <c r="E898" s="3257" t="s">
        <v>5043</v>
      </c>
      <c r="F898" s="3257">
        <v>36.74</v>
      </c>
      <c r="G898" s="3245">
        <f t="shared" si="15"/>
        <v>7.54</v>
      </c>
    </row>
    <row r="899" spans="1:9">
      <c r="A899" s="3228">
        <v>896</v>
      </c>
      <c r="B899" s="3229" t="s">
        <v>3156</v>
      </c>
      <c r="C899" s="3229" t="s">
        <v>3157</v>
      </c>
      <c r="D899" s="3229" t="s">
        <v>3158</v>
      </c>
      <c r="E899" s="3257" t="s">
        <v>5044</v>
      </c>
      <c r="F899" s="3257">
        <v>36.74</v>
      </c>
      <c r="G899" s="3245">
        <f t="shared" si="15"/>
        <v>7.54</v>
      </c>
    </row>
    <row r="900" spans="1:9">
      <c r="A900" s="3228">
        <v>897</v>
      </c>
      <c r="B900" s="3229" t="s">
        <v>3156</v>
      </c>
      <c r="C900" s="3229" t="s">
        <v>3157</v>
      </c>
      <c r="D900" s="3229" t="s">
        <v>3158</v>
      </c>
      <c r="E900" s="3257" t="s">
        <v>5045</v>
      </c>
      <c r="F900" s="3257">
        <v>37.520000000000003</v>
      </c>
      <c r="G900" s="3245">
        <f t="shared" si="15"/>
        <v>7.7</v>
      </c>
    </row>
    <row r="901" spans="1:9">
      <c r="A901" s="3228">
        <v>898</v>
      </c>
      <c r="B901" s="3229" t="s">
        <v>3156</v>
      </c>
      <c r="C901" s="3229" t="s">
        <v>3157</v>
      </c>
      <c r="D901" s="3229" t="s">
        <v>3158</v>
      </c>
      <c r="E901" s="3257" t="s">
        <v>5046</v>
      </c>
      <c r="F901" s="3257">
        <v>37.520000000000003</v>
      </c>
      <c r="G901" s="3245">
        <f t="shared" si="15"/>
        <v>7.7</v>
      </c>
    </row>
    <row r="902" spans="1:9">
      <c r="A902" s="3228">
        <v>899</v>
      </c>
      <c r="B902" s="3229" t="s">
        <v>3156</v>
      </c>
      <c r="C902" s="3229" t="s">
        <v>3157</v>
      </c>
      <c r="D902" s="3229" t="s">
        <v>3158</v>
      </c>
      <c r="E902" s="3257" t="s">
        <v>5047</v>
      </c>
      <c r="F902" s="3257">
        <v>39.090000000000003</v>
      </c>
      <c r="G902" s="3245">
        <f t="shared" si="15"/>
        <v>8.02</v>
      </c>
    </row>
    <row r="903" spans="1:9">
      <c r="A903" s="3228">
        <v>900</v>
      </c>
      <c r="B903" s="3229" t="s">
        <v>3156</v>
      </c>
      <c r="C903" s="3229" t="s">
        <v>3157</v>
      </c>
      <c r="D903" s="3229" t="s">
        <v>3158</v>
      </c>
      <c r="E903" s="3257" t="s">
        <v>5048</v>
      </c>
      <c r="F903" s="3257">
        <v>39.090000000000003</v>
      </c>
      <c r="G903" s="3245">
        <f t="shared" si="15"/>
        <v>8.02</v>
      </c>
      <c r="H903" s="3245">
        <f>SUM(G296:G903)</f>
        <v>4665.0099999999911</v>
      </c>
      <c r="I903" s="3245">
        <f>D910-H903</f>
        <v>-2.4139572515196051E-3</v>
      </c>
    </row>
    <row r="904" spans="1:9">
      <c r="A904" s="3603" t="s">
        <v>3159</v>
      </c>
      <c r="B904" s="3604"/>
      <c r="C904" s="3604"/>
      <c r="D904" s="3605"/>
      <c r="E904" s="3230">
        <v>900</v>
      </c>
      <c r="F904" s="3231">
        <f>SUM(F4:F903)</f>
        <v>32206.89000000029</v>
      </c>
      <c r="G904" s="3245">
        <f>SUM(G4:G903)</f>
        <v>6976.240000000008</v>
      </c>
    </row>
    <row r="908" spans="1:9">
      <c r="D908" s="3238" t="s">
        <v>3221</v>
      </c>
    </row>
    <row r="909" spans="1:9">
      <c r="B909" s="3238" t="s">
        <v>3215</v>
      </c>
      <c r="C909" s="3245">
        <f>SUM(F4:F295)</f>
        <v>9478.3100000000577</v>
      </c>
      <c r="D909" s="3245">
        <f>C909/C912*C915</f>
        <v>2311.231973707615</v>
      </c>
    </row>
    <row r="910" spans="1:9">
      <c r="B910" s="3238" t="s">
        <v>3216</v>
      </c>
      <c r="C910" s="3245">
        <f>SUM(F296:F903)</f>
        <v>22728.580000000144</v>
      </c>
      <c r="D910" s="3245">
        <f>C910/C913*C916</f>
        <v>4665.0075860427396</v>
      </c>
      <c r="E910" s="3245">
        <f>D909+D910</f>
        <v>6976.2395597503546</v>
      </c>
    </row>
    <row r="911" spans="1:9">
      <c r="E911" s="3238"/>
    </row>
    <row r="912" spans="1:9">
      <c r="B912" s="3238" t="s">
        <v>3217</v>
      </c>
      <c r="C912">
        <v>499022.55</v>
      </c>
    </row>
    <row r="913" spans="2:9">
      <c r="B913" s="3238" t="s">
        <v>3218</v>
      </c>
      <c r="C913">
        <v>393117.85</v>
      </c>
      <c r="D913">
        <f>C912+C913</f>
        <v>892140.39999999991</v>
      </c>
    </row>
    <row r="915" spans="2:9">
      <c r="B915" s="3238" t="s">
        <v>3219</v>
      </c>
      <c r="C915">
        <v>121683.81</v>
      </c>
    </row>
    <row r="916" spans="2:9">
      <c r="B916" s="3238" t="s">
        <v>3220</v>
      </c>
      <c r="C916">
        <v>80686.86</v>
      </c>
      <c r="D916">
        <f>C915+C916</f>
        <v>202370.66999999998</v>
      </c>
    </row>
    <row r="919" spans="2:9" ht="14.25" thickBot="1"/>
    <row r="920" spans="2:9" ht="14.25" thickTop="1">
      <c r="B920" s="3606" t="s">
        <v>3224</v>
      </c>
      <c r="C920" s="3608" t="s">
        <v>3225</v>
      </c>
      <c r="D920" s="3600" t="s">
        <v>3226</v>
      </c>
      <c r="E920" s="3601"/>
      <c r="F920" s="3600" t="s">
        <v>3227</v>
      </c>
      <c r="G920" s="3601"/>
      <c r="H920" s="3600" t="s">
        <v>3228</v>
      </c>
      <c r="I920" s="3601"/>
    </row>
    <row r="921" spans="2:9" ht="14.25" thickBot="1">
      <c r="B921" s="3607"/>
      <c r="C921" s="3609"/>
      <c r="D921" s="3246" t="s">
        <v>3214</v>
      </c>
      <c r="E921" s="3246" t="s">
        <v>3223</v>
      </c>
      <c r="F921" s="3246" t="s">
        <v>3229</v>
      </c>
      <c r="G921" s="3246" t="s">
        <v>3223</v>
      </c>
      <c r="H921" s="3246" t="s">
        <v>3229</v>
      </c>
      <c r="I921" s="3246" t="s">
        <v>3223</v>
      </c>
    </row>
    <row r="922" spans="2:9" ht="14.25" thickTop="1">
      <c r="B922" s="3245">
        <f>F904</f>
        <v>32206.89000000029</v>
      </c>
      <c r="C922" s="3245">
        <f>G904</f>
        <v>6976.240000000008</v>
      </c>
      <c r="D922">
        <f ca="1">H922-F922</f>
        <v>7379</v>
      </c>
      <c r="E922">
        <f ca="1">I922-G922</f>
        <v>2291</v>
      </c>
      <c r="F922">
        <f ca="1">ROUND(G922*B922/10000,0)</f>
        <v>10934</v>
      </c>
      <c r="G922">
        <f ca="1">'结果表 基准'!F35</f>
        <v>3395</v>
      </c>
      <c r="H922">
        <f ca="1">系统读取表!D14</f>
        <v>18313</v>
      </c>
      <c r="I922">
        <f ca="1">ROUND(H922/B922*10000,0)</f>
        <v>5686</v>
      </c>
    </row>
  </sheetData>
  <mergeCells count="7">
    <mergeCell ref="H920:I920"/>
    <mergeCell ref="A1:F1"/>
    <mergeCell ref="A904:D904"/>
    <mergeCell ref="B920:B921"/>
    <mergeCell ref="C920:C921"/>
    <mergeCell ref="D920:E920"/>
    <mergeCell ref="F920:G920"/>
  </mergeCells>
  <phoneticPr fontId="1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1:N13"/>
  <sheetViews>
    <sheetView workbookViewId="0">
      <selection activeCell="M12" sqref="M12"/>
    </sheetView>
  </sheetViews>
  <sheetFormatPr defaultRowHeight="13.5"/>
  <sheetData>
    <row r="11" spans="13:14">
      <c r="M11" s="3238" t="s">
        <v>3193</v>
      </c>
      <c r="N11">
        <f>ROUND(20690.76/449*10000,0)</f>
        <v>460819</v>
      </c>
    </row>
    <row r="12" spans="13:14">
      <c r="M12" s="3238" t="s">
        <v>3201</v>
      </c>
      <c r="N12">
        <f>ROUND(2433/61*10000,0)</f>
        <v>398852</v>
      </c>
    </row>
    <row r="13" spans="13:14">
      <c r="M13" s="3238" t="s">
        <v>3194</v>
      </c>
      <c r="N13">
        <f>ROUND(628.7/17*10000,0)</f>
        <v>369824</v>
      </c>
    </row>
  </sheetData>
  <phoneticPr fontId="141"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N9"/>
  <sheetViews>
    <sheetView workbookViewId="0">
      <selection activeCell="N249" sqref="N249"/>
    </sheetView>
  </sheetViews>
  <sheetFormatPr defaultRowHeight="13.5"/>
  <cols>
    <col min="14" max="14" width="11.625" bestFit="1" customWidth="1"/>
  </cols>
  <sheetData>
    <row r="7" spans="13:14">
      <c r="M7" s="3238" t="s">
        <v>3203</v>
      </c>
      <c r="N7">
        <f>ROUND(313.56/12*10000,0)</f>
        <v>261300</v>
      </c>
    </row>
    <row r="8" spans="13:14">
      <c r="M8" s="3238" t="s">
        <v>3204</v>
      </c>
      <c r="N8">
        <v>300000</v>
      </c>
    </row>
    <row r="9" spans="13:14">
      <c r="M9" s="3238" t="s">
        <v>3205</v>
      </c>
      <c r="N9">
        <f>ROUND(45/2*10000,0)</f>
        <v>225000</v>
      </c>
    </row>
  </sheetData>
  <phoneticPr fontId="141"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905"/>
  <sheetViews>
    <sheetView topLeftCell="A262" workbookViewId="0">
      <selection activeCell="D4" sqref="D4"/>
    </sheetView>
  </sheetViews>
  <sheetFormatPr defaultColWidth="9" defaultRowHeight="12"/>
  <cols>
    <col min="1" max="3" width="9" style="3247"/>
    <col min="4" max="4" width="4.75" style="3247" bestFit="1" customWidth="1"/>
    <col min="5" max="5" width="23.625" style="3247" bestFit="1" customWidth="1"/>
    <col min="6" max="6" width="14.125" style="3247" bestFit="1" customWidth="1"/>
    <col min="7" max="7" width="13.625" style="3247" bestFit="1" customWidth="1"/>
    <col min="8" max="8" width="11.25" style="3247" bestFit="1" customWidth="1"/>
    <col min="9" max="9" width="11.375" style="3247" bestFit="1" customWidth="1"/>
    <col min="10" max="10" width="4.75" style="3247" bestFit="1" customWidth="1"/>
    <col min="11" max="16384" width="9" style="3247"/>
  </cols>
  <sheetData>
    <row r="4" spans="4:10">
      <c r="D4" s="3248" t="s">
        <v>4139</v>
      </c>
      <c r="E4" s="3248" t="s">
        <v>4138</v>
      </c>
      <c r="F4" s="3248" t="s">
        <v>4133</v>
      </c>
      <c r="G4" s="3248" t="s">
        <v>4134</v>
      </c>
      <c r="H4" s="3248" t="s">
        <v>4135</v>
      </c>
      <c r="I4" s="3248" t="s">
        <v>4136</v>
      </c>
      <c r="J4" s="3248" t="s">
        <v>4137</v>
      </c>
    </row>
    <row r="5" spans="4:10">
      <c r="D5" s="3248">
        <v>1</v>
      </c>
      <c r="E5" s="3610" t="s">
        <v>4143</v>
      </c>
      <c r="F5" s="3249" t="s">
        <v>4131</v>
      </c>
      <c r="G5" s="3249" t="s">
        <v>3231</v>
      </c>
      <c r="H5" s="3250">
        <v>33.93</v>
      </c>
      <c r="I5" s="3251">
        <v>8.27</v>
      </c>
      <c r="J5" s="3249" t="s">
        <v>3230</v>
      </c>
    </row>
    <row r="6" spans="4:10">
      <c r="D6" s="3248">
        <v>2</v>
      </c>
      <c r="E6" s="3610"/>
      <c r="F6" s="3249" t="s">
        <v>4131</v>
      </c>
      <c r="G6" s="3249" t="s">
        <v>3232</v>
      </c>
      <c r="H6" s="3250">
        <v>33.93</v>
      </c>
      <c r="I6" s="3251">
        <v>8.27</v>
      </c>
      <c r="J6" s="3249" t="s">
        <v>3230</v>
      </c>
    </row>
    <row r="7" spans="4:10">
      <c r="D7" s="3248">
        <v>3</v>
      </c>
      <c r="E7" s="3610"/>
      <c r="F7" s="3249" t="s">
        <v>4131</v>
      </c>
      <c r="G7" s="3249" t="s">
        <v>3233</v>
      </c>
      <c r="H7" s="3250">
        <v>33.93</v>
      </c>
      <c r="I7" s="3251">
        <v>8.27</v>
      </c>
      <c r="J7" s="3249" t="s">
        <v>3230</v>
      </c>
    </row>
    <row r="8" spans="4:10">
      <c r="D8" s="3248">
        <v>4</v>
      </c>
      <c r="E8" s="3610"/>
      <c r="F8" s="3249" t="s">
        <v>4131</v>
      </c>
      <c r="G8" s="3249" t="s">
        <v>3234</v>
      </c>
      <c r="H8" s="3250">
        <v>33.93</v>
      </c>
      <c r="I8" s="3251">
        <v>8.27</v>
      </c>
      <c r="J8" s="3249" t="s">
        <v>3230</v>
      </c>
    </row>
    <row r="9" spans="4:10">
      <c r="D9" s="3248">
        <v>5</v>
      </c>
      <c r="E9" s="3610"/>
      <c r="F9" s="3249" t="s">
        <v>4131</v>
      </c>
      <c r="G9" s="3249" t="s">
        <v>3235</v>
      </c>
      <c r="H9" s="3250">
        <v>33.93</v>
      </c>
      <c r="I9" s="3251">
        <v>8.27</v>
      </c>
      <c r="J9" s="3249" t="s">
        <v>3230</v>
      </c>
    </row>
    <row r="10" spans="4:10">
      <c r="D10" s="3248">
        <v>6</v>
      </c>
      <c r="E10" s="3610"/>
      <c r="F10" s="3249" t="s">
        <v>4131</v>
      </c>
      <c r="G10" s="3249" t="s">
        <v>3236</v>
      </c>
      <c r="H10" s="3250">
        <v>33.93</v>
      </c>
      <c r="I10" s="3251">
        <v>8.27</v>
      </c>
      <c r="J10" s="3249" t="s">
        <v>3230</v>
      </c>
    </row>
    <row r="11" spans="4:10">
      <c r="D11" s="3248">
        <v>7</v>
      </c>
      <c r="E11" s="3610"/>
      <c r="F11" s="3249" t="s">
        <v>4131</v>
      </c>
      <c r="G11" s="3249" t="s">
        <v>3237</v>
      </c>
      <c r="H11" s="3250">
        <v>33.93</v>
      </c>
      <c r="I11" s="3251">
        <v>8.27</v>
      </c>
      <c r="J11" s="3249" t="s">
        <v>3230</v>
      </c>
    </row>
    <row r="12" spans="4:10">
      <c r="D12" s="3248">
        <v>8</v>
      </c>
      <c r="E12" s="3610"/>
      <c r="F12" s="3249" t="s">
        <v>4131</v>
      </c>
      <c r="G12" s="3249" t="s">
        <v>3238</v>
      </c>
      <c r="H12" s="3250">
        <v>33.93</v>
      </c>
      <c r="I12" s="3251">
        <v>8.27</v>
      </c>
      <c r="J12" s="3249" t="s">
        <v>3230</v>
      </c>
    </row>
    <row r="13" spans="4:10">
      <c r="D13" s="3248">
        <v>9</v>
      </c>
      <c r="E13" s="3610"/>
      <c r="F13" s="3249" t="s">
        <v>4131</v>
      </c>
      <c r="G13" s="3249" t="s">
        <v>3239</v>
      </c>
      <c r="H13" s="3250">
        <v>33.93</v>
      </c>
      <c r="I13" s="3251">
        <v>8.27</v>
      </c>
      <c r="J13" s="3249" t="s">
        <v>3230</v>
      </c>
    </row>
    <row r="14" spans="4:10">
      <c r="D14" s="3248">
        <v>10</v>
      </c>
      <c r="E14" s="3610"/>
      <c r="F14" s="3249" t="s">
        <v>4131</v>
      </c>
      <c r="G14" s="3249" t="s">
        <v>3240</v>
      </c>
      <c r="H14" s="3250">
        <v>33.93</v>
      </c>
      <c r="I14" s="3251">
        <v>8.27</v>
      </c>
      <c r="J14" s="3249" t="s">
        <v>3230</v>
      </c>
    </row>
    <row r="15" spans="4:10">
      <c r="D15" s="3248">
        <v>11</v>
      </c>
      <c r="E15" s="3610"/>
      <c r="F15" s="3249" t="s">
        <v>4131</v>
      </c>
      <c r="G15" s="3249" t="s">
        <v>3241</v>
      </c>
      <c r="H15" s="3250">
        <v>33.93</v>
      </c>
      <c r="I15" s="3251">
        <v>8.27</v>
      </c>
      <c r="J15" s="3249" t="s">
        <v>3230</v>
      </c>
    </row>
    <row r="16" spans="4:10">
      <c r="D16" s="3248">
        <v>12</v>
      </c>
      <c r="E16" s="3610"/>
      <c r="F16" s="3249" t="s">
        <v>4131</v>
      </c>
      <c r="G16" s="3249" t="s">
        <v>3242</v>
      </c>
      <c r="H16" s="3250">
        <v>33.93</v>
      </c>
      <c r="I16" s="3251">
        <v>8.27</v>
      </c>
      <c r="J16" s="3249" t="s">
        <v>3230</v>
      </c>
    </row>
    <row r="17" spans="4:10">
      <c r="D17" s="3248">
        <v>13</v>
      </c>
      <c r="E17" s="3610"/>
      <c r="F17" s="3249" t="s">
        <v>4131</v>
      </c>
      <c r="G17" s="3249" t="s">
        <v>3243</v>
      </c>
      <c r="H17" s="3250">
        <v>33.93</v>
      </c>
      <c r="I17" s="3251">
        <v>8.27</v>
      </c>
      <c r="J17" s="3249" t="s">
        <v>3230</v>
      </c>
    </row>
    <row r="18" spans="4:10">
      <c r="D18" s="3248">
        <v>14</v>
      </c>
      <c r="E18" s="3610"/>
      <c r="F18" s="3249" t="s">
        <v>4131</v>
      </c>
      <c r="G18" s="3249" t="s">
        <v>3244</v>
      </c>
      <c r="H18" s="3250">
        <v>33.93</v>
      </c>
      <c r="I18" s="3251">
        <v>8.27</v>
      </c>
      <c r="J18" s="3249" t="s">
        <v>3230</v>
      </c>
    </row>
    <row r="19" spans="4:10">
      <c r="D19" s="3248">
        <v>15</v>
      </c>
      <c r="E19" s="3610"/>
      <c r="F19" s="3249" t="s">
        <v>4131</v>
      </c>
      <c r="G19" s="3249" t="s">
        <v>3245</v>
      </c>
      <c r="H19" s="3250">
        <v>32.58</v>
      </c>
      <c r="I19" s="3251">
        <v>7.94</v>
      </c>
      <c r="J19" s="3249" t="s">
        <v>3230</v>
      </c>
    </row>
    <row r="20" spans="4:10">
      <c r="D20" s="3248">
        <v>16</v>
      </c>
      <c r="E20" s="3610"/>
      <c r="F20" s="3249" t="s">
        <v>4131</v>
      </c>
      <c r="G20" s="3249" t="s">
        <v>3246</v>
      </c>
      <c r="H20" s="3250">
        <v>33.93</v>
      </c>
      <c r="I20" s="3251">
        <v>8.27</v>
      </c>
      <c r="J20" s="3249" t="s">
        <v>3230</v>
      </c>
    </row>
    <row r="21" spans="4:10">
      <c r="D21" s="3248">
        <v>17</v>
      </c>
      <c r="E21" s="3610"/>
      <c r="F21" s="3249" t="s">
        <v>4131</v>
      </c>
      <c r="G21" s="3249" t="s">
        <v>3247</v>
      </c>
      <c r="H21" s="3250">
        <v>33.93</v>
      </c>
      <c r="I21" s="3251">
        <v>8.27</v>
      </c>
      <c r="J21" s="3249" t="s">
        <v>3230</v>
      </c>
    </row>
    <row r="22" spans="4:10">
      <c r="D22" s="3248">
        <v>18</v>
      </c>
      <c r="E22" s="3610"/>
      <c r="F22" s="3249" t="s">
        <v>4131</v>
      </c>
      <c r="G22" s="3249" t="s">
        <v>3248</v>
      </c>
      <c r="H22" s="3250">
        <v>33.93</v>
      </c>
      <c r="I22" s="3251">
        <v>8.27</v>
      </c>
      <c r="J22" s="3249" t="s">
        <v>3230</v>
      </c>
    </row>
    <row r="23" spans="4:10">
      <c r="D23" s="3248">
        <v>19</v>
      </c>
      <c r="E23" s="3610"/>
      <c r="F23" s="3249" t="s">
        <v>4131</v>
      </c>
      <c r="G23" s="3249" t="s">
        <v>3249</v>
      </c>
      <c r="H23" s="3250">
        <v>33.93</v>
      </c>
      <c r="I23" s="3251">
        <v>8.27</v>
      </c>
      <c r="J23" s="3249" t="s">
        <v>3230</v>
      </c>
    </row>
    <row r="24" spans="4:10">
      <c r="D24" s="3248">
        <v>20</v>
      </c>
      <c r="E24" s="3610"/>
      <c r="F24" s="3249" t="s">
        <v>4131</v>
      </c>
      <c r="G24" s="3249" t="s">
        <v>3250</v>
      </c>
      <c r="H24" s="3250">
        <v>33.93</v>
      </c>
      <c r="I24" s="3251">
        <v>8.27</v>
      </c>
      <c r="J24" s="3249" t="s">
        <v>3230</v>
      </c>
    </row>
    <row r="25" spans="4:10">
      <c r="D25" s="3248">
        <v>21</v>
      </c>
      <c r="E25" s="3610"/>
      <c r="F25" s="3249" t="s">
        <v>4131</v>
      </c>
      <c r="G25" s="3249" t="s">
        <v>3251</v>
      </c>
      <c r="H25" s="3250">
        <v>32.58</v>
      </c>
      <c r="I25" s="3251">
        <v>7.94</v>
      </c>
      <c r="J25" s="3249" t="s">
        <v>3230</v>
      </c>
    </row>
    <row r="26" spans="4:10">
      <c r="D26" s="3248">
        <v>22</v>
      </c>
      <c r="E26" s="3610"/>
      <c r="F26" s="3249" t="s">
        <v>4131</v>
      </c>
      <c r="G26" s="3249" t="s">
        <v>3252</v>
      </c>
      <c r="H26" s="3250">
        <v>33.93</v>
      </c>
      <c r="I26" s="3251">
        <v>8.27</v>
      </c>
      <c r="J26" s="3249" t="s">
        <v>3230</v>
      </c>
    </row>
    <row r="27" spans="4:10">
      <c r="D27" s="3248">
        <v>23</v>
      </c>
      <c r="E27" s="3610"/>
      <c r="F27" s="3249" t="s">
        <v>4131</v>
      </c>
      <c r="G27" s="3249" t="s">
        <v>3253</v>
      </c>
      <c r="H27" s="3250">
        <v>33.93</v>
      </c>
      <c r="I27" s="3251">
        <v>8.27</v>
      </c>
      <c r="J27" s="3249" t="s">
        <v>3230</v>
      </c>
    </row>
    <row r="28" spans="4:10">
      <c r="D28" s="3248">
        <v>24</v>
      </c>
      <c r="E28" s="3610"/>
      <c r="F28" s="3249" t="s">
        <v>4131</v>
      </c>
      <c r="G28" s="3249" t="s">
        <v>3254</v>
      </c>
      <c r="H28" s="3250">
        <v>33.93</v>
      </c>
      <c r="I28" s="3251">
        <v>8.27</v>
      </c>
      <c r="J28" s="3249" t="s">
        <v>3230</v>
      </c>
    </row>
    <row r="29" spans="4:10">
      <c r="D29" s="3248">
        <v>25</v>
      </c>
      <c r="E29" s="3610"/>
      <c r="F29" s="3249" t="s">
        <v>4131</v>
      </c>
      <c r="G29" s="3249" t="s">
        <v>3255</v>
      </c>
      <c r="H29" s="3250">
        <v>32.58</v>
      </c>
      <c r="I29" s="3251">
        <v>7.94</v>
      </c>
      <c r="J29" s="3249" t="s">
        <v>3230</v>
      </c>
    </row>
    <row r="30" spans="4:10">
      <c r="D30" s="3248">
        <v>26</v>
      </c>
      <c r="E30" s="3610"/>
      <c r="F30" s="3249" t="s">
        <v>4131</v>
      </c>
      <c r="G30" s="3249" t="s">
        <v>3256</v>
      </c>
      <c r="H30" s="3250">
        <v>32.58</v>
      </c>
      <c r="I30" s="3251">
        <v>7.94</v>
      </c>
      <c r="J30" s="3249" t="s">
        <v>3230</v>
      </c>
    </row>
    <row r="31" spans="4:10">
      <c r="D31" s="3248">
        <v>27</v>
      </c>
      <c r="E31" s="3610"/>
      <c r="F31" s="3249" t="s">
        <v>4131</v>
      </c>
      <c r="G31" s="3249" t="s">
        <v>3257</v>
      </c>
      <c r="H31" s="3250">
        <v>32.58</v>
      </c>
      <c r="I31" s="3251">
        <v>7.94</v>
      </c>
      <c r="J31" s="3249" t="s">
        <v>3230</v>
      </c>
    </row>
    <row r="32" spans="4:10">
      <c r="D32" s="3248">
        <v>28</v>
      </c>
      <c r="E32" s="3610"/>
      <c r="F32" s="3249" t="s">
        <v>4131</v>
      </c>
      <c r="G32" s="3249" t="s">
        <v>3258</v>
      </c>
      <c r="H32" s="3250">
        <v>32.58</v>
      </c>
      <c r="I32" s="3251">
        <v>7.94</v>
      </c>
      <c r="J32" s="3249" t="s">
        <v>3230</v>
      </c>
    </row>
    <row r="33" spans="4:10">
      <c r="D33" s="3248">
        <v>29</v>
      </c>
      <c r="E33" s="3610"/>
      <c r="F33" s="3249" t="s">
        <v>4131</v>
      </c>
      <c r="G33" s="3249" t="s">
        <v>3259</v>
      </c>
      <c r="H33" s="3250">
        <v>32.58</v>
      </c>
      <c r="I33" s="3251">
        <v>7.94</v>
      </c>
      <c r="J33" s="3249" t="s">
        <v>3230</v>
      </c>
    </row>
    <row r="34" spans="4:10">
      <c r="D34" s="3248">
        <v>30</v>
      </c>
      <c r="E34" s="3610"/>
      <c r="F34" s="3249" t="s">
        <v>4131</v>
      </c>
      <c r="G34" s="3249" t="s">
        <v>3260</v>
      </c>
      <c r="H34" s="3250">
        <v>32.58</v>
      </c>
      <c r="I34" s="3251">
        <v>7.94</v>
      </c>
      <c r="J34" s="3249" t="s">
        <v>3230</v>
      </c>
    </row>
    <row r="35" spans="4:10">
      <c r="D35" s="3248">
        <v>31</v>
      </c>
      <c r="E35" s="3610"/>
      <c r="F35" s="3249" t="s">
        <v>4131</v>
      </c>
      <c r="G35" s="3249" t="s">
        <v>3261</v>
      </c>
      <c r="H35" s="3250">
        <v>32.58</v>
      </c>
      <c r="I35" s="3251">
        <v>7.94</v>
      </c>
      <c r="J35" s="3249" t="s">
        <v>3230</v>
      </c>
    </row>
    <row r="36" spans="4:10">
      <c r="D36" s="3248">
        <v>32</v>
      </c>
      <c r="E36" s="3610"/>
      <c r="F36" s="3249" t="s">
        <v>4131</v>
      </c>
      <c r="G36" s="3249" t="s">
        <v>3262</v>
      </c>
      <c r="H36" s="3250">
        <v>32.58</v>
      </c>
      <c r="I36" s="3251">
        <v>7.94</v>
      </c>
      <c r="J36" s="3249" t="s">
        <v>3230</v>
      </c>
    </row>
    <row r="37" spans="4:10">
      <c r="D37" s="3248">
        <v>33</v>
      </c>
      <c r="E37" s="3610"/>
      <c r="F37" s="3249" t="s">
        <v>4131</v>
      </c>
      <c r="G37" s="3249" t="s">
        <v>3263</v>
      </c>
      <c r="H37" s="3250">
        <v>32.58</v>
      </c>
      <c r="I37" s="3251">
        <v>7.94</v>
      </c>
      <c r="J37" s="3249" t="s">
        <v>3230</v>
      </c>
    </row>
    <row r="38" spans="4:10">
      <c r="D38" s="3248">
        <v>34</v>
      </c>
      <c r="E38" s="3610"/>
      <c r="F38" s="3249" t="s">
        <v>4131</v>
      </c>
      <c r="G38" s="3249" t="s">
        <v>3264</v>
      </c>
      <c r="H38" s="3250">
        <v>32.58</v>
      </c>
      <c r="I38" s="3251">
        <v>7.94</v>
      </c>
      <c r="J38" s="3249" t="s">
        <v>3230</v>
      </c>
    </row>
    <row r="39" spans="4:10">
      <c r="D39" s="3248">
        <v>35</v>
      </c>
      <c r="E39" s="3610"/>
      <c r="F39" s="3249" t="s">
        <v>4131</v>
      </c>
      <c r="G39" s="3249" t="s">
        <v>3265</v>
      </c>
      <c r="H39" s="3250">
        <v>32.58</v>
      </c>
      <c r="I39" s="3251">
        <v>7.94</v>
      </c>
      <c r="J39" s="3249" t="s">
        <v>3230</v>
      </c>
    </row>
    <row r="40" spans="4:10">
      <c r="D40" s="3248">
        <v>36</v>
      </c>
      <c r="E40" s="3610"/>
      <c r="F40" s="3249" t="s">
        <v>4131</v>
      </c>
      <c r="G40" s="3249" t="s">
        <v>3266</v>
      </c>
      <c r="H40" s="3250">
        <v>32.58</v>
      </c>
      <c r="I40" s="3251">
        <v>7.94</v>
      </c>
      <c r="J40" s="3249" t="s">
        <v>3230</v>
      </c>
    </row>
    <row r="41" spans="4:10">
      <c r="D41" s="3248">
        <v>37</v>
      </c>
      <c r="E41" s="3610"/>
      <c r="F41" s="3249" t="s">
        <v>4131</v>
      </c>
      <c r="G41" s="3249" t="s">
        <v>3267</v>
      </c>
      <c r="H41" s="3250">
        <v>32.58</v>
      </c>
      <c r="I41" s="3251">
        <v>7.94</v>
      </c>
      <c r="J41" s="3249" t="s">
        <v>3230</v>
      </c>
    </row>
    <row r="42" spans="4:10">
      <c r="D42" s="3248">
        <v>38</v>
      </c>
      <c r="E42" s="3610"/>
      <c r="F42" s="3249" t="s">
        <v>4131</v>
      </c>
      <c r="G42" s="3249" t="s">
        <v>3268</v>
      </c>
      <c r="H42" s="3250">
        <v>32.58</v>
      </c>
      <c r="I42" s="3251">
        <v>7.94</v>
      </c>
      <c r="J42" s="3249" t="s">
        <v>3230</v>
      </c>
    </row>
    <row r="43" spans="4:10">
      <c r="D43" s="3248">
        <v>39</v>
      </c>
      <c r="E43" s="3610"/>
      <c r="F43" s="3249" t="s">
        <v>4131</v>
      </c>
      <c r="G43" s="3249" t="s">
        <v>3269</v>
      </c>
      <c r="H43" s="3250">
        <v>32.58</v>
      </c>
      <c r="I43" s="3251">
        <v>7.94</v>
      </c>
      <c r="J43" s="3249" t="s">
        <v>3230</v>
      </c>
    </row>
    <row r="44" spans="4:10">
      <c r="D44" s="3248">
        <v>40</v>
      </c>
      <c r="E44" s="3610"/>
      <c r="F44" s="3249" t="s">
        <v>4131</v>
      </c>
      <c r="G44" s="3249" t="s">
        <v>3270</v>
      </c>
      <c r="H44" s="3250">
        <v>32.58</v>
      </c>
      <c r="I44" s="3251">
        <v>7.94</v>
      </c>
      <c r="J44" s="3249" t="s">
        <v>3230</v>
      </c>
    </row>
    <row r="45" spans="4:10">
      <c r="D45" s="3248">
        <v>41</v>
      </c>
      <c r="E45" s="3610"/>
      <c r="F45" s="3249" t="s">
        <v>4131</v>
      </c>
      <c r="G45" s="3249" t="s">
        <v>3271</v>
      </c>
      <c r="H45" s="3250">
        <v>32.58</v>
      </c>
      <c r="I45" s="3251">
        <v>7.94</v>
      </c>
      <c r="J45" s="3249" t="s">
        <v>3230</v>
      </c>
    </row>
    <row r="46" spans="4:10">
      <c r="D46" s="3248">
        <v>42</v>
      </c>
      <c r="E46" s="3610"/>
      <c r="F46" s="3249" t="s">
        <v>4131</v>
      </c>
      <c r="G46" s="3249" t="s">
        <v>3272</v>
      </c>
      <c r="H46" s="3250">
        <v>32.58</v>
      </c>
      <c r="I46" s="3251">
        <v>7.94</v>
      </c>
      <c r="J46" s="3249" t="s">
        <v>3230</v>
      </c>
    </row>
    <row r="47" spans="4:10">
      <c r="D47" s="3248">
        <v>43</v>
      </c>
      <c r="E47" s="3610"/>
      <c r="F47" s="3249" t="s">
        <v>4131</v>
      </c>
      <c r="G47" s="3249" t="s">
        <v>3273</v>
      </c>
      <c r="H47" s="3250">
        <v>32.58</v>
      </c>
      <c r="I47" s="3251">
        <v>7.94</v>
      </c>
      <c r="J47" s="3249" t="s">
        <v>3230</v>
      </c>
    </row>
    <row r="48" spans="4:10">
      <c r="D48" s="3248">
        <v>44</v>
      </c>
      <c r="E48" s="3610"/>
      <c r="F48" s="3249" t="s">
        <v>4131</v>
      </c>
      <c r="G48" s="3249" t="s">
        <v>3274</v>
      </c>
      <c r="H48" s="3250">
        <v>32.58</v>
      </c>
      <c r="I48" s="3251">
        <v>7.94</v>
      </c>
      <c r="J48" s="3249" t="s">
        <v>3230</v>
      </c>
    </row>
    <row r="49" spans="4:10">
      <c r="D49" s="3248">
        <v>45</v>
      </c>
      <c r="E49" s="3610"/>
      <c r="F49" s="3249" t="s">
        <v>4131</v>
      </c>
      <c r="G49" s="3249" t="s">
        <v>3275</v>
      </c>
      <c r="H49" s="3250">
        <v>32.58</v>
      </c>
      <c r="I49" s="3251">
        <v>7.94</v>
      </c>
      <c r="J49" s="3249" t="s">
        <v>3230</v>
      </c>
    </row>
    <row r="50" spans="4:10">
      <c r="D50" s="3248">
        <v>46</v>
      </c>
      <c r="E50" s="3610"/>
      <c r="F50" s="3249" t="s">
        <v>4131</v>
      </c>
      <c r="G50" s="3249" t="s">
        <v>3276</v>
      </c>
      <c r="H50" s="3250">
        <v>32.58</v>
      </c>
      <c r="I50" s="3251">
        <v>7.94</v>
      </c>
      <c r="J50" s="3249" t="s">
        <v>3230</v>
      </c>
    </row>
    <row r="51" spans="4:10">
      <c r="D51" s="3248">
        <v>47</v>
      </c>
      <c r="E51" s="3610"/>
      <c r="F51" s="3249" t="s">
        <v>4131</v>
      </c>
      <c r="G51" s="3249" t="s">
        <v>3277</v>
      </c>
      <c r="H51" s="3250">
        <v>32.58</v>
      </c>
      <c r="I51" s="3251">
        <v>7.94</v>
      </c>
      <c r="J51" s="3249" t="s">
        <v>3230</v>
      </c>
    </row>
    <row r="52" spans="4:10">
      <c r="D52" s="3248">
        <v>48</v>
      </c>
      <c r="E52" s="3610"/>
      <c r="F52" s="3249" t="s">
        <v>4131</v>
      </c>
      <c r="G52" s="3249" t="s">
        <v>3278</v>
      </c>
      <c r="H52" s="3250">
        <v>32.58</v>
      </c>
      <c r="I52" s="3251">
        <v>7.94</v>
      </c>
      <c r="J52" s="3249" t="s">
        <v>3230</v>
      </c>
    </row>
    <row r="53" spans="4:10">
      <c r="D53" s="3248">
        <v>49</v>
      </c>
      <c r="E53" s="3610"/>
      <c r="F53" s="3249" t="s">
        <v>4131</v>
      </c>
      <c r="G53" s="3249" t="s">
        <v>3279</v>
      </c>
      <c r="H53" s="3250">
        <v>32.58</v>
      </c>
      <c r="I53" s="3251">
        <v>7.94</v>
      </c>
      <c r="J53" s="3249" t="s">
        <v>3230</v>
      </c>
    </row>
    <row r="54" spans="4:10">
      <c r="D54" s="3248">
        <v>50</v>
      </c>
      <c r="E54" s="3610"/>
      <c r="F54" s="3249" t="s">
        <v>4131</v>
      </c>
      <c r="G54" s="3249" t="s">
        <v>3280</v>
      </c>
      <c r="H54" s="3250">
        <v>32.58</v>
      </c>
      <c r="I54" s="3251">
        <v>7.94</v>
      </c>
      <c r="J54" s="3249" t="s">
        <v>3230</v>
      </c>
    </row>
    <row r="55" spans="4:10">
      <c r="D55" s="3248">
        <v>51</v>
      </c>
      <c r="E55" s="3610"/>
      <c r="F55" s="3249" t="s">
        <v>4131</v>
      </c>
      <c r="G55" s="3249" t="s">
        <v>3281</v>
      </c>
      <c r="H55" s="3250">
        <v>32.58</v>
      </c>
      <c r="I55" s="3251">
        <v>7.94</v>
      </c>
      <c r="J55" s="3249" t="s">
        <v>3230</v>
      </c>
    </row>
    <row r="56" spans="4:10">
      <c r="D56" s="3248">
        <v>52</v>
      </c>
      <c r="E56" s="3610"/>
      <c r="F56" s="3249" t="s">
        <v>4131</v>
      </c>
      <c r="G56" s="3249" t="s">
        <v>3282</v>
      </c>
      <c r="H56" s="3250">
        <v>32.58</v>
      </c>
      <c r="I56" s="3251">
        <v>7.94</v>
      </c>
      <c r="J56" s="3249" t="s">
        <v>3230</v>
      </c>
    </row>
    <row r="57" spans="4:10">
      <c r="D57" s="3248">
        <v>53</v>
      </c>
      <c r="E57" s="3610"/>
      <c r="F57" s="3249" t="s">
        <v>4131</v>
      </c>
      <c r="G57" s="3249" t="s">
        <v>3283</v>
      </c>
      <c r="H57" s="3250">
        <v>32.58</v>
      </c>
      <c r="I57" s="3251">
        <v>7.94</v>
      </c>
      <c r="J57" s="3249" t="s">
        <v>3230</v>
      </c>
    </row>
    <row r="58" spans="4:10">
      <c r="D58" s="3248">
        <v>54</v>
      </c>
      <c r="E58" s="3610"/>
      <c r="F58" s="3249" t="s">
        <v>4131</v>
      </c>
      <c r="G58" s="3249" t="s">
        <v>3284</v>
      </c>
      <c r="H58" s="3250">
        <v>32.58</v>
      </c>
      <c r="I58" s="3251">
        <v>7.94</v>
      </c>
      <c r="J58" s="3249" t="s">
        <v>3230</v>
      </c>
    </row>
    <row r="59" spans="4:10">
      <c r="D59" s="3248">
        <v>55</v>
      </c>
      <c r="E59" s="3610"/>
      <c r="F59" s="3249" t="s">
        <v>4131</v>
      </c>
      <c r="G59" s="3249" t="s">
        <v>3285</v>
      </c>
      <c r="H59" s="3250">
        <v>32.58</v>
      </c>
      <c r="I59" s="3251">
        <v>7.94</v>
      </c>
      <c r="J59" s="3249" t="s">
        <v>3230</v>
      </c>
    </row>
    <row r="60" spans="4:10">
      <c r="D60" s="3248">
        <v>56</v>
      </c>
      <c r="E60" s="3610"/>
      <c r="F60" s="3249" t="s">
        <v>4131</v>
      </c>
      <c r="G60" s="3249" t="s">
        <v>3286</v>
      </c>
      <c r="H60" s="3250">
        <v>32.58</v>
      </c>
      <c r="I60" s="3251">
        <v>7.94</v>
      </c>
      <c r="J60" s="3249" t="s">
        <v>3230</v>
      </c>
    </row>
    <row r="61" spans="4:10">
      <c r="D61" s="3248">
        <v>57</v>
      </c>
      <c r="E61" s="3610"/>
      <c r="F61" s="3249" t="s">
        <v>4131</v>
      </c>
      <c r="G61" s="3249" t="s">
        <v>3287</v>
      </c>
      <c r="H61" s="3250">
        <v>32.58</v>
      </c>
      <c r="I61" s="3251">
        <v>7.94</v>
      </c>
      <c r="J61" s="3249" t="s">
        <v>3230</v>
      </c>
    </row>
    <row r="62" spans="4:10">
      <c r="D62" s="3248">
        <v>58</v>
      </c>
      <c r="E62" s="3610"/>
      <c r="F62" s="3249" t="s">
        <v>4131</v>
      </c>
      <c r="G62" s="3249" t="s">
        <v>3288</v>
      </c>
      <c r="H62" s="3250">
        <v>32.58</v>
      </c>
      <c r="I62" s="3251">
        <v>7.94</v>
      </c>
      <c r="J62" s="3249" t="s">
        <v>3230</v>
      </c>
    </row>
    <row r="63" spans="4:10">
      <c r="D63" s="3248">
        <v>59</v>
      </c>
      <c r="E63" s="3610"/>
      <c r="F63" s="3249" t="s">
        <v>4131</v>
      </c>
      <c r="G63" s="3249" t="s">
        <v>3289</v>
      </c>
      <c r="H63" s="3250">
        <v>32.58</v>
      </c>
      <c r="I63" s="3251">
        <v>7.94</v>
      </c>
      <c r="J63" s="3249" t="s">
        <v>3230</v>
      </c>
    </row>
    <row r="64" spans="4:10">
      <c r="D64" s="3248">
        <v>60</v>
      </c>
      <c r="E64" s="3610"/>
      <c r="F64" s="3249" t="s">
        <v>4131</v>
      </c>
      <c r="G64" s="3249" t="s">
        <v>3290</v>
      </c>
      <c r="H64" s="3250">
        <v>32.58</v>
      </c>
      <c r="I64" s="3251">
        <v>7.94</v>
      </c>
      <c r="J64" s="3249" t="s">
        <v>3230</v>
      </c>
    </row>
    <row r="65" spans="4:10">
      <c r="D65" s="3248">
        <v>61</v>
      </c>
      <c r="E65" s="3610"/>
      <c r="F65" s="3249" t="s">
        <v>4131</v>
      </c>
      <c r="G65" s="3249" t="s">
        <v>3291</v>
      </c>
      <c r="H65" s="3250">
        <v>32.58</v>
      </c>
      <c r="I65" s="3251">
        <v>7.94</v>
      </c>
      <c r="J65" s="3249" t="s">
        <v>3230</v>
      </c>
    </row>
    <row r="66" spans="4:10">
      <c r="D66" s="3248">
        <v>62</v>
      </c>
      <c r="E66" s="3610"/>
      <c r="F66" s="3249" t="s">
        <v>4131</v>
      </c>
      <c r="G66" s="3249" t="s">
        <v>3292</v>
      </c>
      <c r="H66" s="3250">
        <v>32.58</v>
      </c>
      <c r="I66" s="3251">
        <v>7.94</v>
      </c>
      <c r="J66" s="3249" t="s">
        <v>3230</v>
      </c>
    </row>
    <row r="67" spans="4:10">
      <c r="D67" s="3248">
        <v>63</v>
      </c>
      <c r="E67" s="3610"/>
      <c r="F67" s="3249" t="s">
        <v>4131</v>
      </c>
      <c r="G67" s="3249" t="s">
        <v>3293</v>
      </c>
      <c r="H67" s="3250">
        <v>32.58</v>
      </c>
      <c r="I67" s="3251">
        <v>7.94</v>
      </c>
      <c r="J67" s="3249" t="s">
        <v>3230</v>
      </c>
    </row>
    <row r="68" spans="4:10">
      <c r="D68" s="3248">
        <v>64</v>
      </c>
      <c r="E68" s="3610"/>
      <c r="F68" s="3249" t="s">
        <v>4131</v>
      </c>
      <c r="G68" s="3249" t="s">
        <v>3294</v>
      </c>
      <c r="H68" s="3250">
        <v>32.58</v>
      </c>
      <c r="I68" s="3251">
        <v>7.94</v>
      </c>
      <c r="J68" s="3249" t="s">
        <v>3230</v>
      </c>
    </row>
    <row r="69" spans="4:10">
      <c r="D69" s="3248">
        <v>65</v>
      </c>
      <c r="E69" s="3610"/>
      <c r="F69" s="3249" t="s">
        <v>4131</v>
      </c>
      <c r="G69" s="3249" t="s">
        <v>3295</v>
      </c>
      <c r="H69" s="3250">
        <v>32.58</v>
      </c>
      <c r="I69" s="3251">
        <v>7.94</v>
      </c>
      <c r="J69" s="3249" t="s">
        <v>3230</v>
      </c>
    </row>
    <row r="70" spans="4:10">
      <c r="D70" s="3248">
        <v>66</v>
      </c>
      <c r="E70" s="3610"/>
      <c r="F70" s="3249" t="s">
        <v>4131</v>
      </c>
      <c r="G70" s="3249" t="s">
        <v>3296</v>
      </c>
      <c r="H70" s="3250">
        <v>32.58</v>
      </c>
      <c r="I70" s="3251">
        <v>7.94</v>
      </c>
      <c r="J70" s="3249" t="s">
        <v>3230</v>
      </c>
    </row>
    <row r="71" spans="4:10">
      <c r="D71" s="3248">
        <v>67</v>
      </c>
      <c r="E71" s="3610"/>
      <c r="F71" s="3249" t="s">
        <v>4131</v>
      </c>
      <c r="G71" s="3249" t="s">
        <v>3297</v>
      </c>
      <c r="H71" s="3250">
        <v>32.58</v>
      </c>
      <c r="I71" s="3251">
        <v>7.94</v>
      </c>
      <c r="J71" s="3249" t="s">
        <v>3230</v>
      </c>
    </row>
    <row r="72" spans="4:10">
      <c r="D72" s="3248">
        <v>68</v>
      </c>
      <c r="E72" s="3610"/>
      <c r="F72" s="3249" t="s">
        <v>4131</v>
      </c>
      <c r="G72" s="3249" t="s">
        <v>3298</v>
      </c>
      <c r="H72" s="3250">
        <v>32.58</v>
      </c>
      <c r="I72" s="3251">
        <v>7.94</v>
      </c>
      <c r="J72" s="3249" t="s">
        <v>3230</v>
      </c>
    </row>
    <row r="73" spans="4:10">
      <c r="D73" s="3248">
        <v>69</v>
      </c>
      <c r="E73" s="3610"/>
      <c r="F73" s="3249" t="s">
        <v>4131</v>
      </c>
      <c r="G73" s="3249" t="s">
        <v>3299</v>
      </c>
      <c r="H73" s="3250">
        <v>32.58</v>
      </c>
      <c r="I73" s="3251">
        <v>7.94</v>
      </c>
      <c r="J73" s="3249" t="s">
        <v>3230</v>
      </c>
    </row>
    <row r="74" spans="4:10">
      <c r="D74" s="3248">
        <v>70</v>
      </c>
      <c r="E74" s="3610"/>
      <c r="F74" s="3249" t="s">
        <v>4131</v>
      </c>
      <c r="G74" s="3249" t="s">
        <v>3300</v>
      </c>
      <c r="H74" s="3250">
        <v>32.58</v>
      </c>
      <c r="I74" s="3251">
        <v>7.94</v>
      </c>
      <c r="J74" s="3249" t="s">
        <v>3230</v>
      </c>
    </row>
    <row r="75" spans="4:10">
      <c r="D75" s="3248">
        <v>71</v>
      </c>
      <c r="E75" s="3610"/>
      <c r="F75" s="3249" t="s">
        <v>4131</v>
      </c>
      <c r="G75" s="3249" t="s">
        <v>3301</v>
      </c>
      <c r="H75" s="3250">
        <v>32.58</v>
      </c>
      <c r="I75" s="3251">
        <v>7.94</v>
      </c>
      <c r="J75" s="3249" t="s">
        <v>3230</v>
      </c>
    </row>
    <row r="76" spans="4:10">
      <c r="D76" s="3248">
        <v>72</v>
      </c>
      <c r="E76" s="3610"/>
      <c r="F76" s="3249" t="s">
        <v>4131</v>
      </c>
      <c r="G76" s="3249" t="s">
        <v>3302</v>
      </c>
      <c r="H76" s="3250">
        <v>32.58</v>
      </c>
      <c r="I76" s="3251">
        <v>7.94</v>
      </c>
      <c r="J76" s="3249" t="s">
        <v>3230</v>
      </c>
    </row>
    <row r="77" spans="4:10">
      <c r="D77" s="3248">
        <v>73</v>
      </c>
      <c r="E77" s="3610"/>
      <c r="F77" s="3249" t="s">
        <v>4131</v>
      </c>
      <c r="G77" s="3249" t="s">
        <v>3303</v>
      </c>
      <c r="H77" s="3250">
        <v>32.58</v>
      </c>
      <c r="I77" s="3251">
        <v>7.94</v>
      </c>
      <c r="J77" s="3249" t="s">
        <v>3230</v>
      </c>
    </row>
    <row r="78" spans="4:10">
      <c r="D78" s="3248">
        <v>74</v>
      </c>
      <c r="E78" s="3610"/>
      <c r="F78" s="3249" t="s">
        <v>4131</v>
      </c>
      <c r="G78" s="3249" t="s">
        <v>3304</v>
      </c>
      <c r="H78" s="3250">
        <v>32.58</v>
      </c>
      <c r="I78" s="3251">
        <v>7.94</v>
      </c>
      <c r="J78" s="3249" t="s">
        <v>3230</v>
      </c>
    </row>
    <row r="79" spans="4:10">
      <c r="D79" s="3248">
        <v>75</v>
      </c>
      <c r="E79" s="3610"/>
      <c r="F79" s="3249" t="s">
        <v>4131</v>
      </c>
      <c r="G79" s="3249" t="s">
        <v>3305</v>
      </c>
      <c r="H79" s="3250">
        <v>33.93</v>
      </c>
      <c r="I79" s="3251">
        <v>8.27</v>
      </c>
      <c r="J79" s="3249" t="s">
        <v>3230</v>
      </c>
    </row>
    <row r="80" spans="4:10">
      <c r="D80" s="3248">
        <v>76</v>
      </c>
      <c r="E80" s="3610"/>
      <c r="F80" s="3249" t="s">
        <v>4131</v>
      </c>
      <c r="G80" s="3249" t="s">
        <v>3306</v>
      </c>
      <c r="H80" s="3250">
        <v>33.93</v>
      </c>
      <c r="I80" s="3251">
        <v>8.27</v>
      </c>
      <c r="J80" s="3249" t="s">
        <v>3230</v>
      </c>
    </row>
    <row r="81" spans="4:10">
      <c r="D81" s="3248">
        <v>77</v>
      </c>
      <c r="E81" s="3610"/>
      <c r="F81" s="3249" t="s">
        <v>4131</v>
      </c>
      <c r="G81" s="3249" t="s">
        <v>3307</v>
      </c>
      <c r="H81" s="3250">
        <v>33.93</v>
      </c>
      <c r="I81" s="3251">
        <v>8.27</v>
      </c>
      <c r="J81" s="3249" t="s">
        <v>3230</v>
      </c>
    </row>
    <row r="82" spans="4:10">
      <c r="D82" s="3248">
        <v>78</v>
      </c>
      <c r="E82" s="3610"/>
      <c r="F82" s="3249" t="s">
        <v>4131</v>
      </c>
      <c r="G82" s="3249" t="s">
        <v>3308</v>
      </c>
      <c r="H82" s="3250">
        <v>33.93</v>
      </c>
      <c r="I82" s="3251">
        <v>8.27</v>
      </c>
      <c r="J82" s="3249" t="s">
        <v>3230</v>
      </c>
    </row>
    <row r="83" spans="4:10">
      <c r="D83" s="3248">
        <v>79</v>
      </c>
      <c r="E83" s="3610"/>
      <c r="F83" s="3249" t="s">
        <v>4131</v>
      </c>
      <c r="G83" s="3249" t="s">
        <v>3309</v>
      </c>
      <c r="H83" s="3250">
        <v>33.93</v>
      </c>
      <c r="I83" s="3251">
        <v>8.27</v>
      </c>
      <c r="J83" s="3249" t="s">
        <v>3230</v>
      </c>
    </row>
    <row r="84" spans="4:10">
      <c r="D84" s="3248">
        <v>80</v>
      </c>
      <c r="E84" s="3610"/>
      <c r="F84" s="3249" t="s">
        <v>4131</v>
      </c>
      <c r="G84" s="3249" t="s">
        <v>3310</v>
      </c>
      <c r="H84" s="3250">
        <v>33.93</v>
      </c>
      <c r="I84" s="3251">
        <v>8.27</v>
      </c>
      <c r="J84" s="3249" t="s">
        <v>3230</v>
      </c>
    </row>
    <row r="85" spans="4:10">
      <c r="D85" s="3248">
        <v>81</v>
      </c>
      <c r="E85" s="3610"/>
      <c r="F85" s="3249" t="s">
        <v>4131</v>
      </c>
      <c r="G85" s="3249" t="s">
        <v>3311</v>
      </c>
      <c r="H85" s="3250">
        <v>33.93</v>
      </c>
      <c r="I85" s="3251">
        <v>8.27</v>
      </c>
      <c r="J85" s="3249" t="s">
        <v>3230</v>
      </c>
    </row>
    <row r="86" spans="4:10">
      <c r="D86" s="3248">
        <v>82</v>
      </c>
      <c r="E86" s="3610"/>
      <c r="F86" s="3249" t="s">
        <v>4131</v>
      </c>
      <c r="G86" s="3249" t="s">
        <v>3312</v>
      </c>
      <c r="H86" s="3250">
        <v>33.93</v>
      </c>
      <c r="I86" s="3251">
        <v>8.27</v>
      </c>
      <c r="J86" s="3249" t="s">
        <v>3230</v>
      </c>
    </row>
    <row r="87" spans="4:10">
      <c r="D87" s="3248">
        <v>83</v>
      </c>
      <c r="E87" s="3610"/>
      <c r="F87" s="3249" t="s">
        <v>4131</v>
      </c>
      <c r="G87" s="3249" t="s">
        <v>3313</v>
      </c>
      <c r="H87" s="3250">
        <v>33.93</v>
      </c>
      <c r="I87" s="3251">
        <v>8.27</v>
      </c>
      <c r="J87" s="3249" t="s">
        <v>3230</v>
      </c>
    </row>
    <row r="88" spans="4:10">
      <c r="D88" s="3248">
        <v>84</v>
      </c>
      <c r="E88" s="3610"/>
      <c r="F88" s="3249" t="s">
        <v>4131</v>
      </c>
      <c r="G88" s="3249" t="s">
        <v>3314</v>
      </c>
      <c r="H88" s="3250">
        <v>33.93</v>
      </c>
      <c r="I88" s="3251">
        <v>8.27</v>
      </c>
      <c r="J88" s="3249" t="s">
        <v>3230</v>
      </c>
    </row>
    <row r="89" spans="4:10">
      <c r="D89" s="3248">
        <v>85</v>
      </c>
      <c r="E89" s="3610"/>
      <c r="F89" s="3249" t="s">
        <v>4131</v>
      </c>
      <c r="G89" s="3249" t="s">
        <v>3315</v>
      </c>
      <c r="H89" s="3250">
        <v>33.93</v>
      </c>
      <c r="I89" s="3251">
        <v>8.27</v>
      </c>
      <c r="J89" s="3249" t="s">
        <v>3230</v>
      </c>
    </row>
    <row r="90" spans="4:10">
      <c r="D90" s="3248">
        <v>86</v>
      </c>
      <c r="E90" s="3610"/>
      <c r="F90" s="3249" t="s">
        <v>4131</v>
      </c>
      <c r="G90" s="3249" t="s">
        <v>3316</v>
      </c>
      <c r="H90" s="3250">
        <v>33.93</v>
      </c>
      <c r="I90" s="3251">
        <v>8.27</v>
      </c>
      <c r="J90" s="3249" t="s">
        <v>3230</v>
      </c>
    </row>
    <row r="91" spans="4:10">
      <c r="D91" s="3248">
        <v>87</v>
      </c>
      <c r="E91" s="3610"/>
      <c r="F91" s="3249" t="s">
        <v>4131</v>
      </c>
      <c r="G91" s="3249" t="s">
        <v>3317</v>
      </c>
      <c r="H91" s="3250">
        <v>33.36</v>
      </c>
      <c r="I91" s="3251">
        <v>8.1300000000000008</v>
      </c>
      <c r="J91" s="3249" t="s">
        <v>3230</v>
      </c>
    </row>
    <row r="92" spans="4:10">
      <c r="D92" s="3248">
        <v>88</v>
      </c>
      <c r="E92" s="3610"/>
      <c r="F92" s="3249" t="s">
        <v>4131</v>
      </c>
      <c r="G92" s="3249" t="s">
        <v>3318</v>
      </c>
      <c r="H92" s="3250">
        <v>33.36</v>
      </c>
      <c r="I92" s="3251">
        <v>8.1300000000000008</v>
      </c>
      <c r="J92" s="3249" t="s">
        <v>3230</v>
      </c>
    </row>
    <row r="93" spans="4:10">
      <c r="D93" s="3248">
        <v>89</v>
      </c>
      <c r="E93" s="3610"/>
      <c r="F93" s="3249" t="s">
        <v>4131</v>
      </c>
      <c r="G93" s="3249" t="s">
        <v>3319</v>
      </c>
      <c r="H93" s="3250">
        <v>32.020000000000003</v>
      </c>
      <c r="I93" s="3251">
        <v>7.81</v>
      </c>
      <c r="J93" s="3249" t="s">
        <v>3230</v>
      </c>
    </row>
    <row r="94" spans="4:10">
      <c r="D94" s="3248">
        <v>90</v>
      </c>
      <c r="E94" s="3610"/>
      <c r="F94" s="3249" t="s">
        <v>4131</v>
      </c>
      <c r="G94" s="3249" t="s">
        <v>3320</v>
      </c>
      <c r="H94" s="3250">
        <v>32.020000000000003</v>
      </c>
      <c r="I94" s="3251">
        <v>7.81</v>
      </c>
      <c r="J94" s="3249" t="s">
        <v>3230</v>
      </c>
    </row>
    <row r="95" spans="4:10">
      <c r="D95" s="3248">
        <v>91</v>
      </c>
      <c r="E95" s="3610"/>
      <c r="F95" s="3249" t="s">
        <v>4131</v>
      </c>
      <c r="G95" s="3249" t="s">
        <v>3321</v>
      </c>
      <c r="H95" s="3250">
        <v>32.020000000000003</v>
      </c>
      <c r="I95" s="3251">
        <v>7.81</v>
      </c>
      <c r="J95" s="3249" t="s">
        <v>3230</v>
      </c>
    </row>
    <row r="96" spans="4:10">
      <c r="D96" s="3248">
        <v>92</v>
      </c>
      <c r="E96" s="3610"/>
      <c r="F96" s="3249" t="s">
        <v>4131</v>
      </c>
      <c r="G96" s="3249" t="s">
        <v>3322</v>
      </c>
      <c r="H96" s="3250">
        <v>32.020000000000003</v>
      </c>
      <c r="I96" s="3251">
        <v>7.81</v>
      </c>
      <c r="J96" s="3249" t="s">
        <v>3230</v>
      </c>
    </row>
    <row r="97" spans="4:10">
      <c r="D97" s="3248">
        <v>93</v>
      </c>
      <c r="E97" s="3610"/>
      <c r="F97" s="3249" t="s">
        <v>4131</v>
      </c>
      <c r="G97" s="3249" t="s">
        <v>3323</v>
      </c>
      <c r="H97" s="3250">
        <v>32.020000000000003</v>
      </c>
      <c r="I97" s="3251">
        <v>7.81</v>
      </c>
      <c r="J97" s="3249" t="s">
        <v>3230</v>
      </c>
    </row>
    <row r="98" spans="4:10">
      <c r="D98" s="3248">
        <v>94</v>
      </c>
      <c r="E98" s="3610"/>
      <c r="F98" s="3249" t="s">
        <v>4131</v>
      </c>
      <c r="G98" s="3249" t="s">
        <v>3324</v>
      </c>
      <c r="H98" s="3250">
        <v>32.020000000000003</v>
      </c>
      <c r="I98" s="3251">
        <v>7.81</v>
      </c>
      <c r="J98" s="3249" t="s">
        <v>3230</v>
      </c>
    </row>
    <row r="99" spans="4:10">
      <c r="D99" s="3248">
        <v>95</v>
      </c>
      <c r="E99" s="3610"/>
      <c r="F99" s="3249" t="s">
        <v>4131</v>
      </c>
      <c r="G99" s="3249" t="s">
        <v>3325</v>
      </c>
      <c r="H99" s="3250">
        <v>32.020000000000003</v>
      </c>
      <c r="I99" s="3251">
        <v>7.81</v>
      </c>
      <c r="J99" s="3249" t="s">
        <v>3230</v>
      </c>
    </row>
    <row r="100" spans="4:10">
      <c r="D100" s="3248">
        <v>96</v>
      </c>
      <c r="E100" s="3610"/>
      <c r="F100" s="3249" t="s">
        <v>4131</v>
      </c>
      <c r="G100" s="3249" t="s">
        <v>3326</v>
      </c>
      <c r="H100" s="3250">
        <v>32.020000000000003</v>
      </c>
      <c r="I100" s="3251">
        <v>7.81</v>
      </c>
      <c r="J100" s="3249" t="s">
        <v>3230</v>
      </c>
    </row>
    <row r="101" spans="4:10">
      <c r="D101" s="3248">
        <v>97</v>
      </c>
      <c r="E101" s="3610"/>
      <c r="F101" s="3249" t="s">
        <v>4131</v>
      </c>
      <c r="G101" s="3249" t="s">
        <v>3327</v>
      </c>
      <c r="H101" s="3250">
        <v>32.020000000000003</v>
      </c>
      <c r="I101" s="3251">
        <v>7.81</v>
      </c>
      <c r="J101" s="3249" t="s">
        <v>3230</v>
      </c>
    </row>
    <row r="102" spans="4:10">
      <c r="D102" s="3248">
        <v>98</v>
      </c>
      <c r="E102" s="3610"/>
      <c r="F102" s="3249" t="s">
        <v>4131</v>
      </c>
      <c r="G102" s="3249" t="s">
        <v>3328</v>
      </c>
      <c r="H102" s="3250">
        <v>33.36</v>
      </c>
      <c r="I102" s="3251">
        <v>8.1300000000000008</v>
      </c>
      <c r="J102" s="3249" t="s">
        <v>3230</v>
      </c>
    </row>
    <row r="103" spans="4:10">
      <c r="D103" s="3248">
        <v>99</v>
      </c>
      <c r="E103" s="3610"/>
      <c r="F103" s="3249" t="s">
        <v>4131</v>
      </c>
      <c r="G103" s="3249" t="s">
        <v>3329</v>
      </c>
      <c r="H103" s="3250">
        <v>33.36</v>
      </c>
      <c r="I103" s="3251">
        <v>8.1300000000000008</v>
      </c>
      <c r="J103" s="3249" t="s">
        <v>3230</v>
      </c>
    </row>
    <row r="104" spans="4:10">
      <c r="D104" s="3248">
        <v>100</v>
      </c>
      <c r="E104" s="3610"/>
      <c r="F104" s="3249" t="s">
        <v>4131</v>
      </c>
      <c r="G104" s="3249" t="s">
        <v>3330</v>
      </c>
      <c r="H104" s="3250">
        <v>33.36</v>
      </c>
      <c r="I104" s="3251">
        <v>8.1300000000000008</v>
      </c>
      <c r="J104" s="3249" t="s">
        <v>3230</v>
      </c>
    </row>
    <row r="105" spans="4:10">
      <c r="D105" s="3248">
        <v>101</v>
      </c>
      <c r="E105" s="3610"/>
      <c r="F105" s="3249" t="s">
        <v>4131</v>
      </c>
      <c r="G105" s="3249" t="s">
        <v>3331</v>
      </c>
      <c r="H105" s="3250">
        <v>32.020000000000003</v>
      </c>
      <c r="I105" s="3251">
        <v>7.81</v>
      </c>
      <c r="J105" s="3249" t="s">
        <v>3230</v>
      </c>
    </row>
    <row r="106" spans="4:10">
      <c r="D106" s="3248">
        <v>102</v>
      </c>
      <c r="E106" s="3610"/>
      <c r="F106" s="3249" t="s">
        <v>4131</v>
      </c>
      <c r="G106" s="3249" t="s">
        <v>3332</v>
      </c>
      <c r="H106" s="3250">
        <v>32.020000000000003</v>
      </c>
      <c r="I106" s="3251">
        <v>7.81</v>
      </c>
      <c r="J106" s="3249" t="s">
        <v>3230</v>
      </c>
    </row>
    <row r="107" spans="4:10">
      <c r="D107" s="3248">
        <v>103</v>
      </c>
      <c r="E107" s="3610"/>
      <c r="F107" s="3249" t="s">
        <v>4131</v>
      </c>
      <c r="G107" s="3249" t="s">
        <v>3333</v>
      </c>
      <c r="H107" s="3250">
        <v>32.020000000000003</v>
      </c>
      <c r="I107" s="3251">
        <v>7.81</v>
      </c>
      <c r="J107" s="3249" t="s">
        <v>3230</v>
      </c>
    </row>
    <row r="108" spans="4:10">
      <c r="D108" s="3248">
        <v>104</v>
      </c>
      <c r="E108" s="3610"/>
      <c r="F108" s="3249" t="s">
        <v>4131</v>
      </c>
      <c r="G108" s="3249" t="s">
        <v>3334</v>
      </c>
      <c r="H108" s="3250">
        <v>32.020000000000003</v>
      </c>
      <c r="I108" s="3251">
        <v>7.81</v>
      </c>
      <c r="J108" s="3249" t="s">
        <v>3230</v>
      </c>
    </row>
    <row r="109" spans="4:10">
      <c r="D109" s="3248">
        <v>105</v>
      </c>
      <c r="E109" s="3610"/>
      <c r="F109" s="3249" t="s">
        <v>4131</v>
      </c>
      <c r="G109" s="3249" t="s">
        <v>3335</v>
      </c>
      <c r="H109" s="3250">
        <v>32.020000000000003</v>
      </c>
      <c r="I109" s="3251">
        <v>7.81</v>
      </c>
      <c r="J109" s="3249" t="s">
        <v>3230</v>
      </c>
    </row>
    <row r="110" spans="4:10">
      <c r="D110" s="3248">
        <v>106</v>
      </c>
      <c r="E110" s="3610"/>
      <c r="F110" s="3249" t="s">
        <v>4131</v>
      </c>
      <c r="G110" s="3249" t="s">
        <v>3336</v>
      </c>
      <c r="H110" s="3250">
        <v>32.020000000000003</v>
      </c>
      <c r="I110" s="3251">
        <v>7.81</v>
      </c>
      <c r="J110" s="3249" t="s">
        <v>3230</v>
      </c>
    </row>
    <row r="111" spans="4:10">
      <c r="D111" s="3248">
        <v>107</v>
      </c>
      <c r="E111" s="3610"/>
      <c r="F111" s="3249" t="s">
        <v>4131</v>
      </c>
      <c r="G111" s="3249" t="s">
        <v>3337</v>
      </c>
      <c r="H111" s="3250">
        <v>32.020000000000003</v>
      </c>
      <c r="I111" s="3251">
        <v>7.81</v>
      </c>
      <c r="J111" s="3249" t="s">
        <v>3230</v>
      </c>
    </row>
    <row r="112" spans="4:10">
      <c r="D112" s="3248">
        <v>108</v>
      </c>
      <c r="E112" s="3610"/>
      <c r="F112" s="3249" t="s">
        <v>4131</v>
      </c>
      <c r="G112" s="3249" t="s">
        <v>3338</v>
      </c>
      <c r="H112" s="3250">
        <v>32.020000000000003</v>
      </c>
      <c r="I112" s="3251">
        <v>7.81</v>
      </c>
      <c r="J112" s="3249" t="s">
        <v>3230</v>
      </c>
    </row>
    <row r="113" spans="4:10">
      <c r="D113" s="3248">
        <v>109</v>
      </c>
      <c r="E113" s="3610"/>
      <c r="F113" s="3249" t="s">
        <v>4131</v>
      </c>
      <c r="G113" s="3249" t="s">
        <v>3339</v>
      </c>
      <c r="H113" s="3250">
        <v>32.020000000000003</v>
      </c>
      <c r="I113" s="3251">
        <v>7.81</v>
      </c>
      <c r="J113" s="3249" t="s">
        <v>3230</v>
      </c>
    </row>
    <row r="114" spans="4:10">
      <c r="D114" s="3248">
        <v>110</v>
      </c>
      <c r="E114" s="3610"/>
      <c r="F114" s="3249" t="s">
        <v>4131</v>
      </c>
      <c r="G114" s="3249" t="s">
        <v>3340</v>
      </c>
      <c r="H114" s="3250">
        <v>32.020000000000003</v>
      </c>
      <c r="I114" s="3251">
        <v>7.81</v>
      </c>
      <c r="J114" s="3249" t="s">
        <v>3230</v>
      </c>
    </row>
    <row r="115" spans="4:10">
      <c r="D115" s="3248">
        <v>111</v>
      </c>
      <c r="E115" s="3610"/>
      <c r="F115" s="3249" t="s">
        <v>4131</v>
      </c>
      <c r="G115" s="3249" t="s">
        <v>3341</v>
      </c>
      <c r="H115" s="3250">
        <v>32.020000000000003</v>
      </c>
      <c r="I115" s="3251">
        <v>7.81</v>
      </c>
      <c r="J115" s="3249" t="s">
        <v>3230</v>
      </c>
    </row>
    <row r="116" spans="4:10">
      <c r="D116" s="3248">
        <v>112</v>
      </c>
      <c r="E116" s="3610"/>
      <c r="F116" s="3249" t="s">
        <v>4131</v>
      </c>
      <c r="G116" s="3249" t="s">
        <v>3342</v>
      </c>
      <c r="H116" s="3250">
        <v>32.020000000000003</v>
      </c>
      <c r="I116" s="3251">
        <v>7.81</v>
      </c>
      <c r="J116" s="3249" t="s">
        <v>3230</v>
      </c>
    </row>
    <row r="117" spans="4:10">
      <c r="D117" s="3248">
        <v>113</v>
      </c>
      <c r="E117" s="3610"/>
      <c r="F117" s="3249" t="s">
        <v>4131</v>
      </c>
      <c r="G117" s="3249" t="s">
        <v>3343</v>
      </c>
      <c r="H117" s="3250">
        <v>32.020000000000003</v>
      </c>
      <c r="I117" s="3251">
        <v>7.81</v>
      </c>
      <c r="J117" s="3249" t="s">
        <v>3230</v>
      </c>
    </row>
    <row r="118" spans="4:10">
      <c r="D118" s="3248">
        <v>114</v>
      </c>
      <c r="E118" s="3610"/>
      <c r="F118" s="3249" t="s">
        <v>4131</v>
      </c>
      <c r="G118" s="3249" t="s">
        <v>3344</v>
      </c>
      <c r="H118" s="3250">
        <v>32.020000000000003</v>
      </c>
      <c r="I118" s="3251">
        <v>7.81</v>
      </c>
      <c r="J118" s="3249" t="s">
        <v>3230</v>
      </c>
    </row>
    <row r="119" spans="4:10">
      <c r="D119" s="3248">
        <v>115</v>
      </c>
      <c r="E119" s="3610"/>
      <c r="F119" s="3249" t="s">
        <v>4131</v>
      </c>
      <c r="G119" s="3249" t="s">
        <v>3345</v>
      </c>
      <c r="H119" s="3250">
        <v>32.020000000000003</v>
      </c>
      <c r="I119" s="3251">
        <v>7.81</v>
      </c>
      <c r="J119" s="3249" t="s">
        <v>3230</v>
      </c>
    </row>
    <row r="120" spans="4:10">
      <c r="D120" s="3248">
        <v>116</v>
      </c>
      <c r="E120" s="3610"/>
      <c r="F120" s="3249" t="s">
        <v>4131</v>
      </c>
      <c r="G120" s="3249" t="s">
        <v>3346</v>
      </c>
      <c r="H120" s="3250">
        <v>32.020000000000003</v>
      </c>
      <c r="I120" s="3251">
        <v>7.81</v>
      </c>
      <c r="J120" s="3249" t="s">
        <v>3230</v>
      </c>
    </row>
    <row r="121" spans="4:10">
      <c r="D121" s="3248">
        <v>117</v>
      </c>
      <c r="E121" s="3610"/>
      <c r="F121" s="3249" t="s">
        <v>4131</v>
      </c>
      <c r="G121" s="3249" t="s">
        <v>3347</v>
      </c>
      <c r="H121" s="3250">
        <v>32.020000000000003</v>
      </c>
      <c r="I121" s="3251">
        <v>7.81</v>
      </c>
      <c r="J121" s="3249" t="s">
        <v>3230</v>
      </c>
    </row>
    <row r="122" spans="4:10">
      <c r="D122" s="3248">
        <v>118</v>
      </c>
      <c r="E122" s="3610"/>
      <c r="F122" s="3249" t="s">
        <v>4131</v>
      </c>
      <c r="G122" s="3249" t="s">
        <v>3348</v>
      </c>
      <c r="H122" s="3250">
        <v>32.020000000000003</v>
      </c>
      <c r="I122" s="3251">
        <v>7.81</v>
      </c>
      <c r="J122" s="3249" t="s">
        <v>3230</v>
      </c>
    </row>
    <row r="123" spans="4:10">
      <c r="D123" s="3248">
        <v>119</v>
      </c>
      <c r="E123" s="3610"/>
      <c r="F123" s="3249" t="s">
        <v>4131</v>
      </c>
      <c r="G123" s="3249" t="s">
        <v>3349</v>
      </c>
      <c r="H123" s="3250">
        <v>32.020000000000003</v>
      </c>
      <c r="I123" s="3251">
        <v>7.81</v>
      </c>
      <c r="J123" s="3249" t="s">
        <v>3230</v>
      </c>
    </row>
    <row r="124" spans="4:10">
      <c r="D124" s="3248">
        <v>120</v>
      </c>
      <c r="E124" s="3610"/>
      <c r="F124" s="3249" t="s">
        <v>4131</v>
      </c>
      <c r="G124" s="3249" t="s">
        <v>3350</v>
      </c>
      <c r="H124" s="3250">
        <v>32.020000000000003</v>
      </c>
      <c r="I124" s="3251">
        <v>7.81</v>
      </c>
      <c r="J124" s="3249" t="s">
        <v>3230</v>
      </c>
    </row>
    <row r="125" spans="4:10">
      <c r="D125" s="3248">
        <v>121</v>
      </c>
      <c r="E125" s="3610"/>
      <c r="F125" s="3249" t="s">
        <v>4131</v>
      </c>
      <c r="G125" s="3249" t="s">
        <v>3351</v>
      </c>
      <c r="H125" s="3250">
        <v>32.020000000000003</v>
      </c>
      <c r="I125" s="3251">
        <v>7.81</v>
      </c>
      <c r="J125" s="3249" t="s">
        <v>3230</v>
      </c>
    </row>
    <row r="126" spans="4:10">
      <c r="D126" s="3248">
        <v>122</v>
      </c>
      <c r="E126" s="3610"/>
      <c r="F126" s="3249" t="s">
        <v>4131</v>
      </c>
      <c r="G126" s="3249" t="s">
        <v>3352</v>
      </c>
      <c r="H126" s="3250">
        <v>32.020000000000003</v>
      </c>
      <c r="I126" s="3251">
        <v>7.81</v>
      </c>
      <c r="J126" s="3249" t="s">
        <v>3230</v>
      </c>
    </row>
    <row r="127" spans="4:10">
      <c r="D127" s="3248">
        <v>123</v>
      </c>
      <c r="E127" s="3610"/>
      <c r="F127" s="3249" t="s">
        <v>4131</v>
      </c>
      <c r="G127" s="3249" t="s">
        <v>3353</v>
      </c>
      <c r="H127" s="3250">
        <v>32.020000000000003</v>
      </c>
      <c r="I127" s="3251">
        <v>7.81</v>
      </c>
      <c r="J127" s="3249" t="s">
        <v>3230</v>
      </c>
    </row>
    <row r="128" spans="4:10">
      <c r="D128" s="3248">
        <v>124</v>
      </c>
      <c r="E128" s="3610"/>
      <c r="F128" s="3249" t="s">
        <v>4131</v>
      </c>
      <c r="G128" s="3249" t="s">
        <v>3354</v>
      </c>
      <c r="H128" s="3250">
        <v>32.020000000000003</v>
      </c>
      <c r="I128" s="3251">
        <v>7.81</v>
      </c>
      <c r="J128" s="3249" t="s">
        <v>3230</v>
      </c>
    </row>
    <row r="129" spans="4:10">
      <c r="D129" s="3248">
        <v>125</v>
      </c>
      <c r="E129" s="3610"/>
      <c r="F129" s="3249" t="s">
        <v>4131</v>
      </c>
      <c r="G129" s="3249" t="s">
        <v>3355</v>
      </c>
      <c r="H129" s="3250">
        <v>32.020000000000003</v>
      </c>
      <c r="I129" s="3251">
        <v>7.81</v>
      </c>
      <c r="J129" s="3249" t="s">
        <v>3230</v>
      </c>
    </row>
    <row r="130" spans="4:10">
      <c r="D130" s="3248">
        <v>126</v>
      </c>
      <c r="E130" s="3610"/>
      <c r="F130" s="3249" t="s">
        <v>4131</v>
      </c>
      <c r="G130" s="3249" t="s">
        <v>3356</v>
      </c>
      <c r="H130" s="3250">
        <v>32.020000000000003</v>
      </c>
      <c r="I130" s="3251">
        <v>7.81</v>
      </c>
      <c r="J130" s="3249" t="s">
        <v>3230</v>
      </c>
    </row>
    <row r="131" spans="4:10">
      <c r="D131" s="3248">
        <v>127</v>
      </c>
      <c r="E131" s="3610"/>
      <c r="F131" s="3249" t="s">
        <v>4131</v>
      </c>
      <c r="G131" s="3249" t="s">
        <v>3357</v>
      </c>
      <c r="H131" s="3250">
        <v>32.020000000000003</v>
      </c>
      <c r="I131" s="3251">
        <v>7.81</v>
      </c>
      <c r="J131" s="3249" t="s">
        <v>3230</v>
      </c>
    </row>
    <row r="132" spans="4:10">
      <c r="D132" s="3248">
        <v>128</v>
      </c>
      <c r="E132" s="3610"/>
      <c r="F132" s="3249" t="s">
        <v>4131</v>
      </c>
      <c r="G132" s="3249" t="s">
        <v>3358</v>
      </c>
      <c r="H132" s="3250">
        <v>32.020000000000003</v>
      </c>
      <c r="I132" s="3251">
        <v>7.81</v>
      </c>
      <c r="J132" s="3249" t="s">
        <v>3230</v>
      </c>
    </row>
    <row r="133" spans="4:10">
      <c r="D133" s="3248">
        <v>129</v>
      </c>
      <c r="E133" s="3610"/>
      <c r="F133" s="3249" t="s">
        <v>4131</v>
      </c>
      <c r="G133" s="3249" t="s">
        <v>3359</v>
      </c>
      <c r="H133" s="3250">
        <v>32.020000000000003</v>
      </c>
      <c r="I133" s="3251">
        <v>7.81</v>
      </c>
      <c r="J133" s="3249" t="s">
        <v>3230</v>
      </c>
    </row>
    <row r="134" spans="4:10">
      <c r="D134" s="3248">
        <v>130</v>
      </c>
      <c r="E134" s="3610"/>
      <c r="F134" s="3249" t="s">
        <v>4131</v>
      </c>
      <c r="G134" s="3249" t="s">
        <v>3360</v>
      </c>
      <c r="H134" s="3250">
        <v>32.020000000000003</v>
      </c>
      <c r="I134" s="3251">
        <v>7.81</v>
      </c>
      <c r="J134" s="3249" t="s">
        <v>3230</v>
      </c>
    </row>
    <row r="135" spans="4:10">
      <c r="D135" s="3248">
        <v>131</v>
      </c>
      <c r="E135" s="3610"/>
      <c r="F135" s="3249" t="s">
        <v>4131</v>
      </c>
      <c r="G135" s="3249" t="s">
        <v>3361</v>
      </c>
      <c r="H135" s="3250">
        <v>32.020000000000003</v>
      </c>
      <c r="I135" s="3251">
        <v>7.81</v>
      </c>
      <c r="J135" s="3249" t="s">
        <v>3230</v>
      </c>
    </row>
    <row r="136" spans="4:10">
      <c r="D136" s="3248">
        <v>132</v>
      </c>
      <c r="E136" s="3610"/>
      <c r="F136" s="3249" t="s">
        <v>4131</v>
      </c>
      <c r="G136" s="3249" t="s">
        <v>3362</v>
      </c>
      <c r="H136" s="3250">
        <v>32.020000000000003</v>
      </c>
      <c r="I136" s="3251">
        <v>7.81</v>
      </c>
      <c r="J136" s="3249" t="s">
        <v>3230</v>
      </c>
    </row>
    <row r="137" spans="4:10">
      <c r="D137" s="3248">
        <v>133</v>
      </c>
      <c r="E137" s="3610"/>
      <c r="F137" s="3249" t="s">
        <v>4131</v>
      </c>
      <c r="G137" s="3249" t="s">
        <v>3363</v>
      </c>
      <c r="H137" s="3250">
        <v>32.020000000000003</v>
      </c>
      <c r="I137" s="3251">
        <v>7.81</v>
      </c>
      <c r="J137" s="3249" t="s">
        <v>3230</v>
      </c>
    </row>
    <row r="138" spans="4:10">
      <c r="D138" s="3248">
        <v>134</v>
      </c>
      <c r="E138" s="3610"/>
      <c r="F138" s="3249" t="s">
        <v>4131</v>
      </c>
      <c r="G138" s="3249" t="s">
        <v>3364</v>
      </c>
      <c r="H138" s="3250">
        <v>32.020000000000003</v>
      </c>
      <c r="I138" s="3251">
        <v>7.81</v>
      </c>
      <c r="J138" s="3249" t="s">
        <v>3230</v>
      </c>
    </row>
    <row r="139" spans="4:10">
      <c r="D139" s="3248">
        <v>135</v>
      </c>
      <c r="E139" s="3610"/>
      <c r="F139" s="3249" t="s">
        <v>4131</v>
      </c>
      <c r="G139" s="3249" t="s">
        <v>3365</v>
      </c>
      <c r="H139" s="3250">
        <v>32.020000000000003</v>
      </c>
      <c r="I139" s="3251">
        <v>7.81</v>
      </c>
      <c r="J139" s="3249" t="s">
        <v>3230</v>
      </c>
    </row>
    <row r="140" spans="4:10">
      <c r="D140" s="3248">
        <v>136</v>
      </c>
      <c r="E140" s="3610"/>
      <c r="F140" s="3249" t="s">
        <v>4131</v>
      </c>
      <c r="G140" s="3249" t="s">
        <v>3366</v>
      </c>
      <c r="H140" s="3250">
        <v>32.020000000000003</v>
      </c>
      <c r="I140" s="3251">
        <v>7.81</v>
      </c>
      <c r="J140" s="3249" t="s">
        <v>3230</v>
      </c>
    </row>
    <row r="141" spans="4:10">
      <c r="D141" s="3248">
        <v>137</v>
      </c>
      <c r="E141" s="3610"/>
      <c r="F141" s="3249" t="s">
        <v>4131</v>
      </c>
      <c r="G141" s="3249" t="s">
        <v>3367</v>
      </c>
      <c r="H141" s="3250">
        <v>32.020000000000003</v>
      </c>
      <c r="I141" s="3251">
        <v>7.81</v>
      </c>
      <c r="J141" s="3249" t="s">
        <v>3230</v>
      </c>
    </row>
    <row r="142" spans="4:10">
      <c r="D142" s="3248">
        <v>138</v>
      </c>
      <c r="E142" s="3610"/>
      <c r="F142" s="3249" t="s">
        <v>4131</v>
      </c>
      <c r="G142" s="3249" t="s">
        <v>3368</v>
      </c>
      <c r="H142" s="3250">
        <v>32.020000000000003</v>
      </c>
      <c r="I142" s="3251">
        <v>7.81</v>
      </c>
      <c r="J142" s="3249" t="s">
        <v>3230</v>
      </c>
    </row>
    <row r="143" spans="4:10">
      <c r="D143" s="3248">
        <v>139</v>
      </c>
      <c r="E143" s="3610"/>
      <c r="F143" s="3249" t="s">
        <v>4131</v>
      </c>
      <c r="G143" s="3249" t="s">
        <v>3369</v>
      </c>
      <c r="H143" s="3250">
        <v>32.020000000000003</v>
      </c>
      <c r="I143" s="3251">
        <v>7.81</v>
      </c>
      <c r="J143" s="3249" t="s">
        <v>3230</v>
      </c>
    </row>
    <row r="144" spans="4:10">
      <c r="D144" s="3248">
        <v>140</v>
      </c>
      <c r="E144" s="3610"/>
      <c r="F144" s="3249" t="s">
        <v>4131</v>
      </c>
      <c r="G144" s="3249" t="s">
        <v>3370</v>
      </c>
      <c r="H144" s="3250">
        <v>32.020000000000003</v>
      </c>
      <c r="I144" s="3251">
        <v>7.81</v>
      </c>
      <c r="J144" s="3249" t="s">
        <v>3230</v>
      </c>
    </row>
    <row r="145" spans="4:10">
      <c r="D145" s="3248">
        <v>141</v>
      </c>
      <c r="E145" s="3610"/>
      <c r="F145" s="3249" t="s">
        <v>4131</v>
      </c>
      <c r="G145" s="3249" t="s">
        <v>3371</v>
      </c>
      <c r="H145" s="3250">
        <v>32.020000000000003</v>
      </c>
      <c r="I145" s="3251">
        <v>7.81</v>
      </c>
      <c r="J145" s="3249" t="s">
        <v>3230</v>
      </c>
    </row>
    <row r="146" spans="4:10">
      <c r="D146" s="3248">
        <v>142</v>
      </c>
      <c r="E146" s="3610"/>
      <c r="F146" s="3249" t="s">
        <v>4131</v>
      </c>
      <c r="G146" s="3249" t="s">
        <v>3372</v>
      </c>
      <c r="H146" s="3250">
        <v>32.020000000000003</v>
      </c>
      <c r="I146" s="3251">
        <v>7.81</v>
      </c>
      <c r="J146" s="3249" t="s">
        <v>3230</v>
      </c>
    </row>
    <row r="147" spans="4:10">
      <c r="D147" s="3248">
        <v>143</v>
      </c>
      <c r="E147" s="3610"/>
      <c r="F147" s="3249" t="s">
        <v>4131</v>
      </c>
      <c r="G147" s="3249" t="s">
        <v>3373</v>
      </c>
      <c r="H147" s="3250">
        <v>32.020000000000003</v>
      </c>
      <c r="I147" s="3251">
        <v>7.81</v>
      </c>
      <c r="J147" s="3249" t="s">
        <v>3230</v>
      </c>
    </row>
    <row r="148" spans="4:10">
      <c r="D148" s="3248">
        <v>144</v>
      </c>
      <c r="E148" s="3610"/>
      <c r="F148" s="3249" t="s">
        <v>4131</v>
      </c>
      <c r="G148" s="3249" t="s">
        <v>3374</v>
      </c>
      <c r="H148" s="3250">
        <v>32.020000000000003</v>
      </c>
      <c r="I148" s="3251">
        <v>7.81</v>
      </c>
      <c r="J148" s="3249" t="s">
        <v>3230</v>
      </c>
    </row>
    <row r="149" spans="4:10">
      <c r="D149" s="3248">
        <v>145</v>
      </c>
      <c r="E149" s="3610"/>
      <c r="F149" s="3249" t="s">
        <v>4131</v>
      </c>
      <c r="G149" s="3249" t="s">
        <v>3375</v>
      </c>
      <c r="H149" s="3250">
        <v>32.020000000000003</v>
      </c>
      <c r="I149" s="3251">
        <v>7.81</v>
      </c>
      <c r="J149" s="3249" t="s">
        <v>3230</v>
      </c>
    </row>
    <row r="150" spans="4:10">
      <c r="D150" s="3248">
        <v>146</v>
      </c>
      <c r="E150" s="3610"/>
      <c r="F150" s="3249" t="s">
        <v>4131</v>
      </c>
      <c r="G150" s="3249" t="s">
        <v>3376</v>
      </c>
      <c r="H150" s="3250">
        <v>32.020000000000003</v>
      </c>
      <c r="I150" s="3251">
        <v>7.81</v>
      </c>
      <c r="J150" s="3249" t="s">
        <v>3230</v>
      </c>
    </row>
    <row r="151" spans="4:10">
      <c r="D151" s="3248">
        <v>147</v>
      </c>
      <c r="E151" s="3610"/>
      <c r="F151" s="3249" t="s">
        <v>4131</v>
      </c>
      <c r="G151" s="3249" t="s">
        <v>3377</v>
      </c>
      <c r="H151" s="3250">
        <v>32.020000000000003</v>
      </c>
      <c r="I151" s="3251">
        <v>7.81</v>
      </c>
      <c r="J151" s="3249" t="s">
        <v>3230</v>
      </c>
    </row>
    <row r="152" spans="4:10">
      <c r="D152" s="3248">
        <v>148</v>
      </c>
      <c r="E152" s="3610"/>
      <c r="F152" s="3249" t="s">
        <v>4131</v>
      </c>
      <c r="G152" s="3249" t="s">
        <v>3378</v>
      </c>
      <c r="H152" s="3250">
        <v>32.020000000000003</v>
      </c>
      <c r="I152" s="3251">
        <v>7.81</v>
      </c>
      <c r="J152" s="3249" t="s">
        <v>3230</v>
      </c>
    </row>
    <row r="153" spans="4:10">
      <c r="D153" s="3248">
        <v>149</v>
      </c>
      <c r="E153" s="3610"/>
      <c r="F153" s="3249" t="s">
        <v>4131</v>
      </c>
      <c r="G153" s="3249" t="s">
        <v>3379</v>
      </c>
      <c r="H153" s="3250">
        <v>32.020000000000003</v>
      </c>
      <c r="I153" s="3251">
        <v>7.81</v>
      </c>
      <c r="J153" s="3249" t="s">
        <v>3230</v>
      </c>
    </row>
    <row r="154" spans="4:10">
      <c r="D154" s="3248">
        <v>150</v>
      </c>
      <c r="E154" s="3610"/>
      <c r="F154" s="3249" t="s">
        <v>4131</v>
      </c>
      <c r="G154" s="3249" t="s">
        <v>3380</v>
      </c>
      <c r="H154" s="3250">
        <v>33.36</v>
      </c>
      <c r="I154" s="3251">
        <v>8.1300000000000008</v>
      </c>
      <c r="J154" s="3249" t="s">
        <v>3230</v>
      </c>
    </row>
    <row r="155" spans="4:10">
      <c r="D155" s="3248">
        <v>151</v>
      </c>
      <c r="E155" s="3610"/>
      <c r="F155" s="3249" t="s">
        <v>4131</v>
      </c>
      <c r="G155" s="3249" t="s">
        <v>3381</v>
      </c>
      <c r="H155" s="3250">
        <v>33.36</v>
      </c>
      <c r="I155" s="3251">
        <v>8.1300000000000008</v>
      </c>
      <c r="J155" s="3249" t="s">
        <v>3230</v>
      </c>
    </row>
    <row r="156" spans="4:10">
      <c r="D156" s="3248">
        <v>152</v>
      </c>
      <c r="E156" s="3610"/>
      <c r="F156" s="3249" t="s">
        <v>4131</v>
      </c>
      <c r="G156" s="3249" t="s">
        <v>3382</v>
      </c>
      <c r="H156" s="3250">
        <v>33.36</v>
      </c>
      <c r="I156" s="3251">
        <v>8.1300000000000008</v>
      </c>
      <c r="J156" s="3249" t="s">
        <v>3230</v>
      </c>
    </row>
    <row r="157" spans="4:10">
      <c r="D157" s="3248">
        <v>153</v>
      </c>
      <c r="E157" s="3610"/>
      <c r="F157" s="3249" t="s">
        <v>4131</v>
      </c>
      <c r="G157" s="3249" t="s">
        <v>3383</v>
      </c>
      <c r="H157" s="3250">
        <v>32.020000000000003</v>
      </c>
      <c r="I157" s="3251">
        <v>7.81</v>
      </c>
      <c r="J157" s="3249" t="s">
        <v>3230</v>
      </c>
    </row>
    <row r="158" spans="4:10">
      <c r="D158" s="3248">
        <v>154</v>
      </c>
      <c r="E158" s="3610"/>
      <c r="F158" s="3249" t="s">
        <v>4131</v>
      </c>
      <c r="G158" s="3249" t="s">
        <v>3384</v>
      </c>
      <c r="H158" s="3250">
        <v>32.020000000000003</v>
      </c>
      <c r="I158" s="3251">
        <v>7.81</v>
      </c>
      <c r="J158" s="3249" t="s">
        <v>3230</v>
      </c>
    </row>
    <row r="159" spans="4:10">
      <c r="D159" s="3248">
        <v>155</v>
      </c>
      <c r="E159" s="3610"/>
      <c r="F159" s="3249" t="s">
        <v>4131</v>
      </c>
      <c r="G159" s="3249" t="s">
        <v>3385</v>
      </c>
      <c r="H159" s="3250">
        <v>32.020000000000003</v>
      </c>
      <c r="I159" s="3251">
        <v>7.81</v>
      </c>
      <c r="J159" s="3249" t="s">
        <v>3230</v>
      </c>
    </row>
    <row r="160" spans="4:10">
      <c r="D160" s="3248">
        <v>156</v>
      </c>
      <c r="E160" s="3610"/>
      <c r="F160" s="3249" t="s">
        <v>4131</v>
      </c>
      <c r="G160" s="3249" t="s">
        <v>3386</v>
      </c>
      <c r="H160" s="3250">
        <v>32.020000000000003</v>
      </c>
      <c r="I160" s="3251">
        <v>7.81</v>
      </c>
      <c r="J160" s="3249" t="s">
        <v>3230</v>
      </c>
    </row>
    <row r="161" spans="4:10">
      <c r="D161" s="3248">
        <v>157</v>
      </c>
      <c r="E161" s="3610"/>
      <c r="F161" s="3249" t="s">
        <v>4131</v>
      </c>
      <c r="G161" s="3249" t="s">
        <v>3387</v>
      </c>
      <c r="H161" s="3250">
        <v>32.020000000000003</v>
      </c>
      <c r="I161" s="3251">
        <v>7.81</v>
      </c>
      <c r="J161" s="3249" t="s">
        <v>3230</v>
      </c>
    </row>
    <row r="162" spans="4:10">
      <c r="D162" s="3248">
        <v>158</v>
      </c>
      <c r="E162" s="3610"/>
      <c r="F162" s="3249" t="s">
        <v>4131</v>
      </c>
      <c r="G162" s="3249" t="s">
        <v>3388</v>
      </c>
      <c r="H162" s="3250">
        <v>32.020000000000003</v>
      </c>
      <c r="I162" s="3251">
        <v>7.81</v>
      </c>
      <c r="J162" s="3249" t="s">
        <v>3230</v>
      </c>
    </row>
    <row r="163" spans="4:10">
      <c r="D163" s="3248">
        <v>159</v>
      </c>
      <c r="E163" s="3610"/>
      <c r="F163" s="3249" t="s">
        <v>4131</v>
      </c>
      <c r="G163" s="3249" t="s">
        <v>3389</v>
      </c>
      <c r="H163" s="3250">
        <v>32.020000000000003</v>
      </c>
      <c r="I163" s="3251">
        <v>7.81</v>
      </c>
      <c r="J163" s="3249" t="s">
        <v>3230</v>
      </c>
    </row>
    <row r="164" spans="4:10">
      <c r="D164" s="3248">
        <v>160</v>
      </c>
      <c r="E164" s="3610"/>
      <c r="F164" s="3249" t="s">
        <v>4131</v>
      </c>
      <c r="G164" s="3249" t="s">
        <v>3390</v>
      </c>
      <c r="H164" s="3250">
        <v>32.020000000000003</v>
      </c>
      <c r="I164" s="3251">
        <v>7.81</v>
      </c>
      <c r="J164" s="3249" t="s">
        <v>3230</v>
      </c>
    </row>
    <row r="165" spans="4:10">
      <c r="D165" s="3248">
        <v>161</v>
      </c>
      <c r="E165" s="3610"/>
      <c r="F165" s="3249" t="s">
        <v>4131</v>
      </c>
      <c r="G165" s="3249" t="s">
        <v>3391</v>
      </c>
      <c r="H165" s="3250">
        <v>32.020000000000003</v>
      </c>
      <c r="I165" s="3251">
        <v>7.81</v>
      </c>
      <c r="J165" s="3249" t="s">
        <v>3230</v>
      </c>
    </row>
    <row r="166" spans="4:10">
      <c r="D166" s="3248">
        <v>162</v>
      </c>
      <c r="E166" s="3610"/>
      <c r="F166" s="3249" t="s">
        <v>4131</v>
      </c>
      <c r="G166" s="3249" t="s">
        <v>3392</v>
      </c>
      <c r="H166" s="3250">
        <v>32.020000000000003</v>
      </c>
      <c r="I166" s="3251">
        <v>7.81</v>
      </c>
      <c r="J166" s="3249" t="s">
        <v>3230</v>
      </c>
    </row>
    <row r="167" spans="4:10">
      <c r="D167" s="3248">
        <v>163</v>
      </c>
      <c r="E167" s="3610"/>
      <c r="F167" s="3249" t="s">
        <v>4131</v>
      </c>
      <c r="G167" s="3249" t="s">
        <v>3393</v>
      </c>
      <c r="H167" s="3250">
        <v>32.020000000000003</v>
      </c>
      <c r="I167" s="3251">
        <v>7.81</v>
      </c>
      <c r="J167" s="3249" t="s">
        <v>3230</v>
      </c>
    </row>
    <row r="168" spans="4:10">
      <c r="D168" s="3248">
        <v>164</v>
      </c>
      <c r="E168" s="3610"/>
      <c r="F168" s="3249" t="s">
        <v>4131</v>
      </c>
      <c r="G168" s="3249" t="s">
        <v>3394</v>
      </c>
      <c r="H168" s="3250">
        <v>32.020000000000003</v>
      </c>
      <c r="I168" s="3251">
        <v>7.81</v>
      </c>
      <c r="J168" s="3249" t="s">
        <v>3230</v>
      </c>
    </row>
    <row r="169" spans="4:10">
      <c r="D169" s="3248">
        <v>165</v>
      </c>
      <c r="E169" s="3610"/>
      <c r="F169" s="3249" t="s">
        <v>4131</v>
      </c>
      <c r="G169" s="3249" t="s">
        <v>3395</v>
      </c>
      <c r="H169" s="3250">
        <v>32.020000000000003</v>
      </c>
      <c r="I169" s="3251">
        <v>7.81</v>
      </c>
      <c r="J169" s="3249" t="s">
        <v>3230</v>
      </c>
    </row>
    <row r="170" spans="4:10">
      <c r="D170" s="3248">
        <v>166</v>
      </c>
      <c r="E170" s="3610"/>
      <c r="F170" s="3249" t="s">
        <v>4131</v>
      </c>
      <c r="G170" s="3249" t="s">
        <v>3396</v>
      </c>
      <c r="H170" s="3250">
        <v>32.020000000000003</v>
      </c>
      <c r="I170" s="3251">
        <v>7.81</v>
      </c>
      <c r="J170" s="3249" t="s">
        <v>3230</v>
      </c>
    </row>
    <row r="171" spans="4:10">
      <c r="D171" s="3248">
        <v>167</v>
      </c>
      <c r="E171" s="3610"/>
      <c r="F171" s="3249" t="s">
        <v>4131</v>
      </c>
      <c r="G171" s="3249" t="s">
        <v>3397</v>
      </c>
      <c r="H171" s="3250">
        <v>32.020000000000003</v>
      </c>
      <c r="I171" s="3251">
        <v>7.81</v>
      </c>
      <c r="J171" s="3249" t="s">
        <v>3230</v>
      </c>
    </row>
    <row r="172" spans="4:10">
      <c r="D172" s="3248">
        <v>168</v>
      </c>
      <c r="E172" s="3610"/>
      <c r="F172" s="3249" t="s">
        <v>4131</v>
      </c>
      <c r="G172" s="3249" t="s">
        <v>3398</v>
      </c>
      <c r="H172" s="3250">
        <v>32.020000000000003</v>
      </c>
      <c r="I172" s="3251">
        <v>7.81</v>
      </c>
      <c r="J172" s="3249" t="s">
        <v>3230</v>
      </c>
    </row>
    <row r="173" spans="4:10">
      <c r="D173" s="3248">
        <v>169</v>
      </c>
      <c r="E173" s="3610"/>
      <c r="F173" s="3249" t="s">
        <v>4131</v>
      </c>
      <c r="G173" s="3249" t="s">
        <v>3399</v>
      </c>
      <c r="H173" s="3250">
        <v>32.020000000000003</v>
      </c>
      <c r="I173" s="3251">
        <v>7.81</v>
      </c>
      <c r="J173" s="3249" t="s">
        <v>3230</v>
      </c>
    </row>
    <row r="174" spans="4:10">
      <c r="D174" s="3248">
        <v>170</v>
      </c>
      <c r="E174" s="3610"/>
      <c r="F174" s="3249" t="s">
        <v>4131</v>
      </c>
      <c r="G174" s="3249" t="s">
        <v>3400</v>
      </c>
      <c r="H174" s="3250">
        <v>32.020000000000003</v>
      </c>
      <c r="I174" s="3251">
        <v>7.81</v>
      </c>
      <c r="J174" s="3249" t="s">
        <v>3230</v>
      </c>
    </row>
    <row r="175" spans="4:10">
      <c r="D175" s="3248">
        <v>171</v>
      </c>
      <c r="E175" s="3610"/>
      <c r="F175" s="3249" t="s">
        <v>4131</v>
      </c>
      <c r="G175" s="3249" t="s">
        <v>3401</v>
      </c>
      <c r="H175" s="3250">
        <v>33.36</v>
      </c>
      <c r="I175" s="3251">
        <v>8.1300000000000008</v>
      </c>
      <c r="J175" s="3249" t="s">
        <v>3230</v>
      </c>
    </row>
    <row r="176" spans="4:10">
      <c r="D176" s="3248">
        <v>172</v>
      </c>
      <c r="E176" s="3610"/>
      <c r="F176" s="3249" t="s">
        <v>4131</v>
      </c>
      <c r="G176" s="3249" t="s">
        <v>3402</v>
      </c>
      <c r="H176" s="3250">
        <v>33.36</v>
      </c>
      <c r="I176" s="3251">
        <v>8.1300000000000008</v>
      </c>
      <c r="J176" s="3249" t="s">
        <v>3230</v>
      </c>
    </row>
    <row r="177" spans="4:10">
      <c r="D177" s="3248">
        <v>173</v>
      </c>
      <c r="E177" s="3610"/>
      <c r="F177" s="3249" t="s">
        <v>4131</v>
      </c>
      <c r="G177" s="3249" t="s">
        <v>3403</v>
      </c>
      <c r="H177" s="3250">
        <v>33.36</v>
      </c>
      <c r="I177" s="3251">
        <v>8.1300000000000008</v>
      </c>
      <c r="J177" s="3249" t="s">
        <v>3230</v>
      </c>
    </row>
    <row r="178" spans="4:10">
      <c r="D178" s="3248">
        <v>174</v>
      </c>
      <c r="E178" s="3610"/>
      <c r="F178" s="3249" t="s">
        <v>4131</v>
      </c>
      <c r="G178" s="3249" t="s">
        <v>3404</v>
      </c>
      <c r="H178" s="3250">
        <v>33.36</v>
      </c>
      <c r="I178" s="3251">
        <v>8.1300000000000008</v>
      </c>
      <c r="J178" s="3249" t="s">
        <v>3230</v>
      </c>
    </row>
    <row r="179" spans="4:10">
      <c r="D179" s="3248">
        <v>175</v>
      </c>
      <c r="E179" s="3610"/>
      <c r="F179" s="3249" t="s">
        <v>4131</v>
      </c>
      <c r="G179" s="3249" t="s">
        <v>3405</v>
      </c>
      <c r="H179" s="3250">
        <v>32.020000000000003</v>
      </c>
      <c r="I179" s="3251">
        <v>7.81</v>
      </c>
      <c r="J179" s="3249" t="s">
        <v>3230</v>
      </c>
    </row>
    <row r="180" spans="4:10">
      <c r="D180" s="3248">
        <v>176</v>
      </c>
      <c r="E180" s="3610"/>
      <c r="F180" s="3249" t="s">
        <v>4131</v>
      </c>
      <c r="G180" s="3249" t="s">
        <v>3406</v>
      </c>
      <c r="H180" s="3250">
        <v>32.020000000000003</v>
      </c>
      <c r="I180" s="3251">
        <v>7.81</v>
      </c>
      <c r="J180" s="3249" t="s">
        <v>3230</v>
      </c>
    </row>
    <row r="181" spans="4:10">
      <c r="D181" s="3248">
        <v>177</v>
      </c>
      <c r="E181" s="3610"/>
      <c r="F181" s="3249" t="s">
        <v>4131</v>
      </c>
      <c r="G181" s="3249" t="s">
        <v>3407</v>
      </c>
      <c r="H181" s="3250">
        <v>32.020000000000003</v>
      </c>
      <c r="I181" s="3251">
        <v>7.81</v>
      </c>
      <c r="J181" s="3249" t="s">
        <v>3230</v>
      </c>
    </row>
    <row r="182" spans="4:10">
      <c r="D182" s="3248">
        <v>178</v>
      </c>
      <c r="E182" s="3610"/>
      <c r="F182" s="3249" t="s">
        <v>4131</v>
      </c>
      <c r="G182" s="3249" t="s">
        <v>3408</v>
      </c>
      <c r="H182" s="3250">
        <v>32.020000000000003</v>
      </c>
      <c r="I182" s="3251">
        <v>7.81</v>
      </c>
      <c r="J182" s="3249" t="s">
        <v>3230</v>
      </c>
    </row>
    <row r="183" spans="4:10">
      <c r="D183" s="3248">
        <v>179</v>
      </c>
      <c r="E183" s="3610"/>
      <c r="F183" s="3249" t="s">
        <v>4131</v>
      </c>
      <c r="G183" s="3249" t="s">
        <v>3409</v>
      </c>
      <c r="H183" s="3250">
        <v>32.020000000000003</v>
      </c>
      <c r="I183" s="3251">
        <v>7.81</v>
      </c>
      <c r="J183" s="3249" t="s">
        <v>3230</v>
      </c>
    </row>
    <row r="184" spans="4:10">
      <c r="D184" s="3248">
        <v>180</v>
      </c>
      <c r="E184" s="3610"/>
      <c r="F184" s="3249" t="s">
        <v>4131</v>
      </c>
      <c r="G184" s="3249" t="s">
        <v>3410</v>
      </c>
      <c r="H184" s="3250">
        <v>32.020000000000003</v>
      </c>
      <c r="I184" s="3251">
        <v>7.81</v>
      </c>
      <c r="J184" s="3249" t="s">
        <v>3230</v>
      </c>
    </row>
    <row r="185" spans="4:10">
      <c r="D185" s="3248">
        <v>181</v>
      </c>
      <c r="E185" s="3610"/>
      <c r="F185" s="3249" t="s">
        <v>4131</v>
      </c>
      <c r="G185" s="3249" t="s">
        <v>3411</v>
      </c>
      <c r="H185" s="3250">
        <v>32.020000000000003</v>
      </c>
      <c r="I185" s="3251">
        <v>7.81</v>
      </c>
      <c r="J185" s="3249" t="s">
        <v>3230</v>
      </c>
    </row>
    <row r="186" spans="4:10">
      <c r="D186" s="3248">
        <v>182</v>
      </c>
      <c r="E186" s="3610"/>
      <c r="F186" s="3249" t="s">
        <v>4131</v>
      </c>
      <c r="G186" s="3249" t="s">
        <v>3412</v>
      </c>
      <c r="H186" s="3250">
        <v>32.020000000000003</v>
      </c>
      <c r="I186" s="3251">
        <v>7.81</v>
      </c>
      <c r="J186" s="3249" t="s">
        <v>3230</v>
      </c>
    </row>
    <row r="187" spans="4:10">
      <c r="D187" s="3248">
        <v>183</v>
      </c>
      <c r="E187" s="3610"/>
      <c r="F187" s="3249" t="s">
        <v>4131</v>
      </c>
      <c r="G187" s="3249" t="s">
        <v>3413</v>
      </c>
      <c r="H187" s="3250">
        <v>32.020000000000003</v>
      </c>
      <c r="I187" s="3251">
        <v>7.81</v>
      </c>
      <c r="J187" s="3249" t="s">
        <v>3230</v>
      </c>
    </row>
    <row r="188" spans="4:10">
      <c r="D188" s="3248">
        <v>184</v>
      </c>
      <c r="E188" s="3610"/>
      <c r="F188" s="3249" t="s">
        <v>4131</v>
      </c>
      <c r="G188" s="3249" t="s">
        <v>3414</v>
      </c>
      <c r="H188" s="3250">
        <v>32.020000000000003</v>
      </c>
      <c r="I188" s="3251">
        <v>7.81</v>
      </c>
      <c r="J188" s="3249" t="s">
        <v>3230</v>
      </c>
    </row>
    <row r="189" spans="4:10">
      <c r="D189" s="3248">
        <v>185</v>
      </c>
      <c r="E189" s="3610"/>
      <c r="F189" s="3249" t="s">
        <v>4131</v>
      </c>
      <c r="G189" s="3249" t="s">
        <v>3415</v>
      </c>
      <c r="H189" s="3250">
        <v>32.020000000000003</v>
      </c>
      <c r="I189" s="3251">
        <v>7.81</v>
      </c>
      <c r="J189" s="3249" t="s">
        <v>3230</v>
      </c>
    </row>
    <row r="190" spans="4:10">
      <c r="D190" s="3248">
        <v>186</v>
      </c>
      <c r="E190" s="3610"/>
      <c r="F190" s="3249" t="s">
        <v>4131</v>
      </c>
      <c r="G190" s="3249" t="s">
        <v>3416</v>
      </c>
      <c r="H190" s="3250">
        <v>32.020000000000003</v>
      </c>
      <c r="I190" s="3251">
        <v>7.81</v>
      </c>
      <c r="J190" s="3249" t="s">
        <v>3230</v>
      </c>
    </row>
    <row r="191" spans="4:10">
      <c r="D191" s="3248">
        <v>187</v>
      </c>
      <c r="E191" s="3610"/>
      <c r="F191" s="3249" t="s">
        <v>4131</v>
      </c>
      <c r="G191" s="3249" t="s">
        <v>3417</v>
      </c>
      <c r="H191" s="3250">
        <v>32.020000000000003</v>
      </c>
      <c r="I191" s="3251">
        <v>7.81</v>
      </c>
      <c r="J191" s="3249" t="s">
        <v>3230</v>
      </c>
    </row>
    <row r="192" spans="4:10">
      <c r="D192" s="3248">
        <v>188</v>
      </c>
      <c r="E192" s="3610"/>
      <c r="F192" s="3249" t="s">
        <v>4131</v>
      </c>
      <c r="G192" s="3249" t="s">
        <v>3418</v>
      </c>
      <c r="H192" s="3250">
        <v>32.020000000000003</v>
      </c>
      <c r="I192" s="3251">
        <v>7.81</v>
      </c>
      <c r="J192" s="3249" t="s">
        <v>3230</v>
      </c>
    </row>
    <row r="193" spans="4:10">
      <c r="D193" s="3248">
        <v>189</v>
      </c>
      <c r="E193" s="3610"/>
      <c r="F193" s="3249" t="s">
        <v>4131</v>
      </c>
      <c r="G193" s="3249" t="s">
        <v>3419</v>
      </c>
      <c r="H193" s="3250">
        <v>32.020000000000003</v>
      </c>
      <c r="I193" s="3251">
        <v>7.81</v>
      </c>
      <c r="J193" s="3249" t="s">
        <v>3230</v>
      </c>
    </row>
    <row r="194" spans="4:10">
      <c r="D194" s="3248">
        <v>190</v>
      </c>
      <c r="E194" s="3610"/>
      <c r="F194" s="3249" t="s">
        <v>4131</v>
      </c>
      <c r="G194" s="3249" t="s">
        <v>3420</v>
      </c>
      <c r="H194" s="3250">
        <v>32.020000000000003</v>
      </c>
      <c r="I194" s="3251">
        <v>7.81</v>
      </c>
      <c r="J194" s="3249" t="s">
        <v>3230</v>
      </c>
    </row>
    <row r="195" spans="4:10">
      <c r="D195" s="3248">
        <v>191</v>
      </c>
      <c r="E195" s="3610"/>
      <c r="F195" s="3249" t="s">
        <v>4131</v>
      </c>
      <c r="G195" s="3249" t="s">
        <v>3421</v>
      </c>
      <c r="H195" s="3250">
        <v>32.020000000000003</v>
      </c>
      <c r="I195" s="3251">
        <v>7.81</v>
      </c>
      <c r="J195" s="3249" t="s">
        <v>3230</v>
      </c>
    </row>
    <row r="196" spans="4:10">
      <c r="D196" s="3248">
        <v>192</v>
      </c>
      <c r="E196" s="3610"/>
      <c r="F196" s="3249" t="s">
        <v>4131</v>
      </c>
      <c r="G196" s="3249" t="s">
        <v>3422</v>
      </c>
      <c r="H196" s="3250">
        <v>32.020000000000003</v>
      </c>
      <c r="I196" s="3251">
        <v>7.81</v>
      </c>
      <c r="J196" s="3249" t="s">
        <v>3230</v>
      </c>
    </row>
    <row r="197" spans="4:10">
      <c r="D197" s="3248">
        <v>193</v>
      </c>
      <c r="E197" s="3610"/>
      <c r="F197" s="3249" t="s">
        <v>4131</v>
      </c>
      <c r="G197" s="3249" t="s">
        <v>3423</v>
      </c>
      <c r="H197" s="3250">
        <v>32.020000000000003</v>
      </c>
      <c r="I197" s="3251">
        <v>7.81</v>
      </c>
      <c r="J197" s="3249" t="s">
        <v>3230</v>
      </c>
    </row>
    <row r="198" spans="4:10">
      <c r="D198" s="3248">
        <v>194</v>
      </c>
      <c r="E198" s="3610"/>
      <c r="F198" s="3249" t="s">
        <v>4131</v>
      </c>
      <c r="G198" s="3249" t="s">
        <v>3424</v>
      </c>
      <c r="H198" s="3250">
        <v>32.020000000000003</v>
      </c>
      <c r="I198" s="3251">
        <v>7.81</v>
      </c>
      <c r="J198" s="3249" t="s">
        <v>3230</v>
      </c>
    </row>
    <row r="199" spans="4:10">
      <c r="D199" s="3248">
        <v>195</v>
      </c>
      <c r="E199" s="3610"/>
      <c r="F199" s="3249" t="s">
        <v>4131</v>
      </c>
      <c r="G199" s="3249" t="s">
        <v>3425</v>
      </c>
      <c r="H199" s="3250">
        <v>32.020000000000003</v>
      </c>
      <c r="I199" s="3251">
        <v>7.81</v>
      </c>
      <c r="J199" s="3249" t="s">
        <v>3230</v>
      </c>
    </row>
    <row r="200" spans="4:10">
      <c r="D200" s="3248">
        <v>196</v>
      </c>
      <c r="E200" s="3610"/>
      <c r="F200" s="3249" t="s">
        <v>4131</v>
      </c>
      <c r="G200" s="3249" t="s">
        <v>3426</v>
      </c>
      <c r="H200" s="3250">
        <v>32.020000000000003</v>
      </c>
      <c r="I200" s="3251">
        <v>7.81</v>
      </c>
      <c r="J200" s="3249" t="s">
        <v>3230</v>
      </c>
    </row>
    <row r="201" spans="4:10">
      <c r="D201" s="3248">
        <v>197</v>
      </c>
      <c r="E201" s="3610"/>
      <c r="F201" s="3249" t="s">
        <v>4131</v>
      </c>
      <c r="G201" s="3249" t="s">
        <v>3427</v>
      </c>
      <c r="H201" s="3250">
        <v>32.020000000000003</v>
      </c>
      <c r="I201" s="3251">
        <v>7.81</v>
      </c>
      <c r="J201" s="3249" t="s">
        <v>3230</v>
      </c>
    </row>
    <row r="202" spans="4:10">
      <c r="D202" s="3248">
        <v>198</v>
      </c>
      <c r="E202" s="3610"/>
      <c r="F202" s="3249" t="s">
        <v>4131</v>
      </c>
      <c r="G202" s="3249" t="s">
        <v>3428</v>
      </c>
      <c r="H202" s="3250">
        <v>32.020000000000003</v>
      </c>
      <c r="I202" s="3251">
        <v>7.81</v>
      </c>
      <c r="J202" s="3249" t="s">
        <v>3230</v>
      </c>
    </row>
    <row r="203" spans="4:10">
      <c r="D203" s="3248">
        <v>199</v>
      </c>
      <c r="E203" s="3610"/>
      <c r="F203" s="3249" t="s">
        <v>4131</v>
      </c>
      <c r="G203" s="3249" t="s">
        <v>3429</v>
      </c>
      <c r="H203" s="3250">
        <v>32.020000000000003</v>
      </c>
      <c r="I203" s="3251">
        <v>7.81</v>
      </c>
      <c r="J203" s="3249" t="s">
        <v>3230</v>
      </c>
    </row>
    <row r="204" spans="4:10">
      <c r="D204" s="3248">
        <v>200</v>
      </c>
      <c r="E204" s="3610"/>
      <c r="F204" s="3249" t="s">
        <v>4131</v>
      </c>
      <c r="G204" s="3249" t="s">
        <v>3430</v>
      </c>
      <c r="H204" s="3250">
        <v>32.020000000000003</v>
      </c>
      <c r="I204" s="3251">
        <v>7.81</v>
      </c>
      <c r="J204" s="3249" t="s">
        <v>3230</v>
      </c>
    </row>
    <row r="205" spans="4:10">
      <c r="D205" s="3248">
        <v>201</v>
      </c>
      <c r="E205" s="3610"/>
      <c r="F205" s="3249" t="s">
        <v>4131</v>
      </c>
      <c r="G205" s="3249" t="s">
        <v>3431</v>
      </c>
      <c r="H205" s="3250">
        <v>32.020000000000003</v>
      </c>
      <c r="I205" s="3251">
        <v>7.81</v>
      </c>
      <c r="J205" s="3249" t="s">
        <v>3230</v>
      </c>
    </row>
    <row r="206" spans="4:10">
      <c r="D206" s="3248">
        <v>202</v>
      </c>
      <c r="E206" s="3610"/>
      <c r="F206" s="3249" t="s">
        <v>4131</v>
      </c>
      <c r="G206" s="3249" t="s">
        <v>3432</v>
      </c>
      <c r="H206" s="3250">
        <v>32.020000000000003</v>
      </c>
      <c r="I206" s="3251">
        <v>7.81</v>
      </c>
      <c r="J206" s="3249" t="s">
        <v>3230</v>
      </c>
    </row>
    <row r="207" spans="4:10">
      <c r="D207" s="3248">
        <v>203</v>
      </c>
      <c r="E207" s="3610"/>
      <c r="F207" s="3249" t="s">
        <v>4131</v>
      </c>
      <c r="G207" s="3249" t="s">
        <v>3433</v>
      </c>
      <c r="H207" s="3250">
        <v>32.020000000000003</v>
      </c>
      <c r="I207" s="3251">
        <v>7.81</v>
      </c>
      <c r="J207" s="3249" t="s">
        <v>3230</v>
      </c>
    </row>
    <row r="208" spans="4:10">
      <c r="D208" s="3248">
        <v>204</v>
      </c>
      <c r="E208" s="3610"/>
      <c r="F208" s="3249" t="s">
        <v>4131</v>
      </c>
      <c r="G208" s="3249" t="s">
        <v>3434</v>
      </c>
      <c r="H208" s="3250">
        <v>32.020000000000003</v>
      </c>
      <c r="I208" s="3251">
        <v>7.81</v>
      </c>
      <c r="J208" s="3249" t="s">
        <v>3230</v>
      </c>
    </row>
    <row r="209" spans="4:10">
      <c r="D209" s="3248">
        <v>205</v>
      </c>
      <c r="E209" s="3610"/>
      <c r="F209" s="3249" t="s">
        <v>4131</v>
      </c>
      <c r="G209" s="3249" t="s">
        <v>3435</v>
      </c>
      <c r="H209" s="3250">
        <v>32.020000000000003</v>
      </c>
      <c r="I209" s="3251">
        <v>7.81</v>
      </c>
      <c r="J209" s="3249" t="s">
        <v>3230</v>
      </c>
    </row>
    <row r="210" spans="4:10">
      <c r="D210" s="3248">
        <v>206</v>
      </c>
      <c r="E210" s="3610"/>
      <c r="F210" s="3249" t="s">
        <v>4131</v>
      </c>
      <c r="G210" s="3249" t="s">
        <v>3436</v>
      </c>
      <c r="H210" s="3250">
        <v>32.020000000000003</v>
      </c>
      <c r="I210" s="3251">
        <v>7.81</v>
      </c>
      <c r="J210" s="3249" t="s">
        <v>3230</v>
      </c>
    </row>
    <row r="211" spans="4:10">
      <c r="D211" s="3248">
        <v>207</v>
      </c>
      <c r="E211" s="3610"/>
      <c r="F211" s="3249" t="s">
        <v>4131</v>
      </c>
      <c r="G211" s="3249" t="s">
        <v>3437</v>
      </c>
      <c r="H211" s="3250">
        <v>32.020000000000003</v>
      </c>
      <c r="I211" s="3251">
        <v>7.81</v>
      </c>
      <c r="J211" s="3249" t="s">
        <v>3230</v>
      </c>
    </row>
    <row r="212" spans="4:10">
      <c r="D212" s="3248">
        <v>208</v>
      </c>
      <c r="E212" s="3610"/>
      <c r="F212" s="3249" t="s">
        <v>4131</v>
      </c>
      <c r="G212" s="3249" t="s">
        <v>3438</v>
      </c>
      <c r="H212" s="3250">
        <v>32.020000000000003</v>
      </c>
      <c r="I212" s="3251">
        <v>7.81</v>
      </c>
      <c r="J212" s="3249" t="s">
        <v>3230</v>
      </c>
    </row>
    <row r="213" spans="4:10">
      <c r="D213" s="3248">
        <v>209</v>
      </c>
      <c r="E213" s="3610"/>
      <c r="F213" s="3249" t="s">
        <v>4131</v>
      </c>
      <c r="G213" s="3249" t="s">
        <v>3439</v>
      </c>
      <c r="H213" s="3250">
        <v>32.020000000000003</v>
      </c>
      <c r="I213" s="3251">
        <v>7.81</v>
      </c>
      <c r="J213" s="3249" t="s">
        <v>3230</v>
      </c>
    </row>
    <row r="214" spans="4:10">
      <c r="D214" s="3248">
        <v>210</v>
      </c>
      <c r="E214" s="3610"/>
      <c r="F214" s="3249" t="s">
        <v>4131</v>
      </c>
      <c r="G214" s="3249" t="s">
        <v>3440</v>
      </c>
      <c r="H214" s="3250">
        <v>32.020000000000003</v>
      </c>
      <c r="I214" s="3251">
        <v>7.81</v>
      </c>
      <c r="J214" s="3249" t="s">
        <v>3230</v>
      </c>
    </row>
    <row r="215" spans="4:10">
      <c r="D215" s="3248">
        <v>211</v>
      </c>
      <c r="E215" s="3610"/>
      <c r="F215" s="3249" t="s">
        <v>4131</v>
      </c>
      <c r="G215" s="3249" t="s">
        <v>3441</v>
      </c>
      <c r="H215" s="3250">
        <v>32.020000000000003</v>
      </c>
      <c r="I215" s="3251">
        <v>7.81</v>
      </c>
      <c r="J215" s="3249" t="s">
        <v>3230</v>
      </c>
    </row>
    <row r="216" spans="4:10">
      <c r="D216" s="3248">
        <v>212</v>
      </c>
      <c r="E216" s="3610"/>
      <c r="F216" s="3249" t="s">
        <v>4131</v>
      </c>
      <c r="G216" s="3249" t="s">
        <v>3442</v>
      </c>
      <c r="H216" s="3250">
        <v>32.020000000000003</v>
      </c>
      <c r="I216" s="3251">
        <v>7.81</v>
      </c>
      <c r="J216" s="3249" t="s">
        <v>3230</v>
      </c>
    </row>
    <row r="217" spans="4:10">
      <c r="D217" s="3248">
        <v>213</v>
      </c>
      <c r="E217" s="3610"/>
      <c r="F217" s="3249" t="s">
        <v>4131</v>
      </c>
      <c r="G217" s="3249" t="s">
        <v>3443</v>
      </c>
      <c r="H217" s="3250">
        <v>32.020000000000003</v>
      </c>
      <c r="I217" s="3251">
        <v>7.81</v>
      </c>
      <c r="J217" s="3249" t="s">
        <v>3230</v>
      </c>
    </row>
    <row r="218" spans="4:10">
      <c r="D218" s="3248">
        <v>214</v>
      </c>
      <c r="E218" s="3610"/>
      <c r="F218" s="3249" t="s">
        <v>4131</v>
      </c>
      <c r="G218" s="3249" t="s">
        <v>3444</v>
      </c>
      <c r="H218" s="3250">
        <v>32.020000000000003</v>
      </c>
      <c r="I218" s="3251">
        <v>7.81</v>
      </c>
      <c r="J218" s="3249" t="s">
        <v>3230</v>
      </c>
    </row>
    <row r="219" spans="4:10">
      <c r="D219" s="3248">
        <v>215</v>
      </c>
      <c r="E219" s="3610"/>
      <c r="F219" s="3249" t="s">
        <v>4131</v>
      </c>
      <c r="G219" s="3249" t="s">
        <v>3445</v>
      </c>
      <c r="H219" s="3250">
        <v>32.020000000000003</v>
      </c>
      <c r="I219" s="3251">
        <v>7.81</v>
      </c>
      <c r="J219" s="3249" t="s">
        <v>3230</v>
      </c>
    </row>
    <row r="220" spans="4:10">
      <c r="D220" s="3248">
        <v>216</v>
      </c>
      <c r="E220" s="3610"/>
      <c r="F220" s="3249" t="s">
        <v>4131</v>
      </c>
      <c r="G220" s="3249" t="s">
        <v>3446</v>
      </c>
      <c r="H220" s="3250">
        <v>32.020000000000003</v>
      </c>
      <c r="I220" s="3251">
        <v>7.81</v>
      </c>
      <c r="J220" s="3249" t="s">
        <v>3230</v>
      </c>
    </row>
    <row r="221" spans="4:10">
      <c r="D221" s="3248">
        <v>217</v>
      </c>
      <c r="E221" s="3610"/>
      <c r="F221" s="3249" t="s">
        <v>4131</v>
      </c>
      <c r="G221" s="3249" t="s">
        <v>3447</v>
      </c>
      <c r="H221" s="3250">
        <v>32.020000000000003</v>
      </c>
      <c r="I221" s="3251">
        <v>7.81</v>
      </c>
      <c r="J221" s="3249" t="s">
        <v>3230</v>
      </c>
    </row>
    <row r="222" spans="4:10">
      <c r="D222" s="3248">
        <v>218</v>
      </c>
      <c r="E222" s="3610"/>
      <c r="F222" s="3249" t="s">
        <v>4131</v>
      </c>
      <c r="G222" s="3249" t="s">
        <v>3448</v>
      </c>
      <c r="H222" s="3250">
        <v>32.020000000000003</v>
      </c>
      <c r="I222" s="3251">
        <v>7.81</v>
      </c>
      <c r="J222" s="3249" t="s">
        <v>3230</v>
      </c>
    </row>
    <row r="223" spans="4:10">
      <c r="D223" s="3248">
        <v>219</v>
      </c>
      <c r="E223" s="3610"/>
      <c r="F223" s="3249" t="s">
        <v>4131</v>
      </c>
      <c r="G223" s="3249" t="s">
        <v>3449</v>
      </c>
      <c r="H223" s="3250">
        <v>32.020000000000003</v>
      </c>
      <c r="I223" s="3251">
        <v>7.81</v>
      </c>
      <c r="J223" s="3249" t="s">
        <v>3230</v>
      </c>
    </row>
    <row r="224" spans="4:10">
      <c r="D224" s="3248">
        <v>220</v>
      </c>
      <c r="E224" s="3610"/>
      <c r="F224" s="3249" t="s">
        <v>4131</v>
      </c>
      <c r="G224" s="3249" t="s">
        <v>3450</v>
      </c>
      <c r="H224" s="3250">
        <v>32.020000000000003</v>
      </c>
      <c r="I224" s="3251">
        <v>7.81</v>
      </c>
      <c r="J224" s="3249" t="s">
        <v>3230</v>
      </c>
    </row>
    <row r="225" spans="4:10">
      <c r="D225" s="3248">
        <v>221</v>
      </c>
      <c r="E225" s="3610"/>
      <c r="F225" s="3249" t="s">
        <v>4131</v>
      </c>
      <c r="G225" s="3249" t="s">
        <v>3451</v>
      </c>
      <c r="H225" s="3250">
        <v>33.36</v>
      </c>
      <c r="I225" s="3251">
        <v>8.1300000000000008</v>
      </c>
      <c r="J225" s="3249" t="s">
        <v>3230</v>
      </c>
    </row>
    <row r="226" spans="4:10">
      <c r="D226" s="3248">
        <v>222</v>
      </c>
      <c r="E226" s="3610"/>
      <c r="F226" s="3249" t="s">
        <v>4131</v>
      </c>
      <c r="G226" s="3249" t="s">
        <v>3452</v>
      </c>
      <c r="H226" s="3250">
        <v>32.020000000000003</v>
      </c>
      <c r="I226" s="3251">
        <v>7.81</v>
      </c>
      <c r="J226" s="3249" t="s">
        <v>3230</v>
      </c>
    </row>
    <row r="227" spans="4:10">
      <c r="D227" s="3248">
        <v>223</v>
      </c>
      <c r="E227" s="3610"/>
      <c r="F227" s="3249" t="s">
        <v>4131</v>
      </c>
      <c r="G227" s="3249" t="s">
        <v>3453</v>
      </c>
      <c r="H227" s="3250">
        <v>32.020000000000003</v>
      </c>
      <c r="I227" s="3251">
        <v>7.81</v>
      </c>
      <c r="J227" s="3249" t="s">
        <v>3230</v>
      </c>
    </row>
    <row r="228" spans="4:10">
      <c r="D228" s="3248">
        <v>224</v>
      </c>
      <c r="E228" s="3610"/>
      <c r="F228" s="3249" t="s">
        <v>4131</v>
      </c>
      <c r="G228" s="3249" t="s">
        <v>3454</v>
      </c>
      <c r="H228" s="3250">
        <v>32.020000000000003</v>
      </c>
      <c r="I228" s="3251">
        <v>7.81</v>
      </c>
      <c r="J228" s="3249" t="s">
        <v>3230</v>
      </c>
    </row>
    <row r="229" spans="4:10">
      <c r="D229" s="3248">
        <v>225</v>
      </c>
      <c r="E229" s="3610"/>
      <c r="F229" s="3249" t="s">
        <v>4131</v>
      </c>
      <c r="G229" s="3249" t="s">
        <v>3455</v>
      </c>
      <c r="H229" s="3250">
        <v>32.020000000000003</v>
      </c>
      <c r="I229" s="3251">
        <v>7.81</v>
      </c>
      <c r="J229" s="3249" t="s">
        <v>3230</v>
      </c>
    </row>
    <row r="230" spans="4:10">
      <c r="D230" s="3248">
        <v>226</v>
      </c>
      <c r="E230" s="3610"/>
      <c r="F230" s="3249" t="s">
        <v>4131</v>
      </c>
      <c r="G230" s="3249" t="s">
        <v>3456</v>
      </c>
      <c r="H230" s="3250">
        <v>32.020000000000003</v>
      </c>
      <c r="I230" s="3251">
        <v>7.81</v>
      </c>
      <c r="J230" s="3249" t="s">
        <v>3230</v>
      </c>
    </row>
    <row r="231" spans="4:10">
      <c r="D231" s="3248">
        <v>227</v>
      </c>
      <c r="E231" s="3610"/>
      <c r="F231" s="3249" t="s">
        <v>4131</v>
      </c>
      <c r="G231" s="3249" t="s">
        <v>3457</v>
      </c>
      <c r="H231" s="3250">
        <v>32.020000000000003</v>
      </c>
      <c r="I231" s="3251">
        <v>7.81</v>
      </c>
      <c r="J231" s="3249" t="s">
        <v>3230</v>
      </c>
    </row>
    <row r="232" spans="4:10">
      <c r="D232" s="3248">
        <v>228</v>
      </c>
      <c r="E232" s="3610"/>
      <c r="F232" s="3249" t="s">
        <v>4131</v>
      </c>
      <c r="G232" s="3249" t="s">
        <v>3458</v>
      </c>
      <c r="H232" s="3250">
        <v>32.020000000000003</v>
      </c>
      <c r="I232" s="3251">
        <v>7.81</v>
      </c>
      <c r="J232" s="3249" t="s">
        <v>3230</v>
      </c>
    </row>
    <row r="233" spans="4:10">
      <c r="D233" s="3248">
        <v>229</v>
      </c>
      <c r="E233" s="3610"/>
      <c r="F233" s="3249" t="s">
        <v>4131</v>
      </c>
      <c r="G233" s="3249" t="s">
        <v>3459</v>
      </c>
      <c r="H233" s="3250">
        <v>32.020000000000003</v>
      </c>
      <c r="I233" s="3251">
        <v>7.81</v>
      </c>
      <c r="J233" s="3249" t="s">
        <v>3230</v>
      </c>
    </row>
    <row r="234" spans="4:10">
      <c r="D234" s="3248">
        <v>230</v>
      </c>
      <c r="E234" s="3610"/>
      <c r="F234" s="3249" t="s">
        <v>4131</v>
      </c>
      <c r="G234" s="3249" t="s">
        <v>3460</v>
      </c>
      <c r="H234" s="3250">
        <v>32.020000000000003</v>
      </c>
      <c r="I234" s="3251">
        <v>7.81</v>
      </c>
      <c r="J234" s="3249" t="s">
        <v>3230</v>
      </c>
    </row>
    <row r="235" spans="4:10">
      <c r="D235" s="3248">
        <v>231</v>
      </c>
      <c r="E235" s="3610"/>
      <c r="F235" s="3249" t="s">
        <v>4131</v>
      </c>
      <c r="G235" s="3249" t="s">
        <v>3461</v>
      </c>
      <c r="H235" s="3250">
        <v>32.020000000000003</v>
      </c>
      <c r="I235" s="3251">
        <v>7.81</v>
      </c>
      <c r="J235" s="3249" t="s">
        <v>3230</v>
      </c>
    </row>
    <row r="236" spans="4:10">
      <c r="D236" s="3248">
        <v>232</v>
      </c>
      <c r="E236" s="3610"/>
      <c r="F236" s="3249" t="s">
        <v>4131</v>
      </c>
      <c r="G236" s="3249" t="s">
        <v>3462</v>
      </c>
      <c r="H236" s="3250">
        <v>32.020000000000003</v>
      </c>
      <c r="I236" s="3251">
        <v>7.81</v>
      </c>
      <c r="J236" s="3249" t="s">
        <v>3230</v>
      </c>
    </row>
    <row r="237" spans="4:10">
      <c r="D237" s="3248">
        <v>233</v>
      </c>
      <c r="E237" s="3610"/>
      <c r="F237" s="3249" t="s">
        <v>4131</v>
      </c>
      <c r="G237" s="3249" t="s">
        <v>3463</v>
      </c>
      <c r="H237" s="3250">
        <v>32.020000000000003</v>
      </c>
      <c r="I237" s="3251">
        <v>7.81</v>
      </c>
      <c r="J237" s="3249" t="s">
        <v>3230</v>
      </c>
    </row>
    <row r="238" spans="4:10">
      <c r="D238" s="3248">
        <v>234</v>
      </c>
      <c r="E238" s="3610"/>
      <c r="F238" s="3249" t="s">
        <v>4131</v>
      </c>
      <c r="G238" s="3249" t="s">
        <v>3464</v>
      </c>
      <c r="H238" s="3250">
        <v>32.020000000000003</v>
      </c>
      <c r="I238" s="3251">
        <v>7.81</v>
      </c>
      <c r="J238" s="3249" t="s">
        <v>3230</v>
      </c>
    </row>
    <row r="239" spans="4:10">
      <c r="D239" s="3248">
        <v>235</v>
      </c>
      <c r="E239" s="3610"/>
      <c r="F239" s="3249" t="s">
        <v>4131</v>
      </c>
      <c r="G239" s="3249" t="s">
        <v>3465</v>
      </c>
      <c r="H239" s="3250">
        <v>32.020000000000003</v>
      </c>
      <c r="I239" s="3251">
        <v>7.81</v>
      </c>
      <c r="J239" s="3249" t="s">
        <v>3230</v>
      </c>
    </row>
    <row r="240" spans="4:10">
      <c r="D240" s="3248">
        <v>236</v>
      </c>
      <c r="E240" s="3610"/>
      <c r="F240" s="3249" t="s">
        <v>4131</v>
      </c>
      <c r="G240" s="3249" t="s">
        <v>3466</v>
      </c>
      <c r="H240" s="3250">
        <v>32.020000000000003</v>
      </c>
      <c r="I240" s="3251">
        <v>7.81</v>
      </c>
      <c r="J240" s="3249" t="s">
        <v>3230</v>
      </c>
    </row>
    <row r="241" spans="4:10">
      <c r="D241" s="3248">
        <v>237</v>
      </c>
      <c r="E241" s="3610"/>
      <c r="F241" s="3249" t="s">
        <v>4131</v>
      </c>
      <c r="G241" s="3249" t="s">
        <v>3467</v>
      </c>
      <c r="H241" s="3250">
        <v>32.020000000000003</v>
      </c>
      <c r="I241" s="3251">
        <v>7.81</v>
      </c>
      <c r="J241" s="3249" t="s">
        <v>3230</v>
      </c>
    </row>
    <row r="242" spans="4:10">
      <c r="D242" s="3248">
        <v>238</v>
      </c>
      <c r="E242" s="3610"/>
      <c r="F242" s="3249" t="s">
        <v>4131</v>
      </c>
      <c r="G242" s="3249" t="s">
        <v>3468</v>
      </c>
      <c r="H242" s="3250">
        <v>33.36</v>
      </c>
      <c r="I242" s="3251">
        <v>8.1300000000000008</v>
      </c>
      <c r="J242" s="3249" t="s">
        <v>3230</v>
      </c>
    </row>
    <row r="243" spans="4:10">
      <c r="D243" s="3248">
        <v>239</v>
      </c>
      <c r="E243" s="3610"/>
      <c r="F243" s="3249" t="s">
        <v>4131</v>
      </c>
      <c r="G243" s="3249" t="s">
        <v>3469</v>
      </c>
      <c r="H243" s="3250">
        <v>33.36</v>
      </c>
      <c r="I243" s="3251">
        <v>8.1300000000000008</v>
      </c>
      <c r="J243" s="3249" t="s">
        <v>3230</v>
      </c>
    </row>
    <row r="244" spans="4:10">
      <c r="D244" s="3248">
        <v>240</v>
      </c>
      <c r="E244" s="3610"/>
      <c r="F244" s="3249" t="s">
        <v>4131</v>
      </c>
      <c r="G244" s="3249" t="s">
        <v>3470</v>
      </c>
      <c r="H244" s="3250">
        <v>33.36</v>
      </c>
      <c r="I244" s="3251">
        <v>8.1300000000000008</v>
      </c>
      <c r="J244" s="3249" t="s">
        <v>3230</v>
      </c>
    </row>
    <row r="245" spans="4:10">
      <c r="D245" s="3248">
        <v>241</v>
      </c>
      <c r="E245" s="3610"/>
      <c r="F245" s="3249" t="s">
        <v>4131</v>
      </c>
      <c r="G245" s="3249" t="s">
        <v>3471</v>
      </c>
      <c r="H245" s="3250">
        <v>33.36</v>
      </c>
      <c r="I245" s="3251">
        <v>8.1300000000000008</v>
      </c>
      <c r="J245" s="3249" t="s">
        <v>3230</v>
      </c>
    </row>
    <row r="246" spans="4:10">
      <c r="D246" s="3248">
        <v>242</v>
      </c>
      <c r="E246" s="3610"/>
      <c r="F246" s="3249" t="s">
        <v>4131</v>
      </c>
      <c r="G246" s="3249" t="s">
        <v>3472</v>
      </c>
      <c r="H246" s="3250">
        <v>33.36</v>
      </c>
      <c r="I246" s="3251">
        <v>8.1300000000000008</v>
      </c>
      <c r="J246" s="3249" t="s">
        <v>3230</v>
      </c>
    </row>
    <row r="247" spans="4:10">
      <c r="D247" s="3248">
        <v>243</v>
      </c>
      <c r="E247" s="3610"/>
      <c r="F247" s="3249" t="s">
        <v>4131</v>
      </c>
      <c r="G247" s="3249" t="s">
        <v>3473</v>
      </c>
      <c r="H247" s="3250">
        <v>33.36</v>
      </c>
      <c r="I247" s="3251">
        <v>8.1300000000000008</v>
      </c>
      <c r="J247" s="3249" t="s">
        <v>3230</v>
      </c>
    </row>
    <row r="248" spans="4:10">
      <c r="D248" s="3248">
        <v>244</v>
      </c>
      <c r="E248" s="3610"/>
      <c r="F248" s="3249" t="s">
        <v>4131</v>
      </c>
      <c r="G248" s="3249" t="s">
        <v>3474</v>
      </c>
      <c r="H248" s="3250">
        <v>32.020000000000003</v>
      </c>
      <c r="I248" s="3251">
        <v>7.81</v>
      </c>
      <c r="J248" s="3249" t="s">
        <v>3230</v>
      </c>
    </row>
    <row r="249" spans="4:10">
      <c r="D249" s="3248">
        <v>245</v>
      </c>
      <c r="E249" s="3610"/>
      <c r="F249" s="3249" t="s">
        <v>4131</v>
      </c>
      <c r="G249" s="3249" t="s">
        <v>3475</v>
      </c>
      <c r="H249" s="3250">
        <v>32.020000000000003</v>
      </c>
      <c r="I249" s="3251">
        <v>7.81</v>
      </c>
      <c r="J249" s="3249" t="s">
        <v>3230</v>
      </c>
    </row>
    <row r="250" spans="4:10">
      <c r="D250" s="3248">
        <v>246</v>
      </c>
      <c r="E250" s="3610"/>
      <c r="F250" s="3249" t="s">
        <v>4131</v>
      </c>
      <c r="G250" s="3249" t="s">
        <v>3476</v>
      </c>
      <c r="H250" s="3250">
        <v>32.020000000000003</v>
      </c>
      <c r="I250" s="3251">
        <v>7.81</v>
      </c>
      <c r="J250" s="3249" t="s">
        <v>3230</v>
      </c>
    </row>
    <row r="251" spans="4:10">
      <c r="D251" s="3248">
        <v>247</v>
      </c>
      <c r="E251" s="3610"/>
      <c r="F251" s="3249" t="s">
        <v>4131</v>
      </c>
      <c r="G251" s="3249" t="s">
        <v>3477</v>
      </c>
      <c r="H251" s="3250">
        <v>32.020000000000003</v>
      </c>
      <c r="I251" s="3251">
        <v>7.81</v>
      </c>
      <c r="J251" s="3249" t="s">
        <v>3230</v>
      </c>
    </row>
    <row r="252" spans="4:10">
      <c r="D252" s="3248">
        <v>248</v>
      </c>
      <c r="E252" s="3610"/>
      <c r="F252" s="3249" t="s">
        <v>4131</v>
      </c>
      <c r="G252" s="3249" t="s">
        <v>3478</v>
      </c>
      <c r="H252" s="3250">
        <v>32.020000000000003</v>
      </c>
      <c r="I252" s="3251">
        <v>7.81</v>
      </c>
      <c r="J252" s="3249" t="s">
        <v>3230</v>
      </c>
    </row>
    <row r="253" spans="4:10">
      <c r="D253" s="3248">
        <v>249</v>
      </c>
      <c r="E253" s="3610"/>
      <c r="F253" s="3249" t="s">
        <v>4131</v>
      </c>
      <c r="G253" s="3249" t="s">
        <v>3479</v>
      </c>
      <c r="H253" s="3250">
        <v>32.020000000000003</v>
      </c>
      <c r="I253" s="3251">
        <v>7.81</v>
      </c>
      <c r="J253" s="3249" t="s">
        <v>3230</v>
      </c>
    </row>
    <row r="254" spans="4:10">
      <c r="D254" s="3248">
        <v>250</v>
      </c>
      <c r="E254" s="3610"/>
      <c r="F254" s="3249" t="s">
        <v>4131</v>
      </c>
      <c r="G254" s="3249" t="s">
        <v>3480</v>
      </c>
      <c r="H254" s="3250">
        <v>32.020000000000003</v>
      </c>
      <c r="I254" s="3251">
        <v>7.81</v>
      </c>
      <c r="J254" s="3249" t="s">
        <v>3230</v>
      </c>
    </row>
    <row r="255" spans="4:10">
      <c r="D255" s="3248">
        <v>251</v>
      </c>
      <c r="E255" s="3610"/>
      <c r="F255" s="3249" t="s">
        <v>4131</v>
      </c>
      <c r="G255" s="3249" t="s">
        <v>3481</v>
      </c>
      <c r="H255" s="3250">
        <v>32.020000000000003</v>
      </c>
      <c r="I255" s="3251">
        <v>7.81</v>
      </c>
      <c r="J255" s="3249" t="s">
        <v>3230</v>
      </c>
    </row>
    <row r="256" spans="4:10">
      <c r="D256" s="3248">
        <v>252</v>
      </c>
      <c r="E256" s="3610"/>
      <c r="F256" s="3249" t="s">
        <v>4131</v>
      </c>
      <c r="G256" s="3249" t="s">
        <v>3482</v>
      </c>
      <c r="H256" s="3250">
        <v>32.020000000000003</v>
      </c>
      <c r="I256" s="3251">
        <v>7.81</v>
      </c>
      <c r="J256" s="3249" t="s">
        <v>3230</v>
      </c>
    </row>
    <row r="257" spans="4:10">
      <c r="D257" s="3248">
        <v>253</v>
      </c>
      <c r="E257" s="3610"/>
      <c r="F257" s="3249" t="s">
        <v>4131</v>
      </c>
      <c r="G257" s="3249" t="s">
        <v>3483</v>
      </c>
      <c r="H257" s="3250">
        <v>33.36</v>
      </c>
      <c r="I257" s="3251">
        <v>8.1300000000000008</v>
      </c>
      <c r="J257" s="3249" t="s">
        <v>3230</v>
      </c>
    </row>
    <row r="258" spans="4:10">
      <c r="D258" s="3248">
        <v>254</v>
      </c>
      <c r="E258" s="3610"/>
      <c r="F258" s="3249" t="s">
        <v>4131</v>
      </c>
      <c r="G258" s="3249" t="s">
        <v>3484</v>
      </c>
      <c r="H258" s="3250">
        <v>33.36</v>
      </c>
      <c r="I258" s="3251">
        <v>8.1300000000000008</v>
      </c>
      <c r="J258" s="3249" t="s">
        <v>3230</v>
      </c>
    </row>
    <row r="259" spans="4:10">
      <c r="D259" s="3248">
        <v>255</v>
      </c>
      <c r="E259" s="3610"/>
      <c r="F259" s="3249" t="s">
        <v>4131</v>
      </c>
      <c r="G259" s="3249" t="s">
        <v>3485</v>
      </c>
      <c r="H259" s="3250">
        <v>33.36</v>
      </c>
      <c r="I259" s="3251">
        <v>8.1300000000000008</v>
      </c>
      <c r="J259" s="3249" t="s">
        <v>3230</v>
      </c>
    </row>
    <row r="260" spans="4:10">
      <c r="D260" s="3248">
        <v>256</v>
      </c>
      <c r="E260" s="3610"/>
      <c r="F260" s="3249" t="s">
        <v>4131</v>
      </c>
      <c r="G260" s="3249" t="s">
        <v>3486</v>
      </c>
      <c r="H260" s="3250">
        <v>33.36</v>
      </c>
      <c r="I260" s="3251">
        <v>8.1300000000000008</v>
      </c>
      <c r="J260" s="3249" t="s">
        <v>3230</v>
      </c>
    </row>
    <row r="261" spans="4:10">
      <c r="D261" s="3248">
        <v>257</v>
      </c>
      <c r="E261" s="3610"/>
      <c r="F261" s="3249" t="s">
        <v>4131</v>
      </c>
      <c r="G261" s="3249" t="s">
        <v>3487</v>
      </c>
      <c r="H261" s="3250">
        <v>33.36</v>
      </c>
      <c r="I261" s="3251">
        <v>8.1300000000000008</v>
      </c>
      <c r="J261" s="3249" t="s">
        <v>3230</v>
      </c>
    </row>
    <row r="262" spans="4:10">
      <c r="D262" s="3248">
        <v>258</v>
      </c>
      <c r="E262" s="3610"/>
      <c r="F262" s="3249" t="s">
        <v>4131</v>
      </c>
      <c r="G262" s="3249" t="s">
        <v>3488</v>
      </c>
      <c r="H262" s="3250">
        <v>33.36</v>
      </c>
      <c r="I262" s="3251">
        <v>8.1300000000000008</v>
      </c>
      <c r="J262" s="3249" t="s">
        <v>3230</v>
      </c>
    </row>
    <row r="263" spans="4:10">
      <c r="D263" s="3248">
        <v>259</v>
      </c>
      <c r="E263" s="3610"/>
      <c r="F263" s="3249" t="s">
        <v>4131</v>
      </c>
      <c r="G263" s="3249" t="s">
        <v>3489</v>
      </c>
      <c r="H263" s="3250">
        <v>32.020000000000003</v>
      </c>
      <c r="I263" s="3251">
        <v>7.81</v>
      </c>
      <c r="J263" s="3249" t="s">
        <v>3230</v>
      </c>
    </row>
    <row r="264" spans="4:10">
      <c r="D264" s="3248">
        <v>260</v>
      </c>
      <c r="E264" s="3610"/>
      <c r="F264" s="3249" t="s">
        <v>4131</v>
      </c>
      <c r="G264" s="3249" t="s">
        <v>3490</v>
      </c>
      <c r="H264" s="3250">
        <v>32.020000000000003</v>
      </c>
      <c r="I264" s="3251">
        <v>7.81</v>
      </c>
      <c r="J264" s="3249" t="s">
        <v>3230</v>
      </c>
    </row>
    <row r="265" spans="4:10">
      <c r="D265" s="3248">
        <v>261</v>
      </c>
      <c r="E265" s="3610"/>
      <c r="F265" s="3249" t="s">
        <v>4131</v>
      </c>
      <c r="G265" s="3249" t="s">
        <v>3491</v>
      </c>
      <c r="H265" s="3250">
        <v>32.020000000000003</v>
      </c>
      <c r="I265" s="3251">
        <v>7.81</v>
      </c>
      <c r="J265" s="3249" t="s">
        <v>3230</v>
      </c>
    </row>
    <row r="266" spans="4:10">
      <c r="D266" s="3248">
        <v>262</v>
      </c>
      <c r="E266" s="3610"/>
      <c r="F266" s="3249" t="s">
        <v>4131</v>
      </c>
      <c r="G266" s="3249" t="s">
        <v>3492</v>
      </c>
      <c r="H266" s="3250">
        <v>32.020000000000003</v>
      </c>
      <c r="I266" s="3251">
        <v>7.81</v>
      </c>
      <c r="J266" s="3249" t="s">
        <v>3230</v>
      </c>
    </row>
    <row r="267" spans="4:10">
      <c r="D267" s="3248">
        <v>263</v>
      </c>
      <c r="E267" s="3610"/>
      <c r="F267" s="3249" t="s">
        <v>4131</v>
      </c>
      <c r="G267" s="3249" t="s">
        <v>3493</v>
      </c>
      <c r="H267" s="3250">
        <v>32.020000000000003</v>
      </c>
      <c r="I267" s="3251">
        <v>7.81</v>
      </c>
      <c r="J267" s="3249" t="s">
        <v>3230</v>
      </c>
    </row>
    <row r="268" spans="4:10">
      <c r="D268" s="3248">
        <v>264</v>
      </c>
      <c r="E268" s="3610"/>
      <c r="F268" s="3249" t="s">
        <v>4131</v>
      </c>
      <c r="G268" s="3249" t="s">
        <v>3494</v>
      </c>
      <c r="H268" s="3250">
        <v>32.020000000000003</v>
      </c>
      <c r="I268" s="3251">
        <v>7.81</v>
      </c>
      <c r="J268" s="3249" t="s">
        <v>3230</v>
      </c>
    </row>
    <row r="269" spans="4:10">
      <c r="D269" s="3248">
        <v>265</v>
      </c>
      <c r="E269" s="3610"/>
      <c r="F269" s="3249" t="s">
        <v>4131</v>
      </c>
      <c r="G269" s="3249" t="s">
        <v>3495</v>
      </c>
      <c r="H269" s="3250">
        <v>32.020000000000003</v>
      </c>
      <c r="I269" s="3251">
        <v>7.81</v>
      </c>
      <c r="J269" s="3249" t="s">
        <v>3230</v>
      </c>
    </row>
    <row r="270" spans="4:10">
      <c r="D270" s="3248">
        <v>266</v>
      </c>
      <c r="E270" s="3610"/>
      <c r="F270" s="3249" t="s">
        <v>4131</v>
      </c>
      <c r="G270" s="3249" t="s">
        <v>3496</v>
      </c>
      <c r="H270" s="3250">
        <v>32.020000000000003</v>
      </c>
      <c r="I270" s="3251">
        <v>7.81</v>
      </c>
      <c r="J270" s="3249" t="s">
        <v>3230</v>
      </c>
    </row>
    <row r="271" spans="4:10">
      <c r="D271" s="3248">
        <v>267</v>
      </c>
      <c r="E271" s="3610"/>
      <c r="F271" s="3249" t="s">
        <v>4131</v>
      </c>
      <c r="G271" s="3249" t="s">
        <v>3497</v>
      </c>
      <c r="H271" s="3250">
        <v>32.020000000000003</v>
      </c>
      <c r="I271" s="3251">
        <v>7.81</v>
      </c>
      <c r="J271" s="3249" t="s">
        <v>3230</v>
      </c>
    </row>
    <row r="272" spans="4:10">
      <c r="D272" s="3248">
        <v>268</v>
      </c>
      <c r="E272" s="3610"/>
      <c r="F272" s="3249" t="s">
        <v>4131</v>
      </c>
      <c r="G272" s="3249" t="s">
        <v>3498</v>
      </c>
      <c r="H272" s="3250">
        <v>32.020000000000003</v>
      </c>
      <c r="I272" s="3251">
        <v>7.81</v>
      </c>
      <c r="J272" s="3249" t="s">
        <v>3230</v>
      </c>
    </row>
    <row r="273" spans="4:10">
      <c r="D273" s="3248">
        <v>269</v>
      </c>
      <c r="E273" s="3610"/>
      <c r="F273" s="3249" t="s">
        <v>4131</v>
      </c>
      <c r="G273" s="3249" t="s">
        <v>3499</v>
      </c>
      <c r="H273" s="3250">
        <v>32.020000000000003</v>
      </c>
      <c r="I273" s="3251">
        <v>7.81</v>
      </c>
      <c r="J273" s="3249" t="s">
        <v>3230</v>
      </c>
    </row>
    <row r="274" spans="4:10">
      <c r="D274" s="3248">
        <v>270</v>
      </c>
      <c r="E274" s="3610"/>
      <c r="F274" s="3249" t="s">
        <v>4131</v>
      </c>
      <c r="G274" s="3249" t="s">
        <v>3500</v>
      </c>
      <c r="H274" s="3250">
        <v>32.020000000000003</v>
      </c>
      <c r="I274" s="3251">
        <v>7.81</v>
      </c>
      <c r="J274" s="3249" t="s">
        <v>3230</v>
      </c>
    </row>
    <row r="275" spans="4:10">
      <c r="D275" s="3248">
        <v>271</v>
      </c>
      <c r="E275" s="3610"/>
      <c r="F275" s="3249" t="s">
        <v>4131</v>
      </c>
      <c r="G275" s="3249" t="s">
        <v>3501</v>
      </c>
      <c r="H275" s="3250">
        <v>32.020000000000003</v>
      </c>
      <c r="I275" s="3251">
        <v>7.81</v>
      </c>
      <c r="J275" s="3249" t="s">
        <v>3230</v>
      </c>
    </row>
    <row r="276" spans="4:10">
      <c r="D276" s="3248">
        <v>272</v>
      </c>
      <c r="E276" s="3610"/>
      <c r="F276" s="3249" t="s">
        <v>4131</v>
      </c>
      <c r="G276" s="3249" t="s">
        <v>3502</v>
      </c>
      <c r="H276" s="3250">
        <v>32.020000000000003</v>
      </c>
      <c r="I276" s="3251">
        <v>7.81</v>
      </c>
      <c r="J276" s="3249" t="s">
        <v>3230</v>
      </c>
    </row>
    <row r="277" spans="4:10">
      <c r="D277" s="3248">
        <v>273</v>
      </c>
      <c r="E277" s="3610"/>
      <c r="F277" s="3249" t="s">
        <v>4131</v>
      </c>
      <c r="G277" s="3249" t="s">
        <v>3503</v>
      </c>
      <c r="H277" s="3250">
        <v>32.020000000000003</v>
      </c>
      <c r="I277" s="3251">
        <v>7.81</v>
      </c>
      <c r="J277" s="3249" t="s">
        <v>3230</v>
      </c>
    </row>
    <row r="278" spans="4:10">
      <c r="D278" s="3248">
        <v>274</v>
      </c>
      <c r="E278" s="3610"/>
      <c r="F278" s="3249" t="s">
        <v>4131</v>
      </c>
      <c r="G278" s="3249" t="s">
        <v>3504</v>
      </c>
      <c r="H278" s="3250">
        <v>32.020000000000003</v>
      </c>
      <c r="I278" s="3251">
        <v>7.81</v>
      </c>
      <c r="J278" s="3249" t="s">
        <v>3230</v>
      </c>
    </row>
    <row r="279" spans="4:10">
      <c r="D279" s="3248">
        <v>275</v>
      </c>
      <c r="E279" s="3610"/>
      <c r="F279" s="3249" t="s">
        <v>4131</v>
      </c>
      <c r="G279" s="3249" t="s">
        <v>3505</v>
      </c>
      <c r="H279" s="3250">
        <v>32.020000000000003</v>
      </c>
      <c r="I279" s="3251">
        <v>7.81</v>
      </c>
      <c r="J279" s="3249" t="s">
        <v>3230</v>
      </c>
    </row>
    <row r="280" spans="4:10">
      <c r="D280" s="3248">
        <v>276</v>
      </c>
      <c r="E280" s="3610"/>
      <c r="F280" s="3249" t="s">
        <v>4131</v>
      </c>
      <c r="G280" s="3249" t="s">
        <v>3506</v>
      </c>
      <c r="H280" s="3250">
        <v>32.020000000000003</v>
      </c>
      <c r="I280" s="3251">
        <v>7.81</v>
      </c>
      <c r="J280" s="3249" t="s">
        <v>3230</v>
      </c>
    </row>
    <row r="281" spans="4:10">
      <c r="D281" s="3248">
        <v>277</v>
      </c>
      <c r="E281" s="3610"/>
      <c r="F281" s="3249" t="s">
        <v>4131</v>
      </c>
      <c r="G281" s="3249" t="s">
        <v>3507</v>
      </c>
      <c r="H281" s="3250">
        <v>32.020000000000003</v>
      </c>
      <c r="I281" s="3251">
        <v>7.81</v>
      </c>
      <c r="J281" s="3249" t="s">
        <v>3230</v>
      </c>
    </row>
    <row r="282" spans="4:10">
      <c r="D282" s="3248">
        <v>278</v>
      </c>
      <c r="E282" s="3610"/>
      <c r="F282" s="3249" t="s">
        <v>4131</v>
      </c>
      <c r="G282" s="3249" t="s">
        <v>3508</v>
      </c>
      <c r="H282" s="3250">
        <v>32.020000000000003</v>
      </c>
      <c r="I282" s="3251">
        <v>7.81</v>
      </c>
      <c r="J282" s="3249" t="s">
        <v>3230</v>
      </c>
    </row>
    <row r="283" spans="4:10">
      <c r="D283" s="3248">
        <v>279</v>
      </c>
      <c r="E283" s="3610"/>
      <c r="F283" s="3249" t="s">
        <v>4131</v>
      </c>
      <c r="G283" s="3249" t="s">
        <v>3509</v>
      </c>
      <c r="H283" s="3250">
        <v>32.020000000000003</v>
      </c>
      <c r="I283" s="3251">
        <v>7.81</v>
      </c>
      <c r="J283" s="3249" t="s">
        <v>3230</v>
      </c>
    </row>
    <row r="284" spans="4:10">
      <c r="D284" s="3248">
        <v>280</v>
      </c>
      <c r="E284" s="3610"/>
      <c r="F284" s="3249" t="s">
        <v>4131</v>
      </c>
      <c r="G284" s="3249" t="s">
        <v>3510</v>
      </c>
      <c r="H284" s="3250">
        <v>32.020000000000003</v>
      </c>
      <c r="I284" s="3251">
        <v>7.81</v>
      </c>
      <c r="J284" s="3249" t="s">
        <v>3230</v>
      </c>
    </row>
    <row r="285" spans="4:10">
      <c r="D285" s="3248">
        <v>281</v>
      </c>
      <c r="E285" s="3610"/>
      <c r="F285" s="3249" t="s">
        <v>4131</v>
      </c>
      <c r="G285" s="3249" t="s">
        <v>3511</v>
      </c>
      <c r="H285" s="3250">
        <v>32.020000000000003</v>
      </c>
      <c r="I285" s="3251">
        <v>7.81</v>
      </c>
      <c r="J285" s="3249" t="s">
        <v>3230</v>
      </c>
    </row>
    <row r="286" spans="4:10">
      <c r="D286" s="3248">
        <v>282</v>
      </c>
      <c r="E286" s="3610"/>
      <c r="F286" s="3249" t="s">
        <v>4131</v>
      </c>
      <c r="G286" s="3249" t="s">
        <v>3512</v>
      </c>
      <c r="H286" s="3250">
        <v>32.020000000000003</v>
      </c>
      <c r="I286" s="3251">
        <v>7.81</v>
      </c>
      <c r="J286" s="3249" t="s">
        <v>3230</v>
      </c>
    </row>
    <row r="287" spans="4:10">
      <c r="D287" s="3248">
        <v>283</v>
      </c>
      <c r="E287" s="3610"/>
      <c r="F287" s="3249" t="s">
        <v>4131</v>
      </c>
      <c r="G287" s="3249" t="s">
        <v>3513</v>
      </c>
      <c r="H287" s="3250">
        <v>32.020000000000003</v>
      </c>
      <c r="I287" s="3251">
        <v>7.81</v>
      </c>
      <c r="J287" s="3249" t="s">
        <v>3230</v>
      </c>
    </row>
    <row r="288" spans="4:10">
      <c r="D288" s="3248">
        <v>284</v>
      </c>
      <c r="E288" s="3610"/>
      <c r="F288" s="3249" t="s">
        <v>4131</v>
      </c>
      <c r="G288" s="3249" t="s">
        <v>3514</v>
      </c>
      <c r="H288" s="3250">
        <v>33.36</v>
      </c>
      <c r="I288" s="3251">
        <v>8.1300000000000008</v>
      </c>
      <c r="J288" s="3249" t="s">
        <v>3230</v>
      </c>
    </row>
    <row r="289" spans="4:10">
      <c r="D289" s="3248">
        <v>285</v>
      </c>
      <c r="E289" s="3610"/>
      <c r="F289" s="3249" t="s">
        <v>4131</v>
      </c>
      <c r="G289" s="3249" t="s">
        <v>3515</v>
      </c>
      <c r="H289" s="3250">
        <v>32.020000000000003</v>
      </c>
      <c r="I289" s="3251">
        <v>7.81</v>
      </c>
      <c r="J289" s="3249" t="s">
        <v>3230</v>
      </c>
    </row>
    <row r="290" spans="4:10">
      <c r="D290" s="3248">
        <v>286</v>
      </c>
      <c r="E290" s="3610"/>
      <c r="F290" s="3249" t="s">
        <v>4131</v>
      </c>
      <c r="G290" s="3249" t="s">
        <v>3516</v>
      </c>
      <c r="H290" s="3250">
        <v>33.36</v>
      </c>
      <c r="I290" s="3251">
        <v>8.1300000000000008</v>
      </c>
      <c r="J290" s="3249" t="s">
        <v>3230</v>
      </c>
    </row>
    <row r="291" spans="4:10">
      <c r="D291" s="3248">
        <v>287</v>
      </c>
      <c r="E291" s="3610"/>
      <c r="F291" s="3249" t="s">
        <v>4131</v>
      </c>
      <c r="G291" s="3249" t="s">
        <v>3517</v>
      </c>
      <c r="H291" s="3250">
        <v>27.57</v>
      </c>
      <c r="I291" s="3251">
        <v>6.83</v>
      </c>
      <c r="J291" s="3249" t="s">
        <v>3230</v>
      </c>
    </row>
    <row r="292" spans="4:10">
      <c r="D292" s="3248">
        <v>288</v>
      </c>
      <c r="E292" s="3610"/>
      <c r="F292" s="3249" t="s">
        <v>4131</v>
      </c>
      <c r="G292" s="3249" t="s">
        <v>3518</v>
      </c>
      <c r="H292" s="3250">
        <v>32.020000000000003</v>
      </c>
      <c r="I292" s="3251">
        <v>7.81</v>
      </c>
      <c r="J292" s="3249" t="s">
        <v>3230</v>
      </c>
    </row>
    <row r="293" spans="4:10">
      <c r="D293" s="3248">
        <v>289</v>
      </c>
      <c r="E293" s="3610"/>
      <c r="F293" s="3249" t="s">
        <v>4131</v>
      </c>
      <c r="G293" s="3249" t="s">
        <v>3519</v>
      </c>
      <c r="H293" s="3250">
        <v>32.020000000000003</v>
      </c>
      <c r="I293" s="3251">
        <v>7.81</v>
      </c>
      <c r="J293" s="3249" t="s">
        <v>3230</v>
      </c>
    </row>
    <row r="294" spans="4:10">
      <c r="D294" s="3248">
        <v>290</v>
      </c>
      <c r="E294" s="3610"/>
      <c r="F294" s="3249" t="s">
        <v>4131</v>
      </c>
      <c r="G294" s="3249" t="s">
        <v>3520</v>
      </c>
      <c r="H294" s="3250">
        <v>32.020000000000003</v>
      </c>
      <c r="I294" s="3251">
        <v>7.81</v>
      </c>
      <c r="J294" s="3249" t="s">
        <v>3230</v>
      </c>
    </row>
    <row r="295" spans="4:10">
      <c r="D295" s="3248">
        <v>291</v>
      </c>
      <c r="E295" s="3610"/>
      <c r="F295" s="3249" t="s">
        <v>4131</v>
      </c>
      <c r="G295" s="3249" t="s">
        <v>3521</v>
      </c>
      <c r="H295" s="3250">
        <v>32.020000000000003</v>
      </c>
      <c r="I295" s="3251">
        <v>7.81</v>
      </c>
      <c r="J295" s="3249" t="s">
        <v>3230</v>
      </c>
    </row>
    <row r="296" spans="4:10">
      <c r="D296" s="3248">
        <v>292</v>
      </c>
      <c r="E296" s="3610" t="s">
        <v>4142</v>
      </c>
      <c r="F296" s="3249" t="s">
        <v>4132</v>
      </c>
      <c r="G296" s="3249" t="s">
        <v>3522</v>
      </c>
      <c r="H296" s="3250">
        <v>37.11</v>
      </c>
      <c r="I296" s="3251">
        <v>7.62</v>
      </c>
      <c r="J296" s="3249" t="s">
        <v>3230</v>
      </c>
    </row>
    <row r="297" spans="4:10">
      <c r="D297" s="3248">
        <v>293</v>
      </c>
      <c r="E297" s="3610"/>
      <c r="F297" s="3249" t="s">
        <v>4132</v>
      </c>
      <c r="G297" s="3249" t="s">
        <v>3523</v>
      </c>
      <c r="H297" s="3250">
        <v>37.11</v>
      </c>
      <c r="I297" s="3251">
        <v>7.62</v>
      </c>
      <c r="J297" s="3249" t="s">
        <v>3230</v>
      </c>
    </row>
    <row r="298" spans="4:10">
      <c r="D298" s="3248">
        <v>294</v>
      </c>
      <c r="E298" s="3610"/>
      <c r="F298" s="3249" t="s">
        <v>4132</v>
      </c>
      <c r="G298" s="3249" t="s">
        <v>3524</v>
      </c>
      <c r="H298" s="3250">
        <v>37.11</v>
      </c>
      <c r="I298" s="3251">
        <v>7.62</v>
      </c>
      <c r="J298" s="3249" t="s">
        <v>3230</v>
      </c>
    </row>
    <row r="299" spans="4:10">
      <c r="D299" s="3248">
        <v>295</v>
      </c>
      <c r="E299" s="3610"/>
      <c r="F299" s="3249" t="s">
        <v>4132</v>
      </c>
      <c r="G299" s="3249" t="s">
        <v>3525</v>
      </c>
      <c r="H299" s="3250">
        <v>37.11</v>
      </c>
      <c r="I299" s="3251">
        <v>7.62</v>
      </c>
      <c r="J299" s="3249" t="s">
        <v>3230</v>
      </c>
    </row>
    <row r="300" spans="4:10">
      <c r="D300" s="3248">
        <v>296</v>
      </c>
      <c r="E300" s="3610"/>
      <c r="F300" s="3249" t="s">
        <v>4132</v>
      </c>
      <c r="G300" s="3249" t="s">
        <v>3526</v>
      </c>
      <c r="H300" s="3250">
        <v>37.11</v>
      </c>
      <c r="I300" s="3251">
        <v>7.62</v>
      </c>
      <c r="J300" s="3249" t="s">
        <v>3230</v>
      </c>
    </row>
    <row r="301" spans="4:10">
      <c r="D301" s="3248">
        <v>297</v>
      </c>
      <c r="E301" s="3610"/>
      <c r="F301" s="3249" t="s">
        <v>4132</v>
      </c>
      <c r="G301" s="3249" t="s">
        <v>3527</v>
      </c>
      <c r="H301" s="3250">
        <v>37.11</v>
      </c>
      <c r="I301" s="3251">
        <v>7.62</v>
      </c>
      <c r="J301" s="3249" t="s">
        <v>3230</v>
      </c>
    </row>
    <row r="302" spans="4:10">
      <c r="D302" s="3248">
        <v>298</v>
      </c>
      <c r="E302" s="3610"/>
      <c r="F302" s="3249" t="s">
        <v>4132</v>
      </c>
      <c r="G302" s="3249" t="s">
        <v>3528</v>
      </c>
      <c r="H302" s="3250">
        <v>37.11</v>
      </c>
      <c r="I302" s="3251">
        <v>7.62</v>
      </c>
      <c r="J302" s="3249" t="s">
        <v>3230</v>
      </c>
    </row>
    <row r="303" spans="4:10">
      <c r="D303" s="3248">
        <v>299</v>
      </c>
      <c r="E303" s="3610"/>
      <c r="F303" s="3249" t="s">
        <v>4132</v>
      </c>
      <c r="G303" s="3249" t="s">
        <v>3529</v>
      </c>
      <c r="H303" s="3250">
        <v>37.11</v>
      </c>
      <c r="I303" s="3251">
        <v>7.62</v>
      </c>
      <c r="J303" s="3249" t="s">
        <v>3230</v>
      </c>
    </row>
    <row r="304" spans="4:10">
      <c r="D304" s="3248">
        <v>300</v>
      </c>
      <c r="E304" s="3610"/>
      <c r="F304" s="3249" t="s">
        <v>4132</v>
      </c>
      <c r="G304" s="3249" t="s">
        <v>3530</v>
      </c>
      <c r="H304" s="3250">
        <v>37.11</v>
      </c>
      <c r="I304" s="3251">
        <v>7.62</v>
      </c>
      <c r="J304" s="3249" t="s">
        <v>3230</v>
      </c>
    </row>
    <row r="305" spans="4:10">
      <c r="D305" s="3248">
        <v>301</v>
      </c>
      <c r="E305" s="3610"/>
      <c r="F305" s="3249" t="s">
        <v>4132</v>
      </c>
      <c r="G305" s="3249" t="s">
        <v>3531</v>
      </c>
      <c r="H305" s="3250">
        <v>37.11</v>
      </c>
      <c r="I305" s="3251">
        <v>7.62</v>
      </c>
      <c r="J305" s="3249" t="s">
        <v>3230</v>
      </c>
    </row>
    <row r="306" spans="4:10">
      <c r="D306" s="3248">
        <v>302</v>
      </c>
      <c r="E306" s="3610"/>
      <c r="F306" s="3249" t="s">
        <v>4132</v>
      </c>
      <c r="G306" s="3249" t="s">
        <v>3532</v>
      </c>
      <c r="H306" s="3250">
        <v>38.659999999999997</v>
      </c>
      <c r="I306" s="3251">
        <v>7.93</v>
      </c>
      <c r="J306" s="3249" t="s">
        <v>3230</v>
      </c>
    </row>
    <row r="307" spans="4:10">
      <c r="D307" s="3248">
        <v>303</v>
      </c>
      <c r="E307" s="3610"/>
      <c r="F307" s="3249" t="s">
        <v>4132</v>
      </c>
      <c r="G307" s="3249" t="s">
        <v>3533</v>
      </c>
      <c r="H307" s="3250">
        <v>38.659999999999997</v>
      </c>
      <c r="I307" s="3251">
        <v>7.93</v>
      </c>
      <c r="J307" s="3249" t="s">
        <v>3230</v>
      </c>
    </row>
    <row r="308" spans="4:10">
      <c r="D308" s="3248">
        <v>304</v>
      </c>
      <c r="E308" s="3610"/>
      <c r="F308" s="3249" t="s">
        <v>4132</v>
      </c>
      <c r="G308" s="3249" t="s">
        <v>3534</v>
      </c>
      <c r="H308" s="3250">
        <v>37.11</v>
      </c>
      <c r="I308" s="3251">
        <v>7.62</v>
      </c>
      <c r="J308" s="3249" t="s">
        <v>3230</v>
      </c>
    </row>
    <row r="309" spans="4:10">
      <c r="D309" s="3248">
        <v>305</v>
      </c>
      <c r="E309" s="3610"/>
      <c r="F309" s="3249" t="s">
        <v>4132</v>
      </c>
      <c r="G309" s="3249" t="s">
        <v>3535</v>
      </c>
      <c r="H309" s="3250">
        <v>37.11</v>
      </c>
      <c r="I309" s="3251">
        <v>7.62</v>
      </c>
      <c r="J309" s="3249" t="s">
        <v>3230</v>
      </c>
    </row>
    <row r="310" spans="4:10">
      <c r="D310" s="3248">
        <v>306</v>
      </c>
      <c r="E310" s="3610"/>
      <c r="F310" s="3249" t="s">
        <v>4132</v>
      </c>
      <c r="G310" s="3249" t="s">
        <v>3536</v>
      </c>
      <c r="H310" s="3250">
        <v>36.369999999999997</v>
      </c>
      <c r="I310" s="3251">
        <v>7.46</v>
      </c>
      <c r="J310" s="3249" t="s">
        <v>3230</v>
      </c>
    </row>
    <row r="311" spans="4:10">
      <c r="D311" s="3248">
        <v>307</v>
      </c>
      <c r="E311" s="3610"/>
      <c r="F311" s="3249" t="s">
        <v>4132</v>
      </c>
      <c r="G311" s="3249" t="s">
        <v>3537</v>
      </c>
      <c r="H311" s="3250">
        <v>37.11</v>
      </c>
      <c r="I311" s="3251">
        <v>7.62</v>
      </c>
      <c r="J311" s="3249" t="s">
        <v>3230</v>
      </c>
    </row>
    <row r="312" spans="4:10">
      <c r="D312" s="3248">
        <v>308</v>
      </c>
      <c r="E312" s="3610"/>
      <c r="F312" s="3249" t="s">
        <v>4132</v>
      </c>
      <c r="G312" s="3249" t="s">
        <v>3538</v>
      </c>
      <c r="H312" s="3250">
        <v>40.200000000000003</v>
      </c>
      <c r="I312" s="3251">
        <v>8.81</v>
      </c>
      <c r="J312" s="3249" t="s">
        <v>3230</v>
      </c>
    </row>
    <row r="313" spans="4:10">
      <c r="D313" s="3248">
        <v>309</v>
      </c>
      <c r="E313" s="3610"/>
      <c r="F313" s="3249" t="s">
        <v>4132</v>
      </c>
      <c r="G313" s="3249" t="s">
        <v>3539</v>
      </c>
      <c r="H313" s="3250">
        <v>37.11</v>
      </c>
      <c r="I313" s="3251">
        <v>7.62</v>
      </c>
      <c r="J313" s="3249" t="s">
        <v>3230</v>
      </c>
    </row>
    <row r="314" spans="4:10">
      <c r="D314" s="3248">
        <v>310</v>
      </c>
      <c r="E314" s="3610"/>
      <c r="F314" s="3249" t="s">
        <v>4132</v>
      </c>
      <c r="G314" s="3249" t="s">
        <v>3540</v>
      </c>
      <c r="H314" s="3250">
        <v>37.11</v>
      </c>
      <c r="I314" s="3251">
        <v>7.62</v>
      </c>
      <c r="J314" s="3249" t="s">
        <v>3230</v>
      </c>
    </row>
    <row r="315" spans="4:10">
      <c r="D315" s="3248">
        <v>311</v>
      </c>
      <c r="E315" s="3610"/>
      <c r="F315" s="3249" t="s">
        <v>4132</v>
      </c>
      <c r="G315" s="3249" t="s">
        <v>3541</v>
      </c>
      <c r="H315" s="3250">
        <v>37.11</v>
      </c>
      <c r="I315" s="3251">
        <v>7.62</v>
      </c>
      <c r="J315" s="3249" t="s">
        <v>3230</v>
      </c>
    </row>
    <row r="316" spans="4:10">
      <c r="D316" s="3248">
        <v>312</v>
      </c>
      <c r="E316" s="3610"/>
      <c r="F316" s="3249" t="s">
        <v>4132</v>
      </c>
      <c r="G316" s="3249" t="s">
        <v>3542</v>
      </c>
      <c r="H316" s="3250">
        <v>37.49</v>
      </c>
      <c r="I316" s="3251">
        <v>7.69</v>
      </c>
      <c r="J316" s="3249" t="s">
        <v>3230</v>
      </c>
    </row>
    <row r="317" spans="4:10">
      <c r="D317" s="3248">
        <v>313</v>
      </c>
      <c r="E317" s="3610"/>
      <c r="F317" s="3249" t="s">
        <v>4132</v>
      </c>
      <c r="G317" s="3249" t="s">
        <v>3543</v>
      </c>
      <c r="H317" s="3250">
        <v>37.49</v>
      </c>
      <c r="I317" s="3251">
        <v>7.69</v>
      </c>
      <c r="J317" s="3249" t="s">
        <v>3230</v>
      </c>
    </row>
    <row r="318" spans="4:10">
      <c r="D318" s="3248">
        <v>314</v>
      </c>
      <c r="E318" s="3610"/>
      <c r="F318" s="3249" t="s">
        <v>4132</v>
      </c>
      <c r="G318" s="3249" t="s">
        <v>3544</v>
      </c>
      <c r="H318" s="3250">
        <v>37.49</v>
      </c>
      <c r="I318" s="3251">
        <v>7.69</v>
      </c>
      <c r="J318" s="3249" t="s">
        <v>3230</v>
      </c>
    </row>
    <row r="319" spans="4:10">
      <c r="D319" s="3248">
        <v>315</v>
      </c>
      <c r="E319" s="3610"/>
      <c r="F319" s="3249" t="s">
        <v>4132</v>
      </c>
      <c r="G319" s="3249" t="s">
        <v>3545</v>
      </c>
      <c r="H319" s="3250">
        <v>37.49</v>
      </c>
      <c r="I319" s="3251">
        <v>7.69</v>
      </c>
      <c r="J319" s="3249" t="s">
        <v>3230</v>
      </c>
    </row>
    <row r="320" spans="4:10">
      <c r="D320" s="3248">
        <v>316</v>
      </c>
      <c r="E320" s="3610"/>
      <c r="F320" s="3249" t="s">
        <v>4132</v>
      </c>
      <c r="G320" s="3249" t="s">
        <v>3546</v>
      </c>
      <c r="H320" s="3250">
        <v>37.49</v>
      </c>
      <c r="I320" s="3251">
        <v>7.69</v>
      </c>
      <c r="J320" s="3249" t="s">
        <v>3230</v>
      </c>
    </row>
    <row r="321" spans="4:10">
      <c r="D321" s="3248">
        <v>317</v>
      </c>
      <c r="E321" s="3610"/>
      <c r="F321" s="3249" t="s">
        <v>4132</v>
      </c>
      <c r="G321" s="3249" t="s">
        <v>3547</v>
      </c>
      <c r="H321" s="3250">
        <v>37.49</v>
      </c>
      <c r="I321" s="3251">
        <v>7.69</v>
      </c>
      <c r="J321" s="3249" t="s">
        <v>3230</v>
      </c>
    </row>
    <row r="322" spans="4:10">
      <c r="D322" s="3248">
        <v>318</v>
      </c>
      <c r="E322" s="3610"/>
      <c r="F322" s="3249" t="s">
        <v>4132</v>
      </c>
      <c r="G322" s="3249" t="s">
        <v>3548</v>
      </c>
      <c r="H322" s="3250">
        <v>37.49</v>
      </c>
      <c r="I322" s="3251">
        <v>7.69</v>
      </c>
      <c r="J322" s="3249" t="s">
        <v>3230</v>
      </c>
    </row>
    <row r="323" spans="4:10">
      <c r="D323" s="3248">
        <v>319</v>
      </c>
      <c r="E323" s="3610"/>
      <c r="F323" s="3249" t="s">
        <v>4132</v>
      </c>
      <c r="G323" s="3249" t="s">
        <v>3549</v>
      </c>
      <c r="H323" s="3250">
        <v>37.49</v>
      </c>
      <c r="I323" s="3251">
        <v>7.69</v>
      </c>
      <c r="J323" s="3249" t="s">
        <v>3230</v>
      </c>
    </row>
    <row r="324" spans="4:10">
      <c r="D324" s="3248">
        <v>320</v>
      </c>
      <c r="E324" s="3610"/>
      <c r="F324" s="3249" t="s">
        <v>4132</v>
      </c>
      <c r="G324" s="3249" t="s">
        <v>3550</v>
      </c>
      <c r="H324" s="3250">
        <v>37.49</v>
      </c>
      <c r="I324" s="3251">
        <v>7.69</v>
      </c>
      <c r="J324" s="3249" t="s">
        <v>3230</v>
      </c>
    </row>
    <row r="325" spans="4:10">
      <c r="D325" s="3248">
        <v>321</v>
      </c>
      <c r="E325" s="3610"/>
      <c r="F325" s="3249" t="s">
        <v>4132</v>
      </c>
      <c r="G325" s="3249" t="s">
        <v>3551</v>
      </c>
      <c r="H325" s="3250">
        <v>37.49</v>
      </c>
      <c r="I325" s="3251">
        <v>7.69</v>
      </c>
      <c r="J325" s="3249" t="s">
        <v>3230</v>
      </c>
    </row>
    <row r="326" spans="4:10">
      <c r="D326" s="3248">
        <v>322</v>
      </c>
      <c r="E326" s="3610"/>
      <c r="F326" s="3249" t="s">
        <v>4132</v>
      </c>
      <c r="G326" s="3249" t="s">
        <v>3552</v>
      </c>
      <c r="H326" s="3250">
        <v>37.49</v>
      </c>
      <c r="I326" s="3251">
        <v>7.69</v>
      </c>
      <c r="J326" s="3249" t="s">
        <v>3230</v>
      </c>
    </row>
    <row r="327" spans="4:10">
      <c r="D327" s="3248">
        <v>323</v>
      </c>
      <c r="E327" s="3610"/>
      <c r="F327" s="3249" t="s">
        <v>4132</v>
      </c>
      <c r="G327" s="3249" t="s">
        <v>3553</v>
      </c>
      <c r="H327" s="3250">
        <v>37.49</v>
      </c>
      <c r="I327" s="3251">
        <v>7.69</v>
      </c>
      <c r="J327" s="3249" t="s">
        <v>3230</v>
      </c>
    </row>
    <row r="328" spans="4:10">
      <c r="D328" s="3248">
        <v>324</v>
      </c>
      <c r="E328" s="3610"/>
      <c r="F328" s="3249" t="s">
        <v>4132</v>
      </c>
      <c r="G328" s="3249" t="s">
        <v>3554</v>
      </c>
      <c r="H328" s="3250">
        <v>37.49</v>
      </c>
      <c r="I328" s="3251">
        <v>7.69</v>
      </c>
      <c r="J328" s="3249" t="s">
        <v>3230</v>
      </c>
    </row>
    <row r="329" spans="4:10">
      <c r="D329" s="3248">
        <v>325</v>
      </c>
      <c r="E329" s="3610"/>
      <c r="F329" s="3249" t="s">
        <v>4132</v>
      </c>
      <c r="G329" s="3249" t="s">
        <v>3555</v>
      </c>
      <c r="H329" s="3250">
        <v>37.49</v>
      </c>
      <c r="I329" s="3251">
        <v>7.69</v>
      </c>
      <c r="J329" s="3249" t="s">
        <v>3230</v>
      </c>
    </row>
    <row r="330" spans="4:10">
      <c r="D330" s="3248">
        <v>326</v>
      </c>
      <c r="E330" s="3610"/>
      <c r="F330" s="3249" t="s">
        <v>4132</v>
      </c>
      <c r="G330" s="3249" t="s">
        <v>3556</v>
      </c>
      <c r="H330" s="3250">
        <v>37.49</v>
      </c>
      <c r="I330" s="3251">
        <v>7.69</v>
      </c>
      <c r="J330" s="3249" t="s">
        <v>3230</v>
      </c>
    </row>
    <row r="331" spans="4:10">
      <c r="D331" s="3248">
        <v>327</v>
      </c>
      <c r="E331" s="3610"/>
      <c r="F331" s="3249" t="s">
        <v>4132</v>
      </c>
      <c r="G331" s="3249" t="s">
        <v>3557</v>
      </c>
      <c r="H331" s="3250">
        <v>37.49</v>
      </c>
      <c r="I331" s="3251">
        <v>7.69</v>
      </c>
      <c r="J331" s="3249" t="s">
        <v>3230</v>
      </c>
    </row>
    <row r="332" spans="4:10">
      <c r="D332" s="3248">
        <v>328</v>
      </c>
      <c r="E332" s="3610"/>
      <c r="F332" s="3249" t="s">
        <v>4132</v>
      </c>
      <c r="G332" s="3249" t="s">
        <v>3558</v>
      </c>
      <c r="H332" s="3250">
        <v>37.49</v>
      </c>
      <c r="I332" s="3251">
        <v>7.69</v>
      </c>
      <c r="J332" s="3249" t="s">
        <v>3230</v>
      </c>
    </row>
    <row r="333" spans="4:10">
      <c r="D333" s="3248">
        <v>329</v>
      </c>
      <c r="E333" s="3610"/>
      <c r="F333" s="3249" t="s">
        <v>4132</v>
      </c>
      <c r="G333" s="3249" t="s">
        <v>3559</v>
      </c>
      <c r="H333" s="3250">
        <v>37.49</v>
      </c>
      <c r="I333" s="3251">
        <v>7.69</v>
      </c>
      <c r="J333" s="3249" t="s">
        <v>3230</v>
      </c>
    </row>
    <row r="334" spans="4:10">
      <c r="D334" s="3248">
        <v>330</v>
      </c>
      <c r="E334" s="3610"/>
      <c r="F334" s="3249" t="s">
        <v>4132</v>
      </c>
      <c r="G334" s="3249" t="s">
        <v>3560</v>
      </c>
      <c r="H334" s="3250">
        <v>37.49</v>
      </c>
      <c r="I334" s="3251">
        <v>7.69</v>
      </c>
      <c r="J334" s="3249" t="s">
        <v>3230</v>
      </c>
    </row>
    <row r="335" spans="4:10">
      <c r="D335" s="3248">
        <v>331</v>
      </c>
      <c r="E335" s="3610"/>
      <c r="F335" s="3249" t="s">
        <v>4132</v>
      </c>
      <c r="G335" s="3249" t="s">
        <v>3561</v>
      </c>
      <c r="H335" s="3250">
        <v>37.49</v>
      </c>
      <c r="I335" s="3251">
        <v>7.69</v>
      </c>
      <c r="J335" s="3249" t="s">
        <v>3230</v>
      </c>
    </row>
    <row r="336" spans="4:10">
      <c r="D336" s="3248">
        <v>332</v>
      </c>
      <c r="E336" s="3610"/>
      <c r="F336" s="3249" t="s">
        <v>4132</v>
      </c>
      <c r="G336" s="3249" t="s">
        <v>3562</v>
      </c>
      <c r="H336" s="3250">
        <v>37.49</v>
      </c>
      <c r="I336" s="3251">
        <v>7.69</v>
      </c>
      <c r="J336" s="3249" t="s">
        <v>3230</v>
      </c>
    </row>
    <row r="337" spans="4:10">
      <c r="D337" s="3248">
        <v>333</v>
      </c>
      <c r="E337" s="3610"/>
      <c r="F337" s="3249" t="s">
        <v>4132</v>
      </c>
      <c r="G337" s="3249" t="s">
        <v>3563</v>
      </c>
      <c r="H337" s="3250">
        <v>35.99</v>
      </c>
      <c r="I337" s="3251">
        <v>7.39</v>
      </c>
      <c r="J337" s="3249" t="s">
        <v>3230</v>
      </c>
    </row>
    <row r="338" spans="4:10">
      <c r="D338" s="3248">
        <v>334</v>
      </c>
      <c r="E338" s="3610"/>
      <c r="F338" s="3249" t="s">
        <v>4132</v>
      </c>
      <c r="G338" s="3249" t="s">
        <v>3564</v>
      </c>
      <c r="H338" s="3250">
        <v>35.99</v>
      </c>
      <c r="I338" s="3251">
        <v>7.39</v>
      </c>
      <c r="J338" s="3249" t="s">
        <v>3230</v>
      </c>
    </row>
    <row r="339" spans="4:10">
      <c r="D339" s="3248">
        <v>335</v>
      </c>
      <c r="E339" s="3610"/>
      <c r="F339" s="3249" t="s">
        <v>4132</v>
      </c>
      <c r="G339" s="3249" t="s">
        <v>3565</v>
      </c>
      <c r="H339" s="3250">
        <v>35.99</v>
      </c>
      <c r="I339" s="3251">
        <v>7.39</v>
      </c>
      <c r="J339" s="3249" t="s">
        <v>3230</v>
      </c>
    </row>
    <row r="340" spans="4:10">
      <c r="D340" s="3248">
        <v>336</v>
      </c>
      <c r="E340" s="3610"/>
      <c r="F340" s="3249" t="s">
        <v>4132</v>
      </c>
      <c r="G340" s="3249" t="s">
        <v>3566</v>
      </c>
      <c r="H340" s="3250">
        <v>35.99</v>
      </c>
      <c r="I340" s="3251">
        <v>7.39</v>
      </c>
      <c r="J340" s="3249" t="s">
        <v>3230</v>
      </c>
    </row>
    <row r="341" spans="4:10">
      <c r="D341" s="3248">
        <v>337</v>
      </c>
      <c r="E341" s="3610"/>
      <c r="F341" s="3249" t="s">
        <v>4132</v>
      </c>
      <c r="G341" s="3249" t="s">
        <v>3567</v>
      </c>
      <c r="H341" s="3250">
        <v>35.99</v>
      </c>
      <c r="I341" s="3251">
        <v>7.39</v>
      </c>
      <c r="J341" s="3249" t="s">
        <v>3230</v>
      </c>
    </row>
    <row r="342" spans="4:10">
      <c r="D342" s="3248">
        <v>338</v>
      </c>
      <c r="E342" s="3610"/>
      <c r="F342" s="3249" t="s">
        <v>4132</v>
      </c>
      <c r="G342" s="3249" t="s">
        <v>3568</v>
      </c>
      <c r="H342" s="3250">
        <v>35.99</v>
      </c>
      <c r="I342" s="3251">
        <v>7.39</v>
      </c>
      <c r="J342" s="3249" t="s">
        <v>3230</v>
      </c>
    </row>
    <row r="343" spans="4:10">
      <c r="D343" s="3248">
        <v>339</v>
      </c>
      <c r="E343" s="3610"/>
      <c r="F343" s="3249" t="s">
        <v>4132</v>
      </c>
      <c r="G343" s="3249" t="s">
        <v>3569</v>
      </c>
      <c r="H343" s="3250">
        <v>35.99</v>
      </c>
      <c r="I343" s="3251">
        <v>7.39</v>
      </c>
      <c r="J343" s="3249" t="s">
        <v>3230</v>
      </c>
    </row>
    <row r="344" spans="4:10">
      <c r="D344" s="3248">
        <v>340</v>
      </c>
      <c r="E344" s="3610"/>
      <c r="F344" s="3249" t="s">
        <v>4132</v>
      </c>
      <c r="G344" s="3249" t="s">
        <v>3570</v>
      </c>
      <c r="H344" s="3250">
        <v>35.99</v>
      </c>
      <c r="I344" s="3251">
        <v>7.39</v>
      </c>
      <c r="J344" s="3249" t="s">
        <v>3230</v>
      </c>
    </row>
    <row r="345" spans="4:10">
      <c r="D345" s="3248">
        <v>341</v>
      </c>
      <c r="E345" s="3610"/>
      <c r="F345" s="3249" t="s">
        <v>4132</v>
      </c>
      <c r="G345" s="3249" t="s">
        <v>3571</v>
      </c>
      <c r="H345" s="3250">
        <v>35.99</v>
      </c>
      <c r="I345" s="3251">
        <v>7.39</v>
      </c>
      <c r="J345" s="3249" t="s">
        <v>3230</v>
      </c>
    </row>
    <row r="346" spans="4:10">
      <c r="D346" s="3248">
        <v>342</v>
      </c>
      <c r="E346" s="3610"/>
      <c r="F346" s="3249" t="s">
        <v>4132</v>
      </c>
      <c r="G346" s="3249" t="s">
        <v>3572</v>
      </c>
      <c r="H346" s="3250">
        <v>35.99</v>
      </c>
      <c r="I346" s="3251">
        <v>7.39</v>
      </c>
      <c r="J346" s="3249" t="s">
        <v>3230</v>
      </c>
    </row>
    <row r="347" spans="4:10">
      <c r="D347" s="3248">
        <v>343</v>
      </c>
      <c r="E347" s="3610"/>
      <c r="F347" s="3249" t="s">
        <v>4132</v>
      </c>
      <c r="G347" s="3249" t="s">
        <v>3573</v>
      </c>
      <c r="H347" s="3250">
        <v>35.99</v>
      </c>
      <c r="I347" s="3251">
        <v>7.39</v>
      </c>
      <c r="J347" s="3249" t="s">
        <v>3230</v>
      </c>
    </row>
    <row r="348" spans="4:10">
      <c r="D348" s="3248">
        <v>344</v>
      </c>
      <c r="E348" s="3610"/>
      <c r="F348" s="3249" t="s">
        <v>4132</v>
      </c>
      <c r="G348" s="3249" t="s">
        <v>3574</v>
      </c>
      <c r="H348" s="3250">
        <v>35.99</v>
      </c>
      <c r="I348" s="3251">
        <v>7.39</v>
      </c>
      <c r="J348" s="3249" t="s">
        <v>3230</v>
      </c>
    </row>
    <row r="349" spans="4:10">
      <c r="D349" s="3248">
        <v>345</v>
      </c>
      <c r="E349" s="3610"/>
      <c r="F349" s="3249" t="s">
        <v>4132</v>
      </c>
      <c r="G349" s="3249" t="s">
        <v>3575</v>
      </c>
      <c r="H349" s="3250">
        <v>35.99</v>
      </c>
      <c r="I349" s="3251">
        <v>7.39</v>
      </c>
      <c r="J349" s="3249" t="s">
        <v>3230</v>
      </c>
    </row>
    <row r="350" spans="4:10">
      <c r="D350" s="3248">
        <v>346</v>
      </c>
      <c r="E350" s="3610"/>
      <c r="F350" s="3249" t="s">
        <v>4132</v>
      </c>
      <c r="G350" s="3249" t="s">
        <v>3576</v>
      </c>
      <c r="H350" s="3250">
        <v>35.99</v>
      </c>
      <c r="I350" s="3251">
        <v>7.39</v>
      </c>
      <c r="J350" s="3249" t="s">
        <v>3230</v>
      </c>
    </row>
    <row r="351" spans="4:10">
      <c r="D351" s="3248">
        <v>347</v>
      </c>
      <c r="E351" s="3610"/>
      <c r="F351" s="3249" t="s">
        <v>4132</v>
      </c>
      <c r="G351" s="3249" t="s">
        <v>3577</v>
      </c>
      <c r="H351" s="3250">
        <v>35.99</v>
      </c>
      <c r="I351" s="3251">
        <v>7.39</v>
      </c>
      <c r="J351" s="3249" t="s">
        <v>3230</v>
      </c>
    </row>
    <row r="352" spans="4:10">
      <c r="D352" s="3248">
        <v>348</v>
      </c>
      <c r="E352" s="3610"/>
      <c r="F352" s="3249" t="s">
        <v>4132</v>
      </c>
      <c r="G352" s="3249" t="s">
        <v>3578</v>
      </c>
      <c r="H352" s="3250">
        <v>35.99</v>
      </c>
      <c r="I352" s="3251">
        <v>7.39</v>
      </c>
      <c r="J352" s="3249" t="s">
        <v>3230</v>
      </c>
    </row>
    <row r="353" spans="4:10">
      <c r="D353" s="3248">
        <v>349</v>
      </c>
      <c r="E353" s="3610"/>
      <c r="F353" s="3249" t="s">
        <v>4132</v>
      </c>
      <c r="G353" s="3249" t="s">
        <v>3579</v>
      </c>
      <c r="H353" s="3250">
        <v>35.99</v>
      </c>
      <c r="I353" s="3251">
        <v>7.39</v>
      </c>
      <c r="J353" s="3249" t="s">
        <v>3230</v>
      </c>
    </row>
    <row r="354" spans="4:10">
      <c r="D354" s="3248">
        <v>350</v>
      </c>
      <c r="E354" s="3610"/>
      <c r="F354" s="3249" t="s">
        <v>4132</v>
      </c>
      <c r="G354" s="3249" t="s">
        <v>3580</v>
      </c>
      <c r="H354" s="3250">
        <v>35.99</v>
      </c>
      <c r="I354" s="3251">
        <v>7.39</v>
      </c>
      <c r="J354" s="3249" t="s">
        <v>3230</v>
      </c>
    </row>
    <row r="355" spans="4:10">
      <c r="D355" s="3248">
        <v>351</v>
      </c>
      <c r="E355" s="3610"/>
      <c r="F355" s="3249" t="s">
        <v>4132</v>
      </c>
      <c r="G355" s="3249" t="s">
        <v>3581</v>
      </c>
      <c r="H355" s="3250">
        <v>35.99</v>
      </c>
      <c r="I355" s="3251">
        <v>7.39</v>
      </c>
      <c r="J355" s="3249" t="s">
        <v>3230</v>
      </c>
    </row>
    <row r="356" spans="4:10">
      <c r="D356" s="3248">
        <v>352</v>
      </c>
      <c r="E356" s="3610"/>
      <c r="F356" s="3249" t="s">
        <v>4132</v>
      </c>
      <c r="G356" s="3249" t="s">
        <v>3582</v>
      </c>
      <c r="H356" s="3250">
        <v>35.99</v>
      </c>
      <c r="I356" s="3251">
        <v>7.39</v>
      </c>
      <c r="J356" s="3249" t="s">
        <v>3230</v>
      </c>
    </row>
    <row r="357" spans="4:10">
      <c r="D357" s="3248">
        <v>353</v>
      </c>
      <c r="E357" s="3610"/>
      <c r="F357" s="3249" t="s">
        <v>4132</v>
      </c>
      <c r="G357" s="3249" t="s">
        <v>3583</v>
      </c>
      <c r="H357" s="3250">
        <v>35.99</v>
      </c>
      <c r="I357" s="3251">
        <v>7.39</v>
      </c>
      <c r="J357" s="3249" t="s">
        <v>3230</v>
      </c>
    </row>
    <row r="358" spans="4:10">
      <c r="D358" s="3248">
        <v>354</v>
      </c>
      <c r="E358" s="3610"/>
      <c r="F358" s="3249" t="s">
        <v>4132</v>
      </c>
      <c r="G358" s="3249" t="s">
        <v>3584</v>
      </c>
      <c r="H358" s="3250">
        <v>35.99</v>
      </c>
      <c r="I358" s="3251">
        <v>7.39</v>
      </c>
      <c r="J358" s="3249" t="s">
        <v>3230</v>
      </c>
    </row>
    <row r="359" spans="4:10">
      <c r="D359" s="3248">
        <v>355</v>
      </c>
      <c r="E359" s="3610"/>
      <c r="F359" s="3249" t="s">
        <v>4132</v>
      </c>
      <c r="G359" s="3249" t="s">
        <v>3585</v>
      </c>
      <c r="H359" s="3250">
        <v>35.99</v>
      </c>
      <c r="I359" s="3251">
        <v>7.39</v>
      </c>
      <c r="J359" s="3249" t="s">
        <v>3230</v>
      </c>
    </row>
    <row r="360" spans="4:10">
      <c r="D360" s="3248">
        <v>356</v>
      </c>
      <c r="E360" s="3610"/>
      <c r="F360" s="3249" t="s">
        <v>4132</v>
      </c>
      <c r="G360" s="3249" t="s">
        <v>3586</v>
      </c>
      <c r="H360" s="3250">
        <v>35.99</v>
      </c>
      <c r="I360" s="3251">
        <v>7.39</v>
      </c>
      <c r="J360" s="3249" t="s">
        <v>3230</v>
      </c>
    </row>
    <row r="361" spans="4:10">
      <c r="D361" s="3248">
        <v>357</v>
      </c>
      <c r="E361" s="3610"/>
      <c r="F361" s="3249" t="s">
        <v>4132</v>
      </c>
      <c r="G361" s="3249" t="s">
        <v>3587</v>
      </c>
      <c r="H361" s="3250">
        <v>37.11</v>
      </c>
      <c r="I361" s="3251">
        <v>7.62</v>
      </c>
      <c r="J361" s="3249" t="s">
        <v>3230</v>
      </c>
    </row>
    <row r="362" spans="4:10">
      <c r="D362" s="3248">
        <v>358</v>
      </c>
      <c r="E362" s="3610"/>
      <c r="F362" s="3249" t="s">
        <v>4132</v>
      </c>
      <c r="G362" s="3249" t="s">
        <v>3588</v>
      </c>
      <c r="H362" s="3250">
        <v>37.11</v>
      </c>
      <c r="I362" s="3251">
        <v>7.62</v>
      </c>
      <c r="J362" s="3249" t="s">
        <v>3230</v>
      </c>
    </row>
    <row r="363" spans="4:10">
      <c r="D363" s="3248">
        <v>359</v>
      </c>
      <c r="E363" s="3610"/>
      <c r="F363" s="3249" t="s">
        <v>4132</v>
      </c>
      <c r="G363" s="3249" t="s">
        <v>3589</v>
      </c>
      <c r="H363" s="3250">
        <v>37.11</v>
      </c>
      <c r="I363" s="3251">
        <v>7.62</v>
      </c>
      <c r="J363" s="3249" t="s">
        <v>3230</v>
      </c>
    </row>
    <row r="364" spans="4:10">
      <c r="D364" s="3248">
        <v>360</v>
      </c>
      <c r="E364" s="3610"/>
      <c r="F364" s="3249" t="s">
        <v>4132</v>
      </c>
      <c r="G364" s="3249" t="s">
        <v>3590</v>
      </c>
      <c r="H364" s="3250">
        <v>37.11</v>
      </c>
      <c r="I364" s="3251">
        <v>7.62</v>
      </c>
      <c r="J364" s="3249" t="s">
        <v>3230</v>
      </c>
    </row>
    <row r="365" spans="4:10">
      <c r="D365" s="3248">
        <v>361</v>
      </c>
      <c r="E365" s="3610"/>
      <c r="F365" s="3249" t="s">
        <v>4132</v>
      </c>
      <c r="G365" s="3249" t="s">
        <v>3591</v>
      </c>
      <c r="H365" s="3250">
        <v>37.11</v>
      </c>
      <c r="I365" s="3251">
        <v>7.62</v>
      </c>
      <c r="J365" s="3249" t="s">
        <v>3230</v>
      </c>
    </row>
    <row r="366" spans="4:10">
      <c r="D366" s="3248">
        <v>362</v>
      </c>
      <c r="E366" s="3610"/>
      <c r="F366" s="3249" t="s">
        <v>4132</v>
      </c>
      <c r="G366" s="3249" t="s">
        <v>3592</v>
      </c>
      <c r="H366" s="3250">
        <v>37.11</v>
      </c>
      <c r="I366" s="3251">
        <v>7.62</v>
      </c>
      <c r="J366" s="3249" t="s">
        <v>3230</v>
      </c>
    </row>
    <row r="367" spans="4:10">
      <c r="D367" s="3248">
        <v>363</v>
      </c>
      <c r="E367" s="3610"/>
      <c r="F367" s="3249" t="s">
        <v>4132</v>
      </c>
      <c r="G367" s="3249" t="s">
        <v>3593</v>
      </c>
      <c r="H367" s="3250">
        <v>37.11</v>
      </c>
      <c r="I367" s="3251">
        <v>7.62</v>
      </c>
      <c r="J367" s="3249" t="s">
        <v>3230</v>
      </c>
    </row>
    <row r="368" spans="4:10">
      <c r="D368" s="3248">
        <v>364</v>
      </c>
      <c r="E368" s="3610"/>
      <c r="F368" s="3249" t="s">
        <v>4132</v>
      </c>
      <c r="G368" s="3249" t="s">
        <v>3594</v>
      </c>
      <c r="H368" s="3250">
        <v>37.11</v>
      </c>
      <c r="I368" s="3251">
        <v>7.62</v>
      </c>
      <c r="J368" s="3249" t="s">
        <v>3230</v>
      </c>
    </row>
    <row r="369" spans="4:10">
      <c r="D369" s="3248">
        <v>365</v>
      </c>
      <c r="E369" s="3610"/>
      <c r="F369" s="3249" t="s">
        <v>4132</v>
      </c>
      <c r="G369" s="3249" t="s">
        <v>3595</v>
      </c>
      <c r="H369" s="3250">
        <v>37.11</v>
      </c>
      <c r="I369" s="3251">
        <v>7.62</v>
      </c>
      <c r="J369" s="3249" t="s">
        <v>3230</v>
      </c>
    </row>
    <row r="370" spans="4:10">
      <c r="D370" s="3248">
        <v>366</v>
      </c>
      <c r="E370" s="3610"/>
      <c r="F370" s="3249" t="s">
        <v>4132</v>
      </c>
      <c r="G370" s="3249" t="s">
        <v>3596</v>
      </c>
      <c r="H370" s="3250">
        <v>37.11</v>
      </c>
      <c r="I370" s="3251">
        <v>7.62</v>
      </c>
      <c r="J370" s="3249" t="s">
        <v>3230</v>
      </c>
    </row>
    <row r="371" spans="4:10">
      <c r="D371" s="3248">
        <v>367</v>
      </c>
      <c r="E371" s="3610"/>
      <c r="F371" s="3249" t="s">
        <v>4132</v>
      </c>
      <c r="G371" s="3249" t="s">
        <v>3597</v>
      </c>
      <c r="H371" s="3250">
        <v>37.11</v>
      </c>
      <c r="I371" s="3251">
        <v>7.62</v>
      </c>
      <c r="J371" s="3249" t="s">
        <v>3230</v>
      </c>
    </row>
    <row r="372" spans="4:10">
      <c r="D372" s="3248">
        <v>368</v>
      </c>
      <c r="E372" s="3610"/>
      <c r="F372" s="3249" t="s">
        <v>4132</v>
      </c>
      <c r="G372" s="3249" t="s">
        <v>3598</v>
      </c>
      <c r="H372" s="3250">
        <v>37.11</v>
      </c>
      <c r="I372" s="3251">
        <v>7.62</v>
      </c>
      <c r="J372" s="3249" t="s">
        <v>3230</v>
      </c>
    </row>
    <row r="373" spans="4:10">
      <c r="D373" s="3248">
        <v>369</v>
      </c>
      <c r="E373" s="3610"/>
      <c r="F373" s="3249" t="s">
        <v>4132</v>
      </c>
      <c r="G373" s="3249" t="s">
        <v>3599</v>
      </c>
      <c r="H373" s="3250">
        <v>37.11</v>
      </c>
      <c r="I373" s="3251">
        <v>7.62</v>
      </c>
      <c r="J373" s="3249" t="s">
        <v>3230</v>
      </c>
    </row>
    <row r="374" spans="4:10">
      <c r="D374" s="3248">
        <v>370</v>
      </c>
      <c r="E374" s="3610"/>
      <c r="F374" s="3249" t="s">
        <v>4132</v>
      </c>
      <c r="G374" s="3249" t="s">
        <v>3600</v>
      </c>
      <c r="H374" s="3250">
        <v>37.11</v>
      </c>
      <c r="I374" s="3251">
        <v>7.62</v>
      </c>
      <c r="J374" s="3249" t="s">
        <v>3230</v>
      </c>
    </row>
    <row r="375" spans="4:10">
      <c r="D375" s="3248">
        <v>371</v>
      </c>
      <c r="E375" s="3610"/>
      <c r="F375" s="3249" t="s">
        <v>4132</v>
      </c>
      <c r="G375" s="3249" t="s">
        <v>3601</v>
      </c>
      <c r="H375" s="3250">
        <v>37.11</v>
      </c>
      <c r="I375" s="3251">
        <v>7.62</v>
      </c>
      <c r="J375" s="3249" t="s">
        <v>3230</v>
      </c>
    </row>
    <row r="376" spans="4:10">
      <c r="D376" s="3248">
        <v>372</v>
      </c>
      <c r="E376" s="3610"/>
      <c r="F376" s="3249" t="s">
        <v>4132</v>
      </c>
      <c r="G376" s="3249" t="s">
        <v>3602</v>
      </c>
      <c r="H376" s="3250">
        <v>37.11</v>
      </c>
      <c r="I376" s="3251">
        <v>7.62</v>
      </c>
      <c r="J376" s="3249" t="s">
        <v>3230</v>
      </c>
    </row>
    <row r="377" spans="4:10">
      <c r="D377" s="3248">
        <v>373</v>
      </c>
      <c r="E377" s="3610"/>
      <c r="F377" s="3249" t="s">
        <v>4132</v>
      </c>
      <c r="G377" s="3249" t="s">
        <v>3603</v>
      </c>
      <c r="H377" s="3250">
        <v>35.96</v>
      </c>
      <c r="I377" s="3251">
        <v>7.38</v>
      </c>
      <c r="J377" s="3249" t="s">
        <v>3230</v>
      </c>
    </row>
    <row r="378" spans="4:10">
      <c r="D378" s="3248">
        <v>374</v>
      </c>
      <c r="E378" s="3610"/>
      <c r="F378" s="3249" t="s">
        <v>4132</v>
      </c>
      <c r="G378" s="3249" t="s">
        <v>3604</v>
      </c>
      <c r="H378" s="3250">
        <v>35.96</v>
      </c>
      <c r="I378" s="3251">
        <v>7.38</v>
      </c>
      <c r="J378" s="3249" t="s">
        <v>3230</v>
      </c>
    </row>
    <row r="379" spans="4:10">
      <c r="D379" s="3248">
        <v>375</v>
      </c>
      <c r="E379" s="3610"/>
      <c r="F379" s="3249" t="s">
        <v>4132</v>
      </c>
      <c r="G379" s="3249" t="s">
        <v>3605</v>
      </c>
      <c r="H379" s="3250">
        <v>31.27</v>
      </c>
      <c r="I379" s="3251">
        <v>6.42</v>
      </c>
      <c r="J379" s="3249" t="s">
        <v>3230</v>
      </c>
    </row>
    <row r="380" spans="4:10">
      <c r="D380" s="3248">
        <v>376</v>
      </c>
      <c r="E380" s="3610"/>
      <c r="F380" s="3249" t="s">
        <v>4132</v>
      </c>
      <c r="G380" s="3249" t="s">
        <v>3606</v>
      </c>
      <c r="H380" s="3250">
        <v>39.090000000000003</v>
      </c>
      <c r="I380" s="3251">
        <v>8.02</v>
      </c>
      <c r="J380" s="3249" t="s">
        <v>3230</v>
      </c>
    </row>
    <row r="381" spans="4:10">
      <c r="D381" s="3248">
        <v>377</v>
      </c>
      <c r="E381" s="3610"/>
      <c r="F381" s="3249" t="s">
        <v>4132</v>
      </c>
      <c r="G381" s="3249" t="s">
        <v>3607</v>
      </c>
      <c r="H381" s="3250">
        <v>35.96</v>
      </c>
      <c r="I381" s="3251">
        <v>7.38</v>
      </c>
      <c r="J381" s="3249" t="s">
        <v>3230</v>
      </c>
    </row>
    <row r="382" spans="4:10">
      <c r="D382" s="3248">
        <v>378</v>
      </c>
      <c r="E382" s="3610"/>
      <c r="F382" s="3249" t="s">
        <v>4132</v>
      </c>
      <c r="G382" s="3249" t="s">
        <v>3608</v>
      </c>
      <c r="H382" s="3250">
        <v>35.96</v>
      </c>
      <c r="I382" s="3251">
        <v>7.38</v>
      </c>
      <c r="J382" s="3249" t="s">
        <v>3230</v>
      </c>
    </row>
    <row r="383" spans="4:10">
      <c r="D383" s="3248">
        <v>379</v>
      </c>
      <c r="E383" s="3610"/>
      <c r="F383" s="3249" t="s">
        <v>4132</v>
      </c>
      <c r="G383" s="3249" t="s">
        <v>3609</v>
      </c>
      <c r="H383" s="3250">
        <v>37.11</v>
      </c>
      <c r="I383" s="3251">
        <v>7.62</v>
      </c>
      <c r="J383" s="3249" t="s">
        <v>3230</v>
      </c>
    </row>
    <row r="384" spans="4:10">
      <c r="D384" s="3248">
        <v>380</v>
      </c>
      <c r="E384" s="3610"/>
      <c r="F384" s="3249" t="s">
        <v>4132</v>
      </c>
      <c r="G384" s="3249" t="s">
        <v>3610</v>
      </c>
      <c r="H384" s="3250">
        <v>36.340000000000003</v>
      </c>
      <c r="I384" s="3251">
        <v>7.46</v>
      </c>
      <c r="J384" s="3249" t="s">
        <v>3230</v>
      </c>
    </row>
    <row r="385" spans="4:10">
      <c r="D385" s="3248">
        <v>381</v>
      </c>
      <c r="E385" s="3610"/>
      <c r="F385" s="3249" t="s">
        <v>4132</v>
      </c>
      <c r="G385" s="3249" t="s">
        <v>3611</v>
      </c>
      <c r="H385" s="3250">
        <v>36.340000000000003</v>
      </c>
      <c r="I385" s="3251">
        <v>7.46</v>
      </c>
      <c r="J385" s="3249" t="s">
        <v>3230</v>
      </c>
    </row>
    <row r="386" spans="4:10">
      <c r="D386" s="3248">
        <v>382</v>
      </c>
      <c r="E386" s="3610"/>
      <c r="F386" s="3249" t="s">
        <v>4132</v>
      </c>
      <c r="G386" s="3249" t="s">
        <v>3612</v>
      </c>
      <c r="H386" s="3250">
        <v>36.340000000000003</v>
      </c>
      <c r="I386" s="3251">
        <v>7.46</v>
      </c>
      <c r="J386" s="3249" t="s">
        <v>3230</v>
      </c>
    </row>
    <row r="387" spans="4:10">
      <c r="D387" s="3248">
        <v>383</v>
      </c>
      <c r="E387" s="3610"/>
      <c r="F387" s="3249" t="s">
        <v>4132</v>
      </c>
      <c r="G387" s="3249" t="s">
        <v>3613</v>
      </c>
      <c r="H387" s="3250">
        <v>36.340000000000003</v>
      </c>
      <c r="I387" s="3251">
        <v>7.46</v>
      </c>
      <c r="J387" s="3249" t="s">
        <v>3230</v>
      </c>
    </row>
    <row r="388" spans="4:10">
      <c r="D388" s="3248">
        <v>384</v>
      </c>
      <c r="E388" s="3610"/>
      <c r="F388" s="3249" t="s">
        <v>4132</v>
      </c>
      <c r="G388" s="3249" t="s">
        <v>3614</v>
      </c>
      <c r="H388" s="3250">
        <v>36.340000000000003</v>
      </c>
      <c r="I388" s="3251">
        <v>7.46</v>
      </c>
      <c r="J388" s="3249" t="s">
        <v>3230</v>
      </c>
    </row>
    <row r="389" spans="4:10">
      <c r="D389" s="3248">
        <v>385</v>
      </c>
      <c r="E389" s="3610"/>
      <c r="F389" s="3249" t="s">
        <v>4132</v>
      </c>
      <c r="G389" s="3249" t="s">
        <v>3615</v>
      </c>
      <c r="H389" s="3250">
        <v>36.340000000000003</v>
      </c>
      <c r="I389" s="3251">
        <v>7.46</v>
      </c>
      <c r="J389" s="3249" t="s">
        <v>3230</v>
      </c>
    </row>
    <row r="390" spans="4:10">
      <c r="D390" s="3248">
        <v>386</v>
      </c>
      <c r="E390" s="3610"/>
      <c r="F390" s="3249" t="s">
        <v>4132</v>
      </c>
      <c r="G390" s="3249" t="s">
        <v>3616</v>
      </c>
      <c r="H390" s="3250">
        <v>36.340000000000003</v>
      </c>
      <c r="I390" s="3251">
        <v>7.46</v>
      </c>
      <c r="J390" s="3249" t="s">
        <v>3230</v>
      </c>
    </row>
    <row r="391" spans="4:10">
      <c r="D391" s="3248">
        <v>387</v>
      </c>
      <c r="E391" s="3610"/>
      <c r="F391" s="3249" t="s">
        <v>4132</v>
      </c>
      <c r="G391" s="3249" t="s">
        <v>3617</v>
      </c>
      <c r="H391" s="3250">
        <v>38.659999999999997</v>
      </c>
      <c r="I391" s="3251">
        <v>7.93</v>
      </c>
      <c r="J391" s="3249" t="s">
        <v>3230</v>
      </c>
    </row>
    <row r="392" spans="4:10">
      <c r="D392" s="3248">
        <v>388</v>
      </c>
      <c r="E392" s="3610"/>
      <c r="F392" s="3249" t="s">
        <v>4132</v>
      </c>
      <c r="G392" s="3249" t="s">
        <v>3618</v>
      </c>
      <c r="H392" s="3250">
        <v>38.659999999999997</v>
      </c>
      <c r="I392" s="3251">
        <v>7.93</v>
      </c>
      <c r="J392" s="3249" t="s">
        <v>3230</v>
      </c>
    </row>
    <row r="393" spans="4:10">
      <c r="D393" s="3248">
        <v>389</v>
      </c>
      <c r="E393" s="3610"/>
      <c r="F393" s="3249" t="s">
        <v>4132</v>
      </c>
      <c r="G393" s="3249" t="s">
        <v>3619</v>
      </c>
      <c r="H393" s="3250">
        <v>38.659999999999997</v>
      </c>
      <c r="I393" s="3251">
        <v>7.93</v>
      </c>
      <c r="J393" s="3249" t="s">
        <v>3230</v>
      </c>
    </row>
    <row r="394" spans="4:10">
      <c r="D394" s="3248">
        <v>390</v>
      </c>
      <c r="E394" s="3610"/>
      <c r="F394" s="3249" t="s">
        <v>4132</v>
      </c>
      <c r="G394" s="3249" t="s">
        <v>3620</v>
      </c>
      <c r="H394" s="3250">
        <v>38.659999999999997</v>
      </c>
      <c r="I394" s="3251">
        <v>7.93</v>
      </c>
      <c r="J394" s="3249" t="s">
        <v>3230</v>
      </c>
    </row>
    <row r="395" spans="4:10">
      <c r="D395" s="3248">
        <v>391</v>
      </c>
      <c r="E395" s="3610"/>
      <c r="F395" s="3249" t="s">
        <v>4132</v>
      </c>
      <c r="G395" s="3249" t="s">
        <v>3621</v>
      </c>
      <c r="H395" s="3250">
        <v>36.340000000000003</v>
      </c>
      <c r="I395" s="3251">
        <v>7.46</v>
      </c>
      <c r="J395" s="3249" t="s">
        <v>3230</v>
      </c>
    </row>
    <row r="396" spans="4:10">
      <c r="D396" s="3248">
        <v>392</v>
      </c>
      <c r="E396" s="3610"/>
      <c r="F396" s="3249" t="s">
        <v>4132</v>
      </c>
      <c r="G396" s="3249" t="s">
        <v>3622</v>
      </c>
      <c r="H396" s="3250">
        <v>36.340000000000003</v>
      </c>
      <c r="I396" s="3251">
        <v>7.46</v>
      </c>
      <c r="J396" s="3249" t="s">
        <v>3230</v>
      </c>
    </row>
    <row r="397" spans="4:10">
      <c r="D397" s="3248">
        <v>393</v>
      </c>
      <c r="E397" s="3610"/>
      <c r="F397" s="3249" t="s">
        <v>4132</v>
      </c>
      <c r="G397" s="3249" t="s">
        <v>3623</v>
      </c>
      <c r="H397" s="3250">
        <v>36.340000000000003</v>
      </c>
      <c r="I397" s="3251">
        <v>7.46</v>
      </c>
      <c r="J397" s="3249" t="s">
        <v>3230</v>
      </c>
    </row>
    <row r="398" spans="4:10">
      <c r="D398" s="3248">
        <v>394</v>
      </c>
      <c r="E398" s="3610"/>
      <c r="F398" s="3249" t="s">
        <v>4132</v>
      </c>
      <c r="G398" s="3249" t="s">
        <v>3624</v>
      </c>
      <c r="H398" s="3250">
        <v>36.340000000000003</v>
      </c>
      <c r="I398" s="3251">
        <v>7.46</v>
      </c>
      <c r="J398" s="3249" t="s">
        <v>3230</v>
      </c>
    </row>
    <row r="399" spans="4:10">
      <c r="D399" s="3248">
        <v>395</v>
      </c>
      <c r="E399" s="3610"/>
      <c r="F399" s="3249" t="s">
        <v>4132</v>
      </c>
      <c r="G399" s="3249" t="s">
        <v>3625</v>
      </c>
      <c r="H399" s="3250">
        <v>36.340000000000003</v>
      </c>
      <c r="I399" s="3251">
        <v>7.46</v>
      </c>
      <c r="J399" s="3249" t="s">
        <v>3230</v>
      </c>
    </row>
    <row r="400" spans="4:10">
      <c r="D400" s="3248">
        <v>396</v>
      </c>
      <c r="E400" s="3610"/>
      <c r="F400" s="3249" t="s">
        <v>4132</v>
      </c>
      <c r="G400" s="3249" t="s">
        <v>3626</v>
      </c>
      <c r="H400" s="3250">
        <v>36.340000000000003</v>
      </c>
      <c r="I400" s="3251">
        <v>7.46</v>
      </c>
      <c r="J400" s="3249" t="s">
        <v>3230</v>
      </c>
    </row>
    <row r="401" spans="4:10">
      <c r="D401" s="3248">
        <v>397</v>
      </c>
      <c r="E401" s="3610"/>
      <c r="F401" s="3249" t="s">
        <v>4132</v>
      </c>
      <c r="G401" s="3249" t="s">
        <v>3627</v>
      </c>
      <c r="H401" s="3250">
        <v>36.340000000000003</v>
      </c>
      <c r="I401" s="3251">
        <v>7.46</v>
      </c>
      <c r="J401" s="3249" t="s">
        <v>3230</v>
      </c>
    </row>
    <row r="402" spans="4:10">
      <c r="D402" s="3248">
        <v>398</v>
      </c>
      <c r="E402" s="3610"/>
      <c r="F402" s="3249" t="s">
        <v>4132</v>
      </c>
      <c r="G402" s="3249" t="s">
        <v>3628</v>
      </c>
      <c r="H402" s="3250">
        <v>36.340000000000003</v>
      </c>
      <c r="I402" s="3251">
        <v>7.46</v>
      </c>
      <c r="J402" s="3249" t="s">
        <v>3230</v>
      </c>
    </row>
    <row r="403" spans="4:10">
      <c r="D403" s="3248">
        <v>399</v>
      </c>
      <c r="E403" s="3610"/>
      <c r="F403" s="3249" t="s">
        <v>4132</v>
      </c>
      <c r="G403" s="3249" t="s">
        <v>3629</v>
      </c>
      <c r="H403" s="3250">
        <v>36.340000000000003</v>
      </c>
      <c r="I403" s="3251">
        <v>7.46</v>
      </c>
      <c r="J403" s="3249" t="s">
        <v>3230</v>
      </c>
    </row>
    <row r="404" spans="4:10">
      <c r="D404" s="3248">
        <v>400</v>
      </c>
      <c r="E404" s="3610"/>
      <c r="F404" s="3249" t="s">
        <v>4132</v>
      </c>
      <c r="G404" s="3249" t="s">
        <v>3630</v>
      </c>
      <c r="H404" s="3250">
        <v>36.340000000000003</v>
      </c>
      <c r="I404" s="3251">
        <v>7.46</v>
      </c>
      <c r="J404" s="3249" t="s">
        <v>3230</v>
      </c>
    </row>
    <row r="405" spans="4:10">
      <c r="D405" s="3248">
        <v>401</v>
      </c>
      <c r="E405" s="3610"/>
      <c r="F405" s="3249" t="s">
        <v>4132</v>
      </c>
      <c r="G405" s="3249" t="s">
        <v>3631</v>
      </c>
      <c r="H405" s="3250">
        <v>36.340000000000003</v>
      </c>
      <c r="I405" s="3251">
        <v>7.46</v>
      </c>
      <c r="J405" s="3249" t="s">
        <v>3230</v>
      </c>
    </row>
    <row r="406" spans="4:10">
      <c r="D406" s="3248">
        <v>402</v>
      </c>
      <c r="E406" s="3610"/>
      <c r="F406" s="3249" t="s">
        <v>4132</v>
      </c>
      <c r="G406" s="3249" t="s">
        <v>3632</v>
      </c>
      <c r="H406" s="3250">
        <v>36.340000000000003</v>
      </c>
      <c r="I406" s="3251">
        <v>7.46</v>
      </c>
      <c r="J406" s="3249" t="s">
        <v>3230</v>
      </c>
    </row>
    <row r="407" spans="4:10">
      <c r="D407" s="3248">
        <v>403</v>
      </c>
      <c r="E407" s="3610"/>
      <c r="F407" s="3249" t="s">
        <v>4132</v>
      </c>
      <c r="G407" s="3249" t="s">
        <v>3633</v>
      </c>
      <c r="H407" s="3250">
        <v>37.11</v>
      </c>
      <c r="I407" s="3251">
        <v>7.62</v>
      </c>
      <c r="J407" s="3249" t="s">
        <v>3230</v>
      </c>
    </row>
    <row r="408" spans="4:10">
      <c r="D408" s="3248">
        <v>404</v>
      </c>
      <c r="E408" s="3610"/>
      <c r="F408" s="3249" t="s">
        <v>4132</v>
      </c>
      <c r="G408" s="3249" t="s">
        <v>3634</v>
      </c>
      <c r="H408" s="3250">
        <v>37.11</v>
      </c>
      <c r="I408" s="3251">
        <v>7.62</v>
      </c>
      <c r="J408" s="3249" t="s">
        <v>3230</v>
      </c>
    </row>
    <row r="409" spans="4:10">
      <c r="D409" s="3248">
        <v>405</v>
      </c>
      <c r="E409" s="3610"/>
      <c r="F409" s="3249" t="s">
        <v>4132</v>
      </c>
      <c r="G409" s="3249" t="s">
        <v>3635</v>
      </c>
      <c r="H409" s="3250">
        <v>37.520000000000003</v>
      </c>
      <c r="I409" s="3251">
        <v>7.7</v>
      </c>
      <c r="J409" s="3249" t="s">
        <v>3230</v>
      </c>
    </row>
    <row r="410" spans="4:10">
      <c r="D410" s="3248">
        <v>406</v>
      </c>
      <c r="E410" s="3610"/>
      <c r="F410" s="3249" t="s">
        <v>4132</v>
      </c>
      <c r="G410" s="3249" t="s">
        <v>3636</v>
      </c>
      <c r="H410" s="3250">
        <v>37.520000000000003</v>
      </c>
      <c r="I410" s="3251">
        <v>7.7</v>
      </c>
      <c r="J410" s="3249" t="s">
        <v>3230</v>
      </c>
    </row>
    <row r="411" spans="4:10">
      <c r="D411" s="3248">
        <v>407</v>
      </c>
      <c r="E411" s="3610"/>
      <c r="F411" s="3249" t="s">
        <v>4132</v>
      </c>
      <c r="G411" s="3249" t="s">
        <v>3637</v>
      </c>
      <c r="H411" s="3250">
        <v>37.520000000000003</v>
      </c>
      <c r="I411" s="3251">
        <v>7.7</v>
      </c>
      <c r="J411" s="3249" t="s">
        <v>3230</v>
      </c>
    </row>
    <row r="412" spans="4:10">
      <c r="D412" s="3248">
        <v>408</v>
      </c>
      <c r="E412" s="3610"/>
      <c r="F412" s="3249" t="s">
        <v>4132</v>
      </c>
      <c r="G412" s="3249" t="s">
        <v>3638</v>
      </c>
      <c r="H412" s="3250">
        <v>37.520000000000003</v>
      </c>
      <c r="I412" s="3251">
        <v>7.7</v>
      </c>
      <c r="J412" s="3249" t="s">
        <v>3230</v>
      </c>
    </row>
    <row r="413" spans="4:10">
      <c r="D413" s="3248">
        <v>409</v>
      </c>
      <c r="E413" s="3610"/>
      <c r="F413" s="3249" t="s">
        <v>4132</v>
      </c>
      <c r="G413" s="3249" t="s">
        <v>3639</v>
      </c>
      <c r="H413" s="3250">
        <v>37.520000000000003</v>
      </c>
      <c r="I413" s="3251">
        <v>7.7</v>
      </c>
      <c r="J413" s="3249" t="s">
        <v>3230</v>
      </c>
    </row>
    <row r="414" spans="4:10">
      <c r="D414" s="3248">
        <v>410</v>
      </c>
      <c r="E414" s="3610"/>
      <c r="F414" s="3249" t="s">
        <v>4132</v>
      </c>
      <c r="G414" s="3249" t="s">
        <v>3640</v>
      </c>
      <c r="H414" s="3250">
        <v>37.520000000000003</v>
      </c>
      <c r="I414" s="3251">
        <v>7.7</v>
      </c>
      <c r="J414" s="3249" t="s">
        <v>3230</v>
      </c>
    </row>
    <row r="415" spans="4:10">
      <c r="D415" s="3248">
        <v>411</v>
      </c>
      <c r="E415" s="3610"/>
      <c r="F415" s="3249" t="s">
        <v>4132</v>
      </c>
      <c r="G415" s="3249" t="s">
        <v>3641</v>
      </c>
      <c r="H415" s="3250">
        <v>37.520000000000003</v>
      </c>
      <c r="I415" s="3251">
        <v>7.7</v>
      </c>
      <c r="J415" s="3249" t="s">
        <v>3230</v>
      </c>
    </row>
    <row r="416" spans="4:10">
      <c r="D416" s="3248">
        <v>412</v>
      </c>
      <c r="E416" s="3610"/>
      <c r="F416" s="3249" t="s">
        <v>4132</v>
      </c>
      <c r="G416" s="3249" t="s">
        <v>3642</v>
      </c>
      <c r="H416" s="3250">
        <v>37.520000000000003</v>
      </c>
      <c r="I416" s="3251">
        <v>7.7</v>
      </c>
      <c r="J416" s="3249" t="s">
        <v>3230</v>
      </c>
    </row>
    <row r="417" spans="4:10">
      <c r="D417" s="3248">
        <v>413</v>
      </c>
      <c r="E417" s="3610"/>
      <c r="F417" s="3249" t="s">
        <v>4132</v>
      </c>
      <c r="G417" s="3249" t="s">
        <v>3643</v>
      </c>
      <c r="H417" s="3250">
        <v>37.520000000000003</v>
      </c>
      <c r="I417" s="3251">
        <v>7.7</v>
      </c>
      <c r="J417" s="3249" t="s">
        <v>3230</v>
      </c>
    </row>
    <row r="418" spans="4:10">
      <c r="D418" s="3248">
        <v>414</v>
      </c>
      <c r="E418" s="3610"/>
      <c r="F418" s="3249" t="s">
        <v>4132</v>
      </c>
      <c r="G418" s="3249" t="s">
        <v>3644</v>
      </c>
      <c r="H418" s="3250">
        <v>37.520000000000003</v>
      </c>
      <c r="I418" s="3251">
        <v>7.7</v>
      </c>
      <c r="J418" s="3249" t="s">
        <v>3230</v>
      </c>
    </row>
    <row r="419" spans="4:10">
      <c r="D419" s="3248">
        <v>415</v>
      </c>
      <c r="E419" s="3610"/>
      <c r="F419" s="3249" t="s">
        <v>4132</v>
      </c>
      <c r="G419" s="3249" t="s">
        <v>3645</v>
      </c>
      <c r="H419" s="3250">
        <v>37.520000000000003</v>
      </c>
      <c r="I419" s="3251">
        <v>7.7</v>
      </c>
      <c r="J419" s="3249" t="s">
        <v>3230</v>
      </c>
    </row>
    <row r="420" spans="4:10">
      <c r="D420" s="3248">
        <v>416</v>
      </c>
      <c r="E420" s="3610"/>
      <c r="F420" s="3249" t="s">
        <v>4132</v>
      </c>
      <c r="G420" s="3249" t="s">
        <v>3646</v>
      </c>
      <c r="H420" s="3250">
        <v>35.99</v>
      </c>
      <c r="I420" s="3251">
        <v>7.39</v>
      </c>
      <c r="J420" s="3249" t="s">
        <v>3230</v>
      </c>
    </row>
    <row r="421" spans="4:10">
      <c r="D421" s="3248">
        <v>417</v>
      </c>
      <c r="E421" s="3610"/>
      <c r="F421" s="3249" t="s">
        <v>4132</v>
      </c>
      <c r="G421" s="3249" t="s">
        <v>3647</v>
      </c>
      <c r="H421" s="3250">
        <v>37.49</v>
      </c>
      <c r="I421" s="3251">
        <v>7.69</v>
      </c>
      <c r="J421" s="3249" t="s">
        <v>3230</v>
      </c>
    </row>
    <row r="422" spans="4:10">
      <c r="D422" s="3248">
        <v>418</v>
      </c>
      <c r="E422" s="3610"/>
      <c r="F422" s="3249" t="s">
        <v>4132</v>
      </c>
      <c r="G422" s="3249" t="s">
        <v>3648</v>
      </c>
      <c r="H422" s="3250">
        <v>37.49</v>
      </c>
      <c r="I422" s="3251">
        <v>7.69</v>
      </c>
      <c r="J422" s="3249" t="s">
        <v>3230</v>
      </c>
    </row>
    <row r="423" spans="4:10">
      <c r="D423" s="3248">
        <v>419</v>
      </c>
      <c r="E423" s="3610"/>
      <c r="F423" s="3249" t="s">
        <v>4132</v>
      </c>
      <c r="G423" s="3249" t="s">
        <v>3649</v>
      </c>
      <c r="H423" s="3250">
        <v>37.49</v>
      </c>
      <c r="I423" s="3251">
        <v>7.69</v>
      </c>
      <c r="J423" s="3249" t="s">
        <v>3230</v>
      </c>
    </row>
    <row r="424" spans="4:10">
      <c r="D424" s="3248">
        <v>420</v>
      </c>
      <c r="E424" s="3610"/>
      <c r="F424" s="3249" t="s">
        <v>4132</v>
      </c>
      <c r="G424" s="3249" t="s">
        <v>3650</v>
      </c>
      <c r="H424" s="3250">
        <v>35.99</v>
      </c>
      <c r="I424" s="3251">
        <v>7.39</v>
      </c>
      <c r="J424" s="3249" t="s">
        <v>3230</v>
      </c>
    </row>
    <row r="425" spans="4:10">
      <c r="D425" s="3248">
        <v>421</v>
      </c>
      <c r="E425" s="3610"/>
      <c r="F425" s="3249" t="s">
        <v>4132</v>
      </c>
      <c r="G425" s="3249" t="s">
        <v>3651</v>
      </c>
      <c r="H425" s="3250">
        <v>37.49</v>
      </c>
      <c r="I425" s="3251">
        <v>7.69</v>
      </c>
      <c r="J425" s="3249" t="s">
        <v>3230</v>
      </c>
    </row>
    <row r="426" spans="4:10">
      <c r="D426" s="3248">
        <v>422</v>
      </c>
      <c r="E426" s="3610"/>
      <c r="F426" s="3249" t="s">
        <v>4132</v>
      </c>
      <c r="G426" s="3249" t="s">
        <v>3652</v>
      </c>
      <c r="H426" s="3250">
        <v>37.49</v>
      </c>
      <c r="I426" s="3251">
        <v>7.69</v>
      </c>
      <c r="J426" s="3249" t="s">
        <v>3230</v>
      </c>
    </row>
    <row r="427" spans="4:10">
      <c r="D427" s="3248">
        <v>423</v>
      </c>
      <c r="E427" s="3610"/>
      <c r="F427" s="3249" t="s">
        <v>4132</v>
      </c>
      <c r="G427" s="3249" t="s">
        <v>3653</v>
      </c>
      <c r="H427" s="3250">
        <v>37.49</v>
      </c>
      <c r="I427" s="3251">
        <v>7.69</v>
      </c>
      <c r="J427" s="3249" t="s">
        <v>3230</v>
      </c>
    </row>
    <row r="428" spans="4:10">
      <c r="D428" s="3248">
        <v>424</v>
      </c>
      <c r="E428" s="3610"/>
      <c r="F428" s="3249" t="s">
        <v>4132</v>
      </c>
      <c r="G428" s="3249" t="s">
        <v>3654</v>
      </c>
      <c r="H428" s="3250">
        <v>37.49</v>
      </c>
      <c r="I428" s="3251">
        <v>7.69</v>
      </c>
      <c r="J428" s="3249" t="s">
        <v>3230</v>
      </c>
    </row>
    <row r="429" spans="4:10">
      <c r="D429" s="3248">
        <v>425</v>
      </c>
      <c r="E429" s="3610"/>
      <c r="F429" s="3249" t="s">
        <v>4132</v>
      </c>
      <c r="G429" s="3249" t="s">
        <v>3655</v>
      </c>
      <c r="H429" s="3250">
        <v>37.49</v>
      </c>
      <c r="I429" s="3251">
        <v>7.69</v>
      </c>
      <c r="J429" s="3249" t="s">
        <v>3230</v>
      </c>
    </row>
    <row r="430" spans="4:10">
      <c r="D430" s="3248">
        <v>426</v>
      </c>
      <c r="E430" s="3610"/>
      <c r="F430" s="3249" t="s">
        <v>4132</v>
      </c>
      <c r="G430" s="3249" t="s">
        <v>3656</v>
      </c>
      <c r="H430" s="3250">
        <v>37.49</v>
      </c>
      <c r="I430" s="3251">
        <v>7.69</v>
      </c>
      <c r="J430" s="3249" t="s">
        <v>3230</v>
      </c>
    </row>
    <row r="431" spans="4:10">
      <c r="D431" s="3248">
        <v>427</v>
      </c>
      <c r="E431" s="3610"/>
      <c r="F431" s="3249" t="s">
        <v>4132</v>
      </c>
      <c r="G431" s="3249" t="s">
        <v>3657</v>
      </c>
      <c r="H431" s="3250">
        <v>35.99</v>
      </c>
      <c r="I431" s="3251">
        <v>7.39</v>
      </c>
      <c r="J431" s="3249" t="s">
        <v>3230</v>
      </c>
    </row>
    <row r="432" spans="4:10">
      <c r="D432" s="3248">
        <v>428</v>
      </c>
      <c r="E432" s="3610"/>
      <c r="F432" s="3249" t="s">
        <v>4132</v>
      </c>
      <c r="G432" s="3249" t="s">
        <v>3658</v>
      </c>
      <c r="H432" s="3250">
        <v>37.49</v>
      </c>
      <c r="I432" s="3251">
        <v>7.69</v>
      </c>
      <c r="J432" s="3249" t="s">
        <v>3230</v>
      </c>
    </row>
    <row r="433" spans="4:10">
      <c r="D433" s="3248">
        <v>429</v>
      </c>
      <c r="E433" s="3610"/>
      <c r="F433" s="3249" t="s">
        <v>4132</v>
      </c>
      <c r="G433" s="3249" t="s">
        <v>3659</v>
      </c>
      <c r="H433" s="3250">
        <v>37.49</v>
      </c>
      <c r="I433" s="3251">
        <v>7.69</v>
      </c>
      <c r="J433" s="3249" t="s">
        <v>3230</v>
      </c>
    </row>
    <row r="434" spans="4:10">
      <c r="D434" s="3248">
        <v>430</v>
      </c>
      <c r="E434" s="3610"/>
      <c r="F434" s="3249" t="s">
        <v>4132</v>
      </c>
      <c r="G434" s="3249" t="s">
        <v>3660</v>
      </c>
      <c r="H434" s="3250">
        <v>37.49</v>
      </c>
      <c r="I434" s="3251">
        <v>7.69</v>
      </c>
      <c r="J434" s="3249" t="s">
        <v>3230</v>
      </c>
    </row>
    <row r="435" spans="4:10">
      <c r="D435" s="3248">
        <v>431</v>
      </c>
      <c r="E435" s="3610"/>
      <c r="F435" s="3249" t="s">
        <v>4132</v>
      </c>
      <c r="G435" s="3249" t="s">
        <v>3661</v>
      </c>
      <c r="H435" s="3250">
        <v>35.24</v>
      </c>
      <c r="I435" s="3251">
        <v>7.23</v>
      </c>
      <c r="J435" s="3249" t="s">
        <v>3230</v>
      </c>
    </row>
    <row r="436" spans="4:10">
      <c r="D436" s="3248">
        <v>432</v>
      </c>
      <c r="E436" s="3610"/>
      <c r="F436" s="3249" t="s">
        <v>4132</v>
      </c>
      <c r="G436" s="3249" t="s">
        <v>3662</v>
      </c>
      <c r="H436" s="3250">
        <v>35.24</v>
      </c>
      <c r="I436" s="3251">
        <v>7.23</v>
      </c>
      <c r="J436" s="3249" t="s">
        <v>3230</v>
      </c>
    </row>
    <row r="437" spans="4:10">
      <c r="D437" s="3248">
        <v>433</v>
      </c>
      <c r="E437" s="3610"/>
      <c r="F437" s="3249" t="s">
        <v>4132</v>
      </c>
      <c r="G437" s="3249" t="s">
        <v>3663</v>
      </c>
      <c r="H437" s="3250">
        <v>35.24</v>
      </c>
      <c r="I437" s="3251">
        <v>7.23</v>
      </c>
      <c r="J437" s="3249" t="s">
        <v>3230</v>
      </c>
    </row>
    <row r="438" spans="4:10">
      <c r="D438" s="3248">
        <v>434</v>
      </c>
      <c r="E438" s="3610"/>
      <c r="F438" s="3249" t="s">
        <v>4132</v>
      </c>
      <c r="G438" s="3249" t="s">
        <v>3664</v>
      </c>
      <c r="H438" s="3250">
        <v>37.49</v>
      </c>
      <c r="I438" s="3251">
        <v>7.69</v>
      </c>
      <c r="J438" s="3249" t="s">
        <v>3230</v>
      </c>
    </row>
    <row r="439" spans="4:10">
      <c r="D439" s="3248">
        <v>435</v>
      </c>
      <c r="E439" s="3610"/>
      <c r="F439" s="3249" t="s">
        <v>4132</v>
      </c>
      <c r="G439" s="3249" t="s">
        <v>3665</v>
      </c>
      <c r="H439" s="3250">
        <v>37.49</v>
      </c>
      <c r="I439" s="3251">
        <v>7.69</v>
      </c>
      <c r="J439" s="3249" t="s">
        <v>3230</v>
      </c>
    </row>
    <row r="440" spans="4:10">
      <c r="D440" s="3248">
        <v>436</v>
      </c>
      <c r="E440" s="3610"/>
      <c r="F440" s="3249" t="s">
        <v>4132</v>
      </c>
      <c r="G440" s="3249" t="s">
        <v>3666</v>
      </c>
      <c r="H440" s="3250">
        <v>37.49</v>
      </c>
      <c r="I440" s="3251">
        <v>7.69</v>
      </c>
      <c r="J440" s="3249" t="s">
        <v>3230</v>
      </c>
    </row>
    <row r="441" spans="4:10">
      <c r="D441" s="3248">
        <v>437</v>
      </c>
      <c r="E441" s="3610"/>
      <c r="F441" s="3249" t="s">
        <v>4132</v>
      </c>
      <c r="G441" s="3249" t="s">
        <v>3667</v>
      </c>
      <c r="H441" s="3250">
        <v>37.49</v>
      </c>
      <c r="I441" s="3251">
        <v>7.69</v>
      </c>
      <c r="J441" s="3249" t="s">
        <v>3230</v>
      </c>
    </row>
    <row r="442" spans="4:10">
      <c r="D442" s="3248">
        <v>438</v>
      </c>
      <c r="E442" s="3610"/>
      <c r="F442" s="3249" t="s">
        <v>4132</v>
      </c>
      <c r="G442" s="3249" t="s">
        <v>3668</v>
      </c>
      <c r="H442" s="3250">
        <v>37.49</v>
      </c>
      <c r="I442" s="3251">
        <v>7.69</v>
      </c>
      <c r="J442" s="3249" t="s">
        <v>3230</v>
      </c>
    </row>
    <row r="443" spans="4:10">
      <c r="D443" s="3248">
        <v>439</v>
      </c>
      <c r="E443" s="3610"/>
      <c r="F443" s="3249" t="s">
        <v>4132</v>
      </c>
      <c r="G443" s="3249" t="s">
        <v>3669</v>
      </c>
      <c r="H443" s="3250">
        <v>37.49</v>
      </c>
      <c r="I443" s="3251">
        <v>7.69</v>
      </c>
      <c r="J443" s="3249" t="s">
        <v>3230</v>
      </c>
    </row>
    <row r="444" spans="4:10">
      <c r="D444" s="3248">
        <v>440</v>
      </c>
      <c r="E444" s="3610"/>
      <c r="F444" s="3249" t="s">
        <v>4132</v>
      </c>
      <c r="G444" s="3249" t="s">
        <v>3670</v>
      </c>
      <c r="H444" s="3250">
        <v>37.49</v>
      </c>
      <c r="I444" s="3251">
        <v>7.69</v>
      </c>
      <c r="J444" s="3249" t="s">
        <v>3230</v>
      </c>
    </row>
    <row r="445" spans="4:10">
      <c r="D445" s="3248">
        <v>441</v>
      </c>
      <c r="E445" s="3610"/>
      <c r="F445" s="3249" t="s">
        <v>4132</v>
      </c>
      <c r="G445" s="3249" t="s">
        <v>3671</v>
      </c>
      <c r="H445" s="3250">
        <v>37.49</v>
      </c>
      <c r="I445" s="3251">
        <v>7.69</v>
      </c>
      <c r="J445" s="3249" t="s">
        <v>3230</v>
      </c>
    </row>
    <row r="446" spans="4:10">
      <c r="D446" s="3248">
        <v>442</v>
      </c>
      <c r="E446" s="3610"/>
      <c r="F446" s="3249" t="s">
        <v>4132</v>
      </c>
      <c r="G446" s="3249" t="s">
        <v>3672</v>
      </c>
      <c r="H446" s="3250">
        <v>35.99</v>
      </c>
      <c r="I446" s="3251">
        <v>7.39</v>
      </c>
      <c r="J446" s="3249" t="s">
        <v>3230</v>
      </c>
    </row>
    <row r="447" spans="4:10">
      <c r="D447" s="3248">
        <v>443</v>
      </c>
      <c r="E447" s="3610"/>
      <c r="F447" s="3249" t="s">
        <v>4132</v>
      </c>
      <c r="G447" s="3249" t="s">
        <v>3673</v>
      </c>
      <c r="H447" s="3250">
        <v>35.99</v>
      </c>
      <c r="I447" s="3251">
        <v>7.39</v>
      </c>
      <c r="J447" s="3249" t="s">
        <v>3230</v>
      </c>
    </row>
    <row r="448" spans="4:10">
      <c r="D448" s="3248">
        <v>444</v>
      </c>
      <c r="E448" s="3610"/>
      <c r="F448" s="3249" t="s">
        <v>4132</v>
      </c>
      <c r="G448" s="3249" t="s">
        <v>3674</v>
      </c>
      <c r="H448" s="3250">
        <v>35.99</v>
      </c>
      <c r="I448" s="3251">
        <v>7.39</v>
      </c>
      <c r="J448" s="3249" t="s">
        <v>3230</v>
      </c>
    </row>
    <row r="449" spans="4:10">
      <c r="D449" s="3248">
        <v>445</v>
      </c>
      <c r="E449" s="3610"/>
      <c r="F449" s="3249" t="s">
        <v>4132</v>
      </c>
      <c r="G449" s="3249" t="s">
        <v>3675</v>
      </c>
      <c r="H449" s="3250">
        <v>35.99</v>
      </c>
      <c r="I449" s="3251">
        <v>7.39</v>
      </c>
      <c r="J449" s="3249" t="s">
        <v>3230</v>
      </c>
    </row>
    <row r="450" spans="4:10">
      <c r="D450" s="3248">
        <v>446</v>
      </c>
      <c r="E450" s="3610"/>
      <c r="F450" s="3249" t="s">
        <v>4132</v>
      </c>
      <c r="G450" s="3249" t="s">
        <v>3676</v>
      </c>
      <c r="H450" s="3250">
        <v>35.99</v>
      </c>
      <c r="I450" s="3251">
        <v>7.39</v>
      </c>
      <c r="J450" s="3249" t="s">
        <v>3230</v>
      </c>
    </row>
    <row r="451" spans="4:10">
      <c r="D451" s="3248">
        <v>447</v>
      </c>
      <c r="E451" s="3610"/>
      <c r="F451" s="3249" t="s">
        <v>4132</v>
      </c>
      <c r="G451" s="3249" t="s">
        <v>3677</v>
      </c>
      <c r="H451" s="3250">
        <v>35.99</v>
      </c>
      <c r="I451" s="3251">
        <v>7.39</v>
      </c>
      <c r="J451" s="3249" t="s">
        <v>3230</v>
      </c>
    </row>
    <row r="452" spans="4:10">
      <c r="D452" s="3248">
        <v>448</v>
      </c>
      <c r="E452" s="3610"/>
      <c r="F452" s="3249" t="s">
        <v>4132</v>
      </c>
      <c r="G452" s="3249" t="s">
        <v>3678</v>
      </c>
      <c r="H452" s="3250">
        <v>35.99</v>
      </c>
      <c r="I452" s="3251">
        <v>7.39</v>
      </c>
      <c r="J452" s="3249" t="s">
        <v>3230</v>
      </c>
    </row>
    <row r="453" spans="4:10">
      <c r="D453" s="3248">
        <v>449</v>
      </c>
      <c r="E453" s="3610"/>
      <c r="F453" s="3249" t="s">
        <v>4132</v>
      </c>
      <c r="G453" s="3249" t="s">
        <v>3679</v>
      </c>
      <c r="H453" s="3250">
        <v>35.99</v>
      </c>
      <c r="I453" s="3251">
        <v>7.39</v>
      </c>
      <c r="J453" s="3249" t="s">
        <v>3230</v>
      </c>
    </row>
    <row r="454" spans="4:10">
      <c r="D454" s="3248">
        <v>450</v>
      </c>
      <c r="E454" s="3610"/>
      <c r="F454" s="3249" t="s">
        <v>4132</v>
      </c>
      <c r="G454" s="3249" t="s">
        <v>3680</v>
      </c>
      <c r="H454" s="3250">
        <v>35.99</v>
      </c>
      <c r="I454" s="3251">
        <v>7.39</v>
      </c>
      <c r="J454" s="3249" t="s">
        <v>3230</v>
      </c>
    </row>
    <row r="455" spans="4:10">
      <c r="D455" s="3248">
        <v>451</v>
      </c>
      <c r="E455" s="3610"/>
      <c r="F455" s="3249" t="s">
        <v>4132</v>
      </c>
      <c r="G455" s="3249" t="s">
        <v>3681</v>
      </c>
      <c r="H455" s="3250">
        <v>35.99</v>
      </c>
      <c r="I455" s="3251">
        <v>7.39</v>
      </c>
      <c r="J455" s="3249" t="s">
        <v>3230</v>
      </c>
    </row>
    <row r="456" spans="4:10">
      <c r="D456" s="3248">
        <v>452</v>
      </c>
      <c r="E456" s="3610"/>
      <c r="F456" s="3249" t="s">
        <v>4132</v>
      </c>
      <c r="G456" s="3249" t="s">
        <v>3682</v>
      </c>
      <c r="H456" s="3250">
        <v>35.99</v>
      </c>
      <c r="I456" s="3251">
        <v>7.39</v>
      </c>
      <c r="J456" s="3249" t="s">
        <v>3230</v>
      </c>
    </row>
    <row r="457" spans="4:10">
      <c r="D457" s="3248">
        <v>453</v>
      </c>
      <c r="E457" s="3610"/>
      <c r="F457" s="3249" t="s">
        <v>4132</v>
      </c>
      <c r="G457" s="3249" t="s">
        <v>3683</v>
      </c>
      <c r="H457" s="3250">
        <v>35.99</v>
      </c>
      <c r="I457" s="3251">
        <v>7.39</v>
      </c>
      <c r="J457" s="3249" t="s">
        <v>3230</v>
      </c>
    </row>
    <row r="458" spans="4:10">
      <c r="D458" s="3248">
        <v>454</v>
      </c>
      <c r="E458" s="3610"/>
      <c r="F458" s="3249" t="s">
        <v>4132</v>
      </c>
      <c r="G458" s="3249" t="s">
        <v>3684</v>
      </c>
      <c r="H458" s="3250">
        <v>35.99</v>
      </c>
      <c r="I458" s="3251">
        <v>7.39</v>
      </c>
      <c r="J458" s="3249" t="s">
        <v>3230</v>
      </c>
    </row>
    <row r="459" spans="4:10">
      <c r="D459" s="3248">
        <v>455</v>
      </c>
      <c r="E459" s="3610"/>
      <c r="F459" s="3249" t="s">
        <v>4132</v>
      </c>
      <c r="G459" s="3249" t="s">
        <v>3685</v>
      </c>
      <c r="H459" s="3250">
        <v>35.99</v>
      </c>
      <c r="I459" s="3251">
        <v>7.39</v>
      </c>
      <c r="J459" s="3249" t="s">
        <v>3230</v>
      </c>
    </row>
    <row r="460" spans="4:10">
      <c r="D460" s="3248">
        <v>456</v>
      </c>
      <c r="E460" s="3610"/>
      <c r="F460" s="3249" t="s">
        <v>4132</v>
      </c>
      <c r="G460" s="3249" t="s">
        <v>3686</v>
      </c>
      <c r="H460" s="3250">
        <v>35.99</v>
      </c>
      <c r="I460" s="3251">
        <v>7.39</v>
      </c>
      <c r="J460" s="3249" t="s">
        <v>3230</v>
      </c>
    </row>
    <row r="461" spans="4:10">
      <c r="D461" s="3248">
        <v>457</v>
      </c>
      <c r="E461" s="3610"/>
      <c r="F461" s="3249" t="s">
        <v>4132</v>
      </c>
      <c r="G461" s="3249" t="s">
        <v>3687</v>
      </c>
      <c r="H461" s="3250">
        <v>35.99</v>
      </c>
      <c r="I461" s="3251">
        <v>7.39</v>
      </c>
      <c r="J461" s="3249" t="s">
        <v>3230</v>
      </c>
    </row>
    <row r="462" spans="4:10">
      <c r="D462" s="3248">
        <v>458</v>
      </c>
      <c r="E462" s="3610"/>
      <c r="F462" s="3249" t="s">
        <v>4132</v>
      </c>
      <c r="G462" s="3249" t="s">
        <v>3688</v>
      </c>
      <c r="H462" s="3250">
        <v>34.49</v>
      </c>
      <c r="I462" s="3251">
        <v>7.08</v>
      </c>
      <c r="J462" s="3249" t="s">
        <v>3230</v>
      </c>
    </row>
    <row r="463" spans="4:10">
      <c r="D463" s="3248">
        <v>459</v>
      </c>
      <c r="E463" s="3610"/>
      <c r="F463" s="3249" t="s">
        <v>4132</v>
      </c>
      <c r="G463" s="3249" t="s">
        <v>3689</v>
      </c>
      <c r="H463" s="3250">
        <v>34.49</v>
      </c>
      <c r="I463" s="3251">
        <v>7.08</v>
      </c>
      <c r="J463" s="3249" t="s">
        <v>3230</v>
      </c>
    </row>
    <row r="464" spans="4:10">
      <c r="D464" s="3248">
        <v>460</v>
      </c>
      <c r="E464" s="3610"/>
      <c r="F464" s="3249" t="s">
        <v>4132</v>
      </c>
      <c r="G464" s="3249" t="s">
        <v>3690</v>
      </c>
      <c r="H464" s="3250">
        <v>34.49</v>
      </c>
      <c r="I464" s="3251">
        <v>7.08</v>
      </c>
      <c r="J464" s="3249" t="s">
        <v>3230</v>
      </c>
    </row>
    <row r="465" spans="4:10">
      <c r="D465" s="3248">
        <v>461</v>
      </c>
      <c r="E465" s="3610"/>
      <c r="F465" s="3249" t="s">
        <v>4132</v>
      </c>
      <c r="G465" s="3249" t="s">
        <v>3691</v>
      </c>
      <c r="H465" s="3250">
        <v>35.99</v>
      </c>
      <c r="I465" s="3251">
        <v>7.39</v>
      </c>
      <c r="J465" s="3249" t="s">
        <v>3230</v>
      </c>
    </row>
    <row r="466" spans="4:10">
      <c r="D466" s="3248">
        <v>462</v>
      </c>
      <c r="E466" s="3610"/>
      <c r="F466" s="3249" t="s">
        <v>4132</v>
      </c>
      <c r="G466" s="3249" t="s">
        <v>3692</v>
      </c>
      <c r="H466" s="3250">
        <v>35.99</v>
      </c>
      <c r="I466" s="3251">
        <v>7.39</v>
      </c>
      <c r="J466" s="3249" t="s">
        <v>3230</v>
      </c>
    </row>
    <row r="467" spans="4:10">
      <c r="D467" s="3248">
        <v>463</v>
      </c>
      <c r="E467" s="3610"/>
      <c r="F467" s="3249" t="s">
        <v>4132</v>
      </c>
      <c r="G467" s="3249" t="s">
        <v>3693</v>
      </c>
      <c r="H467" s="3250">
        <v>35.99</v>
      </c>
      <c r="I467" s="3251">
        <v>7.39</v>
      </c>
      <c r="J467" s="3249" t="s">
        <v>3230</v>
      </c>
    </row>
    <row r="468" spans="4:10">
      <c r="D468" s="3248">
        <v>464</v>
      </c>
      <c r="E468" s="3610"/>
      <c r="F468" s="3249" t="s">
        <v>4132</v>
      </c>
      <c r="G468" s="3249" t="s">
        <v>3694</v>
      </c>
      <c r="H468" s="3250">
        <v>35.99</v>
      </c>
      <c r="I468" s="3251">
        <v>7.39</v>
      </c>
      <c r="J468" s="3249" t="s">
        <v>3230</v>
      </c>
    </row>
    <row r="469" spans="4:10">
      <c r="D469" s="3248">
        <v>465</v>
      </c>
      <c r="E469" s="3610"/>
      <c r="F469" s="3249" t="s">
        <v>4132</v>
      </c>
      <c r="G469" s="3249" t="s">
        <v>3695</v>
      </c>
      <c r="H469" s="3250">
        <v>35.99</v>
      </c>
      <c r="I469" s="3251">
        <v>7.39</v>
      </c>
      <c r="J469" s="3249" t="s">
        <v>3230</v>
      </c>
    </row>
    <row r="470" spans="4:10">
      <c r="D470" s="3248">
        <v>466</v>
      </c>
      <c r="E470" s="3610"/>
      <c r="F470" s="3249" t="s">
        <v>4132</v>
      </c>
      <c r="G470" s="3249" t="s">
        <v>3696</v>
      </c>
      <c r="H470" s="3250">
        <v>37.49</v>
      </c>
      <c r="I470" s="3251">
        <v>7.69</v>
      </c>
      <c r="J470" s="3249" t="s">
        <v>3230</v>
      </c>
    </row>
    <row r="471" spans="4:10">
      <c r="D471" s="3248">
        <v>467</v>
      </c>
      <c r="E471" s="3610"/>
      <c r="F471" s="3249" t="s">
        <v>4132</v>
      </c>
      <c r="G471" s="3249" t="s">
        <v>3697</v>
      </c>
      <c r="H471" s="3250">
        <v>35.99</v>
      </c>
      <c r="I471" s="3251">
        <v>7.39</v>
      </c>
      <c r="J471" s="3249" t="s">
        <v>3230</v>
      </c>
    </row>
    <row r="472" spans="4:10">
      <c r="D472" s="3248">
        <v>468</v>
      </c>
      <c r="E472" s="3610"/>
      <c r="F472" s="3249" t="s">
        <v>4132</v>
      </c>
      <c r="G472" s="3249" t="s">
        <v>3698</v>
      </c>
      <c r="H472" s="3250">
        <v>35.99</v>
      </c>
      <c r="I472" s="3251">
        <v>7.39</v>
      </c>
      <c r="J472" s="3249" t="s">
        <v>3230</v>
      </c>
    </row>
    <row r="473" spans="4:10">
      <c r="D473" s="3248">
        <v>469</v>
      </c>
      <c r="E473" s="3610"/>
      <c r="F473" s="3249" t="s">
        <v>4132</v>
      </c>
      <c r="G473" s="3249" t="s">
        <v>3699</v>
      </c>
      <c r="H473" s="3250">
        <v>35.99</v>
      </c>
      <c r="I473" s="3251">
        <v>7.39</v>
      </c>
      <c r="J473" s="3249" t="s">
        <v>3230</v>
      </c>
    </row>
    <row r="474" spans="4:10">
      <c r="D474" s="3248">
        <v>470</v>
      </c>
      <c r="E474" s="3610"/>
      <c r="F474" s="3249" t="s">
        <v>4132</v>
      </c>
      <c r="G474" s="3249" t="s">
        <v>3700</v>
      </c>
      <c r="H474" s="3250">
        <v>35.99</v>
      </c>
      <c r="I474" s="3251">
        <v>7.39</v>
      </c>
      <c r="J474" s="3249" t="s">
        <v>3230</v>
      </c>
    </row>
    <row r="475" spans="4:10">
      <c r="D475" s="3248">
        <v>471</v>
      </c>
      <c r="E475" s="3610"/>
      <c r="F475" s="3249" t="s">
        <v>4132</v>
      </c>
      <c r="G475" s="3249" t="s">
        <v>3701</v>
      </c>
      <c r="H475" s="3250">
        <v>37.49</v>
      </c>
      <c r="I475" s="3251">
        <v>7.69</v>
      </c>
      <c r="J475" s="3249" t="s">
        <v>3230</v>
      </c>
    </row>
    <row r="476" spans="4:10">
      <c r="D476" s="3248">
        <v>472</v>
      </c>
      <c r="E476" s="3610"/>
      <c r="F476" s="3249" t="s">
        <v>4132</v>
      </c>
      <c r="G476" s="3249" t="s">
        <v>3702</v>
      </c>
      <c r="H476" s="3250">
        <v>37.49</v>
      </c>
      <c r="I476" s="3251">
        <v>7.69</v>
      </c>
      <c r="J476" s="3249" t="s">
        <v>3230</v>
      </c>
    </row>
    <row r="477" spans="4:10">
      <c r="D477" s="3248">
        <v>473</v>
      </c>
      <c r="E477" s="3610"/>
      <c r="F477" s="3249" t="s">
        <v>4132</v>
      </c>
      <c r="G477" s="3249" t="s">
        <v>3703</v>
      </c>
      <c r="H477" s="3250">
        <v>37.49</v>
      </c>
      <c r="I477" s="3251">
        <v>7.69</v>
      </c>
      <c r="J477" s="3249" t="s">
        <v>3230</v>
      </c>
    </row>
    <row r="478" spans="4:10">
      <c r="D478" s="3248">
        <v>474</v>
      </c>
      <c r="E478" s="3610"/>
      <c r="F478" s="3249" t="s">
        <v>4132</v>
      </c>
      <c r="G478" s="3249" t="s">
        <v>3704</v>
      </c>
      <c r="H478" s="3250">
        <v>36.71</v>
      </c>
      <c r="I478" s="3251">
        <v>7.53</v>
      </c>
      <c r="J478" s="3249" t="s">
        <v>3230</v>
      </c>
    </row>
    <row r="479" spans="4:10">
      <c r="D479" s="3248">
        <v>475</v>
      </c>
      <c r="E479" s="3610"/>
      <c r="F479" s="3249" t="s">
        <v>4132</v>
      </c>
      <c r="G479" s="3249" t="s">
        <v>3705</v>
      </c>
      <c r="H479" s="3250">
        <v>37.49</v>
      </c>
      <c r="I479" s="3251">
        <v>7.69</v>
      </c>
      <c r="J479" s="3249" t="s">
        <v>3230</v>
      </c>
    </row>
    <row r="480" spans="4:10">
      <c r="D480" s="3248">
        <v>476</v>
      </c>
      <c r="E480" s="3610"/>
      <c r="F480" s="3249" t="s">
        <v>4132</v>
      </c>
      <c r="G480" s="3249" t="s">
        <v>3706</v>
      </c>
      <c r="H480" s="3250">
        <v>37.49</v>
      </c>
      <c r="I480" s="3251">
        <v>7.69</v>
      </c>
      <c r="J480" s="3249" t="s">
        <v>3230</v>
      </c>
    </row>
    <row r="481" spans="4:10">
      <c r="D481" s="3248">
        <v>477</v>
      </c>
      <c r="E481" s="3610"/>
      <c r="F481" s="3249" t="s">
        <v>4132</v>
      </c>
      <c r="G481" s="3249" t="s">
        <v>3707</v>
      </c>
      <c r="H481" s="3250">
        <v>38.99</v>
      </c>
      <c r="I481" s="3251">
        <v>8</v>
      </c>
      <c r="J481" s="3249" t="s">
        <v>3230</v>
      </c>
    </row>
    <row r="482" spans="4:10">
      <c r="D482" s="3248">
        <v>478</v>
      </c>
      <c r="E482" s="3610"/>
      <c r="F482" s="3249" t="s">
        <v>4132</v>
      </c>
      <c r="G482" s="3249" t="s">
        <v>3708</v>
      </c>
      <c r="H482" s="3250">
        <v>35.99</v>
      </c>
      <c r="I482" s="3251">
        <v>7.39</v>
      </c>
      <c r="J482" s="3249" t="s">
        <v>3230</v>
      </c>
    </row>
    <row r="483" spans="4:10">
      <c r="D483" s="3248">
        <v>479</v>
      </c>
      <c r="E483" s="3610"/>
      <c r="F483" s="3249" t="s">
        <v>4132</v>
      </c>
      <c r="G483" s="3249" t="s">
        <v>3709</v>
      </c>
      <c r="H483" s="3250">
        <v>35.99</v>
      </c>
      <c r="I483" s="3251">
        <v>7.39</v>
      </c>
      <c r="J483" s="3249" t="s">
        <v>3230</v>
      </c>
    </row>
    <row r="484" spans="4:10">
      <c r="D484" s="3248">
        <v>480</v>
      </c>
      <c r="E484" s="3610"/>
      <c r="F484" s="3249" t="s">
        <v>4132</v>
      </c>
      <c r="G484" s="3249" t="s">
        <v>3710</v>
      </c>
      <c r="H484" s="3250">
        <v>35.99</v>
      </c>
      <c r="I484" s="3251">
        <v>7.39</v>
      </c>
      <c r="J484" s="3249" t="s">
        <v>3230</v>
      </c>
    </row>
    <row r="485" spans="4:10">
      <c r="D485" s="3248">
        <v>481</v>
      </c>
      <c r="E485" s="3610"/>
      <c r="F485" s="3249" t="s">
        <v>4132</v>
      </c>
      <c r="G485" s="3249" t="s">
        <v>3711</v>
      </c>
      <c r="H485" s="3250">
        <v>35.99</v>
      </c>
      <c r="I485" s="3251">
        <v>7.39</v>
      </c>
      <c r="J485" s="3249" t="s">
        <v>3230</v>
      </c>
    </row>
    <row r="486" spans="4:10">
      <c r="D486" s="3248">
        <v>482</v>
      </c>
      <c r="E486" s="3610"/>
      <c r="F486" s="3249" t="s">
        <v>4132</v>
      </c>
      <c r="G486" s="3249" t="s">
        <v>3712</v>
      </c>
      <c r="H486" s="3250">
        <v>35.99</v>
      </c>
      <c r="I486" s="3251">
        <v>7.39</v>
      </c>
      <c r="J486" s="3249" t="s">
        <v>3230</v>
      </c>
    </row>
    <row r="487" spans="4:10">
      <c r="D487" s="3248">
        <v>483</v>
      </c>
      <c r="E487" s="3610"/>
      <c r="F487" s="3249" t="s">
        <v>4132</v>
      </c>
      <c r="G487" s="3249" t="s">
        <v>3713</v>
      </c>
      <c r="H487" s="3250">
        <v>35.99</v>
      </c>
      <c r="I487" s="3251">
        <v>7.39</v>
      </c>
      <c r="J487" s="3249" t="s">
        <v>3230</v>
      </c>
    </row>
    <row r="488" spans="4:10">
      <c r="D488" s="3248">
        <v>484</v>
      </c>
      <c r="E488" s="3610"/>
      <c r="F488" s="3249" t="s">
        <v>4132</v>
      </c>
      <c r="G488" s="3249" t="s">
        <v>3714</v>
      </c>
      <c r="H488" s="3250">
        <v>37.49</v>
      </c>
      <c r="I488" s="3251">
        <v>7.69</v>
      </c>
      <c r="J488" s="3249" t="s">
        <v>3230</v>
      </c>
    </row>
    <row r="489" spans="4:10">
      <c r="D489" s="3248">
        <v>485</v>
      </c>
      <c r="E489" s="3610"/>
      <c r="F489" s="3249" t="s">
        <v>4132</v>
      </c>
      <c r="G489" s="3249" t="s">
        <v>3715</v>
      </c>
      <c r="H489" s="3250">
        <v>37.49</v>
      </c>
      <c r="I489" s="3251">
        <v>7.69</v>
      </c>
      <c r="J489" s="3249" t="s">
        <v>3230</v>
      </c>
    </row>
    <row r="490" spans="4:10">
      <c r="D490" s="3248">
        <v>486</v>
      </c>
      <c r="E490" s="3610"/>
      <c r="F490" s="3249" t="s">
        <v>4132</v>
      </c>
      <c r="G490" s="3249" t="s">
        <v>3716</v>
      </c>
      <c r="H490" s="3250">
        <v>35.99</v>
      </c>
      <c r="I490" s="3251">
        <v>7.39</v>
      </c>
      <c r="J490" s="3249" t="s">
        <v>3230</v>
      </c>
    </row>
    <row r="491" spans="4:10">
      <c r="D491" s="3248">
        <v>487</v>
      </c>
      <c r="E491" s="3610"/>
      <c r="F491" s="3249" t="s">
        <v>4132</v>
      </c>
      <c r="G491" s="3249" t="s">
        <v>3717</v>
      </c>
      <c r="H491" s="3250">
        <v>35.99</v>
      </c>
      <c r="I491" s="3251">
        <v>7.39</v>
      </c>
      <c r="J491" s="3249" t="s">
        <v>3230</v>
      </c>
    </row>
    <row r="492" spans="4:10">
      <c r="D492" s="3248">
        <v>488</v>
      </c>
      <c r="E492" s="3610"/>
      <c r="F492" s="3249" t="s">
        <v>4132</v>
      </c>
      <c r="G492" s="3249" t="s">
        <v>3718</v>
      </c>
      <c r="H492" s="3250">
        <v>35.99</v>
      </c>
      <c r="I492" s="3251">
        <v>7.39</v>
      </c>
      <c r="J492" s="3249" t="s">
        <v>3230</v>
      </c>
    </row>
    <row r="493" spans="4:10">
      <c r="D493" s="3248">
        <v>489</v>
      </c>
      <c r="E493" s="3610"/>
      <c r="F493" s="3249" t="s">
        <v>4132</v>
      </c>
      <c r="G493" s="3249" t="s">
        <v>3719</v>
      </c>
      <c r="H493" s="3250">
        <v>35.99</v>
      </c>
      <c r="I493" s="3251">
        <v>7.39</v>
      </c>
      <c r="J493" s="3249" t="s">
        <v>3230</v>
      </c>
    </row>
    <row r="494" spans="4:10">
      <c r="D494" s="3248">
        <v>490</v>
      </c>
      <c r="E494" s="3610"/>
      <c r="F494" s="3249" t="s">
        <v>4132</v>
      </c>
      <c r="G494" s="3249" t="s">
        <v>3720</v>
      </c>
      <c r="H494" s="3250">
        <v>35.99</v>
      </c>
      <c r="I494" s="3251">
        <v>7.39</v>
      </c>
      <c r="J494" s="3249" t="s">
        <v>3230</v>
      </c>
    </row>
    <row r="495" spans="4:10">
      <c r="D495" s="3248">
        <v>491</v>
      </c>
      <c r="E495" s="3610"/>
      <c r="F495" s="3249" t="s">
        <v>4132</v>
      </c>
      <c r="G495" s="3249" t="s">
        <v>3721</v>
      </c>
      <c r="H495" s="3250">
        <v>35.99</v>
      </c>
      <c r="I495" s="3251">
        <v>7.39</v>
      </c>
      <c r="J495" s="3249" t="s">
        <v>3230</v>
      </c>
    </row>
    <row r="496" spans="4:10">
      <c r="D496" s="3248">
        <v>492</v>
      </c>
      <c r="E496" s="3610"/>
      <c r="F496" s="3249" t="s">
        <v>4132</v>
      </c>
      <c r="G496" s="3249" t="s">
        <v>3722</v>
      </c>
      <c r="H496" s="3250">
        <v>35.99</v>
      </c>
      <c r="I496" s="3251">
        <v>7.39</v>
      </c>
      <c r="J496" s="3249" t="s">
        <v>3230</v>
      </c>
    </row>
    <row r="497" spans="4:10">
      <c r="D497" s="3248">
        <v>493</v>
      </c>
      <c r="E497" s="3610"/>
      <c r="F497" s="3249" t="s">
        <v>4132</v>
      </c>
      <c r="G497" s="3249" t="s">
        <v>3723</v>
      </c>
      <c r="H497" s="3250">
        <v>36.340000000000003</v>
      </c>
      <c r="I497" s="3251">
        <v>7.46</v>
      </c>
      <c r="J497" s="3249" t="s">
        <v>3230</v>
      </c>
    </row>
    <row r="498" spans="4:10">
      <c r="D498" s="3248">
        <v>494</v>
      </c>
      <c r="E498" s="3610"/>
      <c r="F498" s="3249" t="s">
        <v>4132</v>
      </c>
      <c r="G498" s="3249" t="s">
        <v>3724</v>
      </c>
      <c r="H498" s="3250">
        <v>36.340000000000003</v>
      </c>
      <c r="I498" s="3251">
        <v>7.46</v>
      </c>
      <c r="J498" s="3249" t="s">
        <v>3230</v>
      </c>
    </row>
    <row r="499" spans="4:10">
      <c r="D499" s="3248">
        <v>495</v>
      </c>
      <c r="E499" s="3610"/>
      <c r="F499" s="3249" t="s">
        <v>4132</v>
      </c>
      <c r="G499" s="3249" t="s">
        <v>3725</v>
      </c>
      <c r="H499" s="3250">
        <v>36.340000000000003</v>
      </c>
      <c r="I499" s="3251">
        <v>7.46</v>
      </c>
      <c r="J499" s="3249" t="s">
        <v>3230</v>
      </c>
    </row>
    <row r="500" spans="4:10">
      <c r="D500" s="3248">
        <v>496</v>
      </c>
      <c r="E500" s="3610"/>
      <c r="F500" s="3249" t="s">
        <v>4132</v>
      </c>
      <c r="G500" s="3249" t="s">
        <v>3726</v>
      </c>
      <c r="H500" s="3250">
        <v>36.340000000000003</v>
      </c>
      <c r="I500" s="3251">
        <v>7.46</v>
      </c>
      <c r="J500" s="3249" t="s">
        <v>3230</v>
      </c>
    </row>
    <row r="501" spans="4:10">
      <c r="D501" s="3248">
        <v>497</v>
      </c>
      <c r="E501" s="3610"/>
      <c r="F501" s="3249" t="s">
        <v>4132</v>
      </c>
      <c r="G501" s="3249" t="s">
        <v>3727</v>
      </c>
      <c r="H501" s="3250">
        <v>36.340000000000003</v>
      </c>
      <c r="I501" s="3251">
        <v>7.46</v>
      </c>
      <c r="J501" s="3249" t="s">
        <v>3230</v>
      </c>
    </row>
    <row r="502" spans="4:10">
      <c r="D502" s="3248">
        <v>498</v>
      </c>
      <c r="E502" s="3610"/>
      <c r="F502" s="3249" t="s">
        <v>4132</v>
      </c>
      <c r="G502" s="3249" t="s">
        <v>3728</v>
      </c>
      <c r="H502" s="3250">
        <v>38.659999999999997</v>
      </c>
      <c r="I502" s="3251">
        <v>7.93</v>
      </c>
      <c r="J502" s="3249" t="s">
        <v>3230</v>
      </c>
    </row>
    <row r="503" spans="4:10">
      <c r="D503" s="3248">
        <v>499</v>
      </c>
      <c r="E503" s="3610"/>
      <c r="F503" s="3249" t="s">
        <v>4132</v>
      </c>
      <c r="G503" s="3249" t="s">
        <v>3729</v>
      </c>
      <c r="H503" s="3250">
        <v>38.659999999999997</v>
      </c>
      <c r="I503" s="3251">
        <v>7.93</v>
      </c>
      <c r="J503" s="3249" t="s">
        <v>3230</v>
      </c>
    </row>
    <row r="504" spans="4:10">
      <c r="D504" s="3248">
        <v>500</v>
      </c>
      <c r="E504" s="3610"/>
      <c r="F504" s="3249" t="s">
        <v>4132</v>
      </c>
      <c r="G504" s="3249" t="s">
        <v>3730</v>
      </c>
      <c r="H504" s="3250">
        <v>35.56</v>
      </c>
      <c r="I504" s="3251">
        <v>7.3</v>
      </c>
      <c r="J504" s="3249" t="s">
        <v>3230</v>
      </c>
    </row>
    <row r="505" spans="4:10">
      <c r="D505" s="3248">
        <v>501</v>
      </c>
      <c r="E505" s="3610"/>
      <c r="F505" s="3249" t="s">
        <v>4132</v>
      </c>
      <c r="G505" s="3249" t="s">
        <v>3731</v>
      </c>
      <c r="H505" s="3250">
        <v>35.56</v>
      </c>
      <c r="I505" s="3251">
        <v>7.3</v>
      </c>
      <c r="J505" s="3249" t="s">
        <v>3230</v>
      </c>
    </row>
    <row r="506" spans="4:10">
      <c r="D506" s="3248">
        <v>502</v>
      </c>
      <c r="E506" s="3610"/>
      <c r="F506" s="3249" t="s">
        <v>4132</v>
      </c>
      <c r="G506" s="3249" t="s">
        <v>3732</v>
      </c>
      <c r="H506" s="3250">
        <v>35.56</v>
      </c>
      <c r="I506" s="3251">
        <v>7.3</v>
      </c>
      <c r="J506" s="3249" t="s">
        <v>3230</v>
      </c>
    </row>
    <row r="507" spans="4:10">
      <c r="D507" s="3248">
        <v>503</v>
      </c>
      <c r="E507" s="3610"/>
      <c r="F507" s="3249" t="s">
        <v>4132</v>
      </c>
      <c r="G507" s="3249" t="s">
        <v>3733</v>
      </c>
      <c r="H507" s="3250">
        <v>35.56</v>
      </c>
      <c r="I507" s="3251">
        <v>7.3</v>
      </c>
      <c r="J507" s="3249" t="s">
        <v>3230</v>
      </c>
    </row>
    <row r="508" spans="4:10">
      <c r="D508" s="3248">
        <v>504</v>
      </c>
      <c r="E508" s="3610"/>
      <c r="F508" s="3249" t="s">
        <v>4132</v>
      </c>
      <c r="G508" s="3249" t="s">
        <v>3734</v>
      </c>
      <c r="H508" s="3250">
        <v>35.56</v>
      </c>
      <c r="I508" s="3251">
        <v>7.3</v>
      </c>
      <c r="J508" s="3249" t="s">
        <v>3230</v>
      </c>
    </row>
    <row r="509" spans="4:10">
      <c r="D509" s="3248">
        <v>505</v>
      </c>
      <c r="E509" s="3610"/>
      <c r="F509" s="3249" t="s">
        <v>4132</v>
      </c>
      <c r="G509" s="3249" t="s">
        <v>3735</v>
      </c>
      <c r="H509" s="3250">
        <v>35.56</v>
      </c>
      <c r="I509" s="3251">
        <v>7.3</v>
      </c>
      <c r="J509" s="3249" t="s">
        <v>3230</v>
      </c>
    </row>
    <row r="510" spans="4:10">
      <c r="D510" s="3248">
        <v>506</v>
      </c>
      <c r="E510" s="3610"/>
      <c r="F510" s="3249" t="s">
        <v>4132</v>
      </c>
      <c r="G510" s="3249" t="s">
        <v>3736</v>
      </c>
      <c r="H510" s="3250">
        <v>35.56</v>
      </c>
      <c r="I510" s="3251">
        <v>7.3</v>
      </c>
      <c r="J510" s="3249" t="s">
        <v>3230</v>
      </c>
    </row>
    <row r="511" spans="4:10">
      <c r="D511" s="3248">
        <v>507</v>
      </c>
      <c r="E511" s="3610"/>
      <c r="F511" s="3249" t="s">
        <v>4132</v>
      </c>
      <c r="G511" s="3249" t="s">
        <v>3737</v>
      </c>
      <c r="H511" s="3250">
        <v>35.56</v>
      </c>
      <c r="I511" s="3251">
        <v>7.3</v>
      </c>
      <c r="J511" s="3249" t="s">
        <v>3230</v>
      </c>
    </row>
    <row r="512" spans="4:10">
      <c r="D512" s="3248">
        <v>508</v>
      </c>
      <c r="E512" s="3610"/>
      <c r="F512" s="3249" t="s">
        <v>4132</v>
      </c>
      <c r="G512" s="3249" t="s">
        <v>3738</v>
      </c>
      <c r="H512" s="3250">
        <v>35.56</v>
      </c>
      <c r="I512" s="3251">
        <v>7.3</v>
      </c>
      <c r="J512" s="3249" t="s">
        <v>3230</v>
      </c>
    </row>
    <row r="513" spans="4:10">
      <c r="D513" s="3248">
        <v>509</v>
      </c>
      <c r="E513" s="3610"/>
      <c r="F513" s="3249" t="s">
        <v>4132</v>
      </c>
      <c r="G513" s="3249" t="s">
        <v>3739</v>
      </c>
      <c r="H513" s="3250">
        <v>36.340000000000003</v>
      </c>
      <c r="I513" s="3251">
        <v>7.46</v>
      </c>
      <c r="J513" s="3249" t="s">
        <v>3230</v>
      </c>
    </row>
    <row r="514" spans="4:10">
      <c r="D514" s="3248">
        <v>510</v>
      </c>
      <c r="E514" s="3610"/>
      <c r="F514" s="3249" t="s">
        <v>4132</v>
      </c>
      <c r="G514" s="3249" t="s">
        <v>3740</v>
      </c>
      <c r="H514" s="3250">
        <v>36.340000000000003</v>
      </c>
      <c r="I514" s="3251">
        <v>7.46</v>
      </c>
      <c r="J514" s="3249" t="s">
        <v>3230</v>
      </c>
    </row>
    <row r="515" spans="4:10">
      <c r="D515" s="3248">
        <v>511</v>
      </c>
      <c r="E515" s="3610"/>
      <c r="F515" s="3249" t="s">
        <v>4132</v>
      </c>
      <c r="G515" s="3249" t="s">
        <v>3741</v>
      </c>
      <c r="H515" s="3250">
        <v>36.340000000000003</v>
      </c>
      <c r="I515" s="3251">
        <v>7.46</v>
      </c>
      <c r="J515" s="3249" t="s">
        <v>3230</v>
      </c>
    </row>
    <row r="516" spans="4:10">
      <c r="D516" s="3248">
        <v>512</v>
      </c>
      <c r="E516" s="3610"/>
      <c r="F516" s="3249" t="s">
        <v>4132</v>
      </c>
      <c r="G516" s="3249" t="s">
        <v>3742</v>
      </c>
      <c r="H516" s="3250">
        <v>36.340000000000003</v>
      </c>
      <c r="I516" s="3251">
        <v>7.46</v>
      </c>
      <c r="J516" s="3249" t="s">
        <v>3230</v>
      </c>
    </row>
    <row r="517" spans="4:10">
      <c r="D517" s="3248">
        <v>513</v>
      </c>
      <c r="E517" s="3610"/>
      <c r="F517" s="3249" t="s">
        <v>4132</v>
      </c>
      <c r="G517" s="3249" t="s">
        <v>3743</v>
      </c>
      <c r="H517" s="3250">
        <v>36.340000000000003</v>
      </c>
      <c r="I517" s="3251">
        <v>7.46</v>
      </c>
      <c r="J517" s="3249" t="s">
        <v>3230</v>
      </c>
    </row>
    <row r="518" spans="4:10">
      <c r="D518" s="3248">
        <v>514</v>
      </c>
      <c r="E518" s="3610"/>
      <c r="F518" s="3249" t="s">
        <v>4132</v>
      </c>
      <c r="G518" s="3249" t="s">
        <v>3744</v>
      </c>
      <c r="H518" s="3250">
        <v>36.340000000000003</v>
      </c>
      <c r="I518" s="3251">
        <v>7.46</v>
      </c>
      <c r="J518" s="3249" t="s">
        <v>3230</v>
      </c>
    </row>
    <row r="519" spans="4:10">
      <c r="D519" s="3248">
        <v>515</v>
      </c>
      <c r="E519" s="3610"/>
      <c r="F519" s="3249" t="s">
        <v>4132</v>
      </c>
      <c r="G519" s="3249" t="s">
        <v>3745</v>
      </c>
      <c r="H519" s="3250">
        <v>36.340000000000003</v>
      </c>
      <c r="I519" s="3251">
        <v>7.46</v>
      </c>
      <c r="J519" s="3249" t="s">
        <v>3230</v>
      </c>
    </row>
    <row r="520" spans="4:10">
      <c r="D520" s="3248">
        <v>516</v>
      </c>
      <c r="E520" s="3610"/>
      <c r="F520" s="3249" t="s">
        <v>4132</v>
      </c>
      <c r="G520" s="3249" t="s">
        <v>3746</v>
      </c>
      <c r="H520" s="3250">
        <v>36.340000000000003</v>
      </c>
      <c r="I520" s="3251">
        <v>7.46</v>
      </c>
      <c r="J520" s="3249" t="s">
        <v>3230</v>
      </c>
    </row>
    <row r="521" spans="4:10">
      <c r="D521" s="3248">
        <v>517</v>
      </c>
      <c r="E521" s="3610"/>
      <c r="F521" s="3249" t="s">
        <v>4132</v>
      </c>
      <c r="G521" s="3249" t="s">
        <v>3747</v>
      </c>
      <c r="H521" s="3250">
        <v>36.340000000000003</v>
      </c>
      <c r="I521" s="3251">
        <v>7.46</v>
      </c>
      <c r="J521" s="3249" t="s">
        <v>3230</v>
      </c>
    </row>
    <row r="522" spans="4:10">
      <c r="D522" s="3248">
        <v>518</v>
      </c>
      <c r="E522" s="3610"/>
      <c r="F522" s="3249" t="s">
        <v>4132</v>
      </c>
      <c r="G522" s="3249" t="s">
        <v>3748</v>
      </c>
      <c r="H522" s="3250">
        <v>36.340000000000003</v>
      </c>
      <c r="I522" s="3251">
        <v>7.46</v>
      </c>
      <c r="J522" s="3249" t="s">
        <v>3230</v>
      </c>
    </row>
    <row r="523" spans="4:10">
      <c r="D523" s="3248">
        <v>519</v>
      </c>
      <c r="E523" s="3610"/>
      <c r="F523" s="3249" t="s">
        <v>4132</v>
      </c>
      <c r="G523" s="3249" t="s">
        <v>3749</v>
      </c>
      <c r="H523" s="3250">
        <v>36.340000000000003</v>
      </c>
      <c r="I523" s="3251">
        <v>7.46</v>
      </c>
      <c r="J523" s="3249" t="s">
        <v>3230</v>
      </c>
    </row>
    <row r="524" spans="4:10">
      <c r="D524" s="3248">
        <v>520</v>
      </c>
      <c r="E524" s="3610"/>
      <c r="F524" s="3249" t="s">
        <v>4132</v>
      </c>
      <c r="G524" s="3249" t="s">
        <v>3750</v>
      </c>
      <c r="H524" s="3250">
        <v>36.340000000000003</v>
      </c>
      <c r="I524" s="3251">
        <v>7.46</v>
      </c>
      <c r="J524" s="3249" t="s">
        <v>3230</v>
      </c>
    </row>
    <row r="525" spans="4:10">
      <c r="D525" s="3248">
        <v>521</v>
      </c>
      <c r="E525" s="3610"/>
      <c r="F525" s="3249" t="s">
        <v>4132</v>
      </c>
      <c r="G525" s="3249" t="s">
        <v>3751</v>
      </c>
      <c r="H525" s="3250">
        <v>36.340000000000003</v>
      </c>
      <c r="I525" s="3251">
        <v>7.46</v>
      </c>
      <c r="J525" s="3249" t="s">
        <v>3230</v>
      </c>
    </row>
    <row r="526" spans="4:10">
      <c r="D526" s="3248">
        <v>522</v>
      </c>
      <c r="E526" s="3610"/>
      <c r="F526" s="3249" t="s">
        <v>4132</v>
      </c>
      <c r="G526" s="3249" t="s">
        <v>3752</v>
      </c>
      <c r="H526" s="3250">
        <v>36.340000000000003</v>
      </c>
      <c r="I526" s="3251">
        <v>7.46</v>
      </c>
      <c r="J526" s="3249" t="s">
        <v>3230</v>
      </c>
    </row>
    <row r="527" spans="4:10">
      <c r="D527" s="3248">
        <v>523</v>
      </c>
      <c r="E527" s="3610"/>
      <c r="F527" s="3249" t="s">
        <v>4132</v>
      </c>
      <c r="G527" s="3249" t="s">
        <v>3753</v>
      </c>
      <c r="H527" s="3250">
        <v>36.340000000000003</v>
      </c>
      <c r="I527" s="3251">
        <v>7.46</v>
      </c>
      <c r="J527" s="3249" t="s">
        <v>3230</v>
      </c>
    </row>
    <row r="528" spans="4:10">
      <c r="D528" s="3248">
        <v>524</v>
      </c>
      <c r="E528" s="3610"/>
      <c r="F528" s="3249" t="s">
        <v>4132</v>
      </c>
      <c r="G528" s="3249" t="s">
        <v>3754</v>
      </c>
      <c r="H528" s="3250">
        <v>37.11</v>
      </c>
      <c r="I528" s="3251">
        <v>7.62</v>
      </c>
      <c r="J528" s="3249" t="s">
        <v>3230</v>
      </c>
    </row>
    <row r="529" spans="4:10">
      <c r="D529" s="3248">
        <v>525</v>
      </c>
      <c r="E529" s="3610"/>
      <c r="F529" s="3249" t="s">
        <v>4132</v>
      </c>
      <c r="G529" s="3249" t="s">
        <v>3755</v>
      </c>
      <c r="H529" s="3250">
        <v>37.11</v>
      </c>
      <c r="I529" s="3251">
        <v>7.62</v>
      </c>
      <c r="J529" s="3249" t="s">
        <v>3230</v>
      </c>
    </row>
    <row r="530" spans="4:10">
      <c r="D530" s="3248">
        <v>526</v>
      </c>
      <c r="E530" s="3610"/>
      <c r="F530" s="3249" t="s">
        <v>4132</v>
      </c>
      <c r="G530" s="3249" t="s">
        <v>3756</v>
      </c>
      <c r="H530" s="3250">
        <v>37.11</v>
      </c>
      <c r="I530" s="3251">
        <v>7.62</v>
      </c>
      <c r="J530" s="3249" t="s">
        <v>3230</v>
      </c>
    </row>
    <row r="531" spans="4:10">
      <c r="D531" s="3248">
        <v>527</v>
      </c>
      <c r="E531" s="3610"/>
      <c r="F531" s="3249" t="s">
        <v>4132</v>
      </c>
      <c r="G531" s="3249" t="s">
        <v>3757</v>
      </c>
      <c r="H531" s="3250">
        <v>35.630000000000003</v>
      </c>
      <c r="I531" s="3251">
        <v>7.31</v>
      </c>
      <c r="J531" s="3249" t="s">
        <v>3230</v>
      </c>
    </row>
    <row r="532" spans="4:10">
      <c r="D532" s="3248">
        <v>528</v>
      </c>
      <c r="E532" s="3610"/>
      <c r="F532" s="3249" t="s">
        <v>4132</v>
      </c>
      <c r="G532" s="3249" t="s">
        <v>3758</v>
      </c>
      <c r="H532" s="3250">
        <v>35.630000000000003</v>
      </c>
      <c r="I532" s="3251">
        <v>7.31</v>
      </c>
      <c r="J532" s="3249" t="s">
        <v>3230</v>
      </c>
    </row>
    <row r="533" spans="4:10">
      <c r="D533" s="3248">
        <v>529</v>
      </c>
      <c r="E533" s="3610"/>
      <c r="F533" s="3249" t="s">
        <v>4132</v>
      </c>
      <c r="G533" s="3249" t="s">
        <v>3759</v>
      </c>
      <c r="H533" s="3250">
        <v>35.630000000000003</v>
      </c>
      <c r="I533" s="3251">
        <v>7.31</v>
      </c>
      <c r="J533" s="3249" t="s">
        <v>3230</v>
      </c>
    </row>
    <row r="534" spans="4:10">
      <c r="D534" s="3248">
        <v>530</v>
      </c>
      <c r="E534" s="3610"/>
      <c r="F534" s="3249" t="s">
        <v>4132</v>
      </c>
      <c r="G534" s="3249" t="s">
        <v>3760</v>
      </c>
      <c r="H534" s="3250">
        <v>37.85</v>
      </c>
      <c r="I534" s="3251">
        <v>7.77</v>
      </c>
      <c r="J534" s="3249" t="s">
        <v>3230</v>
      </c>
    </row>
    <row r="535" spans="4:10">
      <c r="D535" s="3248">
        <v>531</v>
      </c>
      <c r="E535" s="3610"/>
      <c r="F535" s="3249" t="s">
        <v>4132</v>
      </c>
      <c r="G535" s="3249" t="s">
        <v>3761</v>
      </c>
      <c r="H535" s="3250">
        <v>37.85</v>
      </c>
      <c r="I535" s="3251">
        <v>7.77</v>
      </c>
      <c r="J535" s="3249" t="s">
        <v>3230</v>
      </c>
    </row>
    <row r="536" spans="4:10">
      <c r="D536" s="3248">
        <v>532</v>
      </c>
      <c r="E536" s="3610"/>
      <c r="F536" s="3249" t="s">
        <v>4132</v>
      </c>
      <c r="G536" s="3249" t="s">
        <v>3762</v>
      </c>
      <c r="H536" s="3250">
        <v>39.090000000000003</v>
      </c>
      <c r="I536" s="3251">
        <v>8.02</v>
      </c>
      <c r="J536" s="3249" t="s">
        <v>3230</v>
      </c>
    </row>
    <row r="537" spans="4:10">
      <c r="D537" s="3248">
        <v>533</v>
      </c>
      <c r="E537" s="3610"/>
      <c r="F537" s="3249" t="s">
        <v>4132</v>
      </c>
      <c r="G537" s="3249" t="s">
        <v>3763</v>
      </c>
      <c r="H537" s="3250">
        <v>39.090000000000003</v>
      </c>
      <c r="I537" s="3251">
        <v>8.02</v>
      </c>
      <c r="J537" s="3249" t="s">
        <v>3230</v>
      </c>
    </row>
    <row r="538" spans="4:10">
      <c r="D538" s="3248">
        <v>534</v>
      </c>
      <c r="E538" s="3610"/>
      <c r="F538" s="3249" t="s">
        <v>4132</v>
      </c>
      <c r="G538" s="3249" t="s">
        <v>3764</v>
      </c>
      <c r="H538" s="3250">
        <v>39.090000000000003</v>
      </c>
      <c r="I538" s="3251">
        <v>8.02</v>
      </c>
      <c r="J538" s="3249" t="s">
        <v>3230</v>
      </c>
    </row>
    <row r="539" spans="4:10">
      <c r="D539" s="3248">
        <v>535</v>
      </c>
      <c r="E539" s="3610"/>
      <c r="F539" s="3249" t="s">
        <v>4132</v>
      </c>
      <c r="G539" s="3249" t="s">
        <v>3765</v>
      </c>
      <c r="H539" s="3250">
        <v>39.090000000000003</v>
      </c>
      <c r="I539" s="3251">
        <v>8.02</v>
      </c>
      <c r="J539" s="3249" t="s">
        <v>3230</v>
      </c>
    </row>
    <row r="540" spans="4:10">
      <c r="D540" s="3248">
        <v>536</v>
      </c>
      <c r="E540" s="3610"/>
      <c r="F540" s="3249" t="s">
        <v>4132</v>
      </c>
      <c r="G540" s="3249" t="s">
        <v>3766</v>
      </c>
      <c r="H540" s="3250">
        <v>37.520000000000003</v>
      </c>
      <c r="I540" s="3251">
        <v>7.7</v>
      </c>
      <c r="J540" s="3249" t="s">
        <v>3230</v>
      </c>
    </row>
    <row r="541" spans="4:10">
      <c r="D541" s="3248">
        <v>537</v>
      </c>
      <c r="E541" s="3610"/>
      <c r="F541" s="3249" t="s">
        <v>4132</v>
      </c>
      <c r="G541" s="3249" t="s">
        <v>3767</v>
      </c>
      <c r="H541" s="3250">
        <v>37.520000000000003</v>
      </c>
      <c r="I541" s="3251">
        <v>7.7</v>
      </c>
      <c r="J541" s="3249" t="s">
        <v>3230</v>
      </c>
    </row>
    <row r="542" spans="4:10">
      <c r="D542" s="3248">
        <v>538</v>
      </c>
      <c r="E542" s="3610"/>
      <c r="F542" s="3249" t="s">
        <v>4132</v>
      </c>
      <c r="G542" s="3249" t="s">
        <v>3768</v>
      </c>
      <c r="H542" s="3250">
        <v>37.520000000000003</v>
      </c>
      <c r="I542" s="3251">
        <v>7.7</v>
      </c>
      <c r="J542" s="3249" t="s">
        <v>3230</v>
      </c>
    </row>
    <row r="543" spans="4:10">
      <c r="D543" s="3248">
        <v>539</v>
      </c>
      <c r="E543" s="3610"/>
      <c r="F543" s="3249" t="s">
        <v>4132</v>
      </c>
      <c r="G543" s="3249" t="s">
        <v>3769</v>
      </c>
      <c r="H543" s="3250">
        <v>37.520000000000003</v>
      </c>
      <c r="I543" s="3251">
        <v>7.7</v>
      </c>
      <c r="J543" s="3249" t="s">
        <v>3230</v>
      </c>
    </row>
    <row r="544" spans="4:10">
      <c r="D544" s="3248">
        <v>540</v>
      </c>
      <c r="E544" s="3610"/>
      <c r="F544" s="3249" t="s">
        <v>4132</v>
      </c>
      <c r="G544" s="3249" t="s">
        <v>3770</v>
      </c>
      <c r="H544" s="3250">
        <v>37.520000000000003</v>
      </c>
      <c r="I544" s="3251">
        <v>7.7</v>
      </c>
      <c r="J544" s="3249" t="s">
        <v>3230</v>
      </c>
    </row>
    <row r="545" spans="4:10">
      <c r="D545" s="3248">
        <v>541</v>
      </c>
      <c r="E545" s="3610"/>
      <c r="F545" s="3249" t="s">
        <v>4132</v>
      </c>
      <c r="G545" s="3249" t="s">
        <v>3771</v>
      </c>
      <c r="H545" s="3250">
        <v>37.520000000000003</v>
      </c>
      <c r="I545" s="3251">
        <v>7.7</v>
      </c>
      <c r="J545" s="3249" t="s">
        <v>3230</v>
      </c>
    </row>
    <row r="546" spans="4:10">
      <c r="D546" s="3248">
        <v>542</v>
      </c>
      <c r="E546" s="3610"/>
      <c r="F546" s="3249" t="s">
        <v>4132</v>
      </c>
      <c r="G546" s="3249" t="s">
        <v>3772</v>
      </c>
      <c r="H546" s="3250">
        <v>37.520000000000003</v>
      </c>
      <c r="I546" s="3251">
        <v>7.7</v>
      </c>
      <c r="J546" s="3249" t="s">
        <v>3230</v>
      </c>
    </row>
    <row r="547" spans="4:10">
      <c r="D547" s="3248">
        <v>543</v>
      </c>
      <c r="E547" s="3610"/>
      <c r="F547" s="3249" t="s">
        <v>4132</v>
      </c>
      <c r="G547" s="3249" t="s">
        <v>3773</v>
      </c>
      <c r="H547" s="3250">
        <v>37.520000000000003</v>
      </c>
      <c r="I547" s="3251">
        <v>7.7</v>
      </c>
      <c r="J547" s="3249" t="s">
        <v>3230</v>
      </c>
    </row>
    <row r="548" spans="4:10">
      <c r="D548" s="3248">
        <v>544</v>
      </c>
      <c r="E548" s="3610"/>
      <c r="F548" s="3249" t="s">
        <v>4132</v>
      </c>
      <c r="G548" s="3249" t="s">
        <v>3774</v>
      </c>
      <c r="H548" s="3250">
        <v>37.520000000000003</v>
      </c>
      <c r="I548" s="3251">
        <v>7.7</v>
      </c>
      <c r="J548" s="3249" t="s">
        <v>3230</v>
      </c>
    </row>
    <row r="549" spans="4:10">
      <c r="D549" s="3248">
        <v>545</v>
      </c>
      <c r="E549" s="3610"/>
      <c r="F549" s="3249" t="s">
        <v>4132</v>
      </c>
      <c r="G549" s="3249" t="s">
        <v>3775</v>
      </c>
      <c r="H549" s="3250">
        <v>37.520000000000003</v>
      </c>
      <c r="I549" s="3251">
        <v>7.7</v>
      </c>
      <c r="J549" s="3249" t="s">
        <v>3230</v>
      </c>
    </row>
    <row r="550" spans="4:10">
      <c r="D550" s="3248">
        <v>546</v>
      </c>
      <c r="E550" s="3610"/>
      <c r="F550" s="3249" t="s">
        <v>4132</v>
      </c>
      <c r="G550" s="3249" t="s">
        <v>3776</v>
      </c>
      <c r="H550" s="3250">
        <v>37.520000000000003</v>
      </c>
      <c r="I550" s="3251">
        <v>7.7</v>
      </c>
      <c r="J550" s="3249" t="s">
        <v>3230</v>
      </c>
    </row>
    <row r="551" spans="4:10">
      <c r="D551" s="3248">
        <v>547</v>
      </c>
      <c r="E551" s="3610"/>
      <c r="F551" s="3249" t="s">
        <v>4132</v>
      </c>
      <c r="G551" s="3249" t="s">
        <v>3777</v>
      </c>
      <c r="H551" s="3250">
        <v>37.520000000000003</v>
      </c>
      <c r="I551" s="3251">
        <v>7.7</v>
      </c>
      <c r="J551" s="3249" t="s">
        <v>3230</v>
      </c>
    </row>
    <row r="552" spans="4:10">
      <c r="D552" s="3248">
        <v>548</v>
      </c>
      <c r="E552" s="3610"/>
      <c r="F552" s="3249" t="s">
        <v>4132</v>
      </c>
      <c r="G552" s="3249" t="s">
        <v>3778</v>
      </c>
      <c r="H552" s="3250">
        <v>37.520000000000003</v>
      </c>
      <c r="I552" s="3251">
        <v>7.7</v>
      </c>
      <c r="J552" s="3249" t="s">
        <v>3230</v>
      </c>
    </row>
    <row r="553" spans="4:10">
      <c r="D553" s="3248">
        <v>549</v>
      </c>
      <c r="E553" s="3610"/>
      <c r="F553" s="3249" t="s">
        <v>4132</v>
      </c>
      <c r="G553" s="3249" t="s">
        <v>3779</v>
      </c>
      <c r="H553" s="3250">
        <v>37.520000000000003</v>
      </c>
      <c r="I553" s="3251">
        <v>7.7</v>
      </c>
      <c r="J553" s="3249" t="s">
        <v>3230</v>
      </c>
    </row>
    <row r="554" spans="4:10">
      <c r="D554" s="3248">
        <v>550</v>
      </c>
      <c r="E554" s="3610"/>
      <c r="F554" s="3249" t="s">
        <v>4132</v>
      </c>
      <c r="G554" s="3249" t="s">
        <v>3780</v>
      </c>
      <c r="H554" s="3250">
        <v>37.520000000000003</v>
      </c>
      <c r="I554" s="3251">
        <v>7.7</v>
      </c>
      <c r="J554" s="3249" t="s">
        <v>3230</v>
      </c>
    </row>
    <row r="555" spans="4:10">
      <c r="D555" s="3248">
        <v>551</v>
      </c>
      <c r="E555" s="3610"/>
      <c r="F555" s="3249" t="s">
        <v>4132</v>
      </c>
      <c r="G555" s="3249" t="s">
        <v>3781</v>
      </c>
      <c r="H555" s="3250">
        <v>37.520000000000003</v>
      </c>
      <c r="I555" s="3251">
        <v>7.7</v>
      </c>
      <c r="J555" s="3249" t="s">
        <v>3230</v>
      </c>
    </row>
    <row r="556" spans="4:10">
      <c r="D556" s="3248">
        <v>552</v>
      </c>
      <c r="E556" s="3610"/>
      <c r="F556" s="3249" t="s">
        <v>4132</v>
      </c>
      <c r="G556" s="3249" t="s">
        <v>3782</v>
      </c>
      <c r="H556" s="3250">
        <v>37.520000000000003</v>
      </c>
      <c r="I556" s="3251">
        <v>7.7</v>
      </c>
      <c r="J556" s="3249" t="s">
        <v>3230</v>
      </c>
    </row>
    <row r="557" spans="4:10">
      <c r="D557" s="3248">
        <v>553</v>
      </c>
      <c r="E557" s="3610"/>
      <c r="F557" s="3249" t="s">
        <v>4132</v>
      </c>
      <c r="G557" s="3249" t="s">
        <v>3783</v>
      </c>
      <c r="H557" s="3250">
        <v>37.520000000000003</v>
      </c>
      <c r="I557" s="3251">
        <v>7.7</v>
      </c>
      <c r="J557" s="3249" t="s">
        <v>3230</v>
      </c>
    </row>
    <row r="558" spans="4:10">
      <c r="D558" s="3248">
        <v>554</v>
      </c>
      <c r="E558" s="3610"/>
      <c r="F558" s="3249" t="s">
        <v>4132</v>
      </c>
      <c r="G558" s="3249" t="s">
        <v>3784</v>
      </c>
      <c r="H558" s="3250">
        <v>37.520000000000003</v>
      </c>
      <c r="I558" s="3251">
        <v>7.7</v>
      </c>
      <c r="J558" s="3249" t="s">
        <v>3230</v>
      </c>
    </row>
    <row r="559" spans="4:10">
      <c r="D559" s="3248">
        <v>555</v>
      </c>
      <c r="E559" s="3610"/>
      <c r="F559" s="3249" t="s">
        <v>4132</v>
      </c>
      <c r="G559" s="3249" t="s">
        <v>3785</v>
      </c>
      <c r="H559" s="3250">
        <v>37.520000000000003</v>
      </c>
      <c r="I559" s="3251">
        <v>7.7</v>
      </c>
      <c r="J559" s="3249" t="s">
        <v>3230</v>
      </c>
    </row>
    <row r="560" spans="4:10">
      <c r="D560" s="3248">
        <v>556</v>
      </c>
      <c r="E560" s="3610"/>
      <c r="F560" s="3249" t="s">
        <v>4132</v>
      </c>
      <c r="G560" s="3249" t="s">
        <v>3786</v>
      </c>
      <c r="H560" s="3250">
        <v>37.520000000000003</v>
      </c>
      <c r="I560" s="3251">
        <v>7.7</v>
      </c>
      <c r="J560" s="3249" t="s">
        <v>3230</v>
      </c>
    </row>
    <row r="561" spans="4:10">
      <c r="D561" s="3248">
        <v>557</v>
      </c>
      <c r="E561" s="3610"/>
      <c r="F561" s="3249" t="s">
        <v>4132</v>
      </c>
      <c r="G561" s="3249" t="s">
        <v>3787</v>
      </c>
      <c r="H561" s="3250">
        <v>37.520000000000003</v>
      </c>
      <c r="I561" s="3251">
        <v>7.7</v>
      </c>
      <c r="J561" s="3249" t="s">
        <v>3230</v>
      </c>
    </row>
    <row r="562" spans="4:10">
      <c r="D562" s="3248">
        <v>558</v>
      </c>
      <c r="E562" s="3610"/>
      <c r="F562" s="3249" t="s">
        <v>4132</v>
      </c>
      <c r="G562" s="3249" t="s">
        <v>3788</v>
      </c>
      <c r="H562" s="3250">
        <v>37.520000000000003</v>
      </c>
      <c r="I562" s="3251">
        <v>7.7</v>
      </c>
      <c r="J562" s="3249" t="s">
        <v>3230</v>
      </c>
    </row>
    <row r="563" spans="4:10">
      <c r="D563" s="3248">
        <v>559</v>
      </c>
      <c r="E563" s="3610"/>
      <c r="F563" s="3249" t="s">
        <v>4132</v>
      </c>
      <c r="G563" s="3249" t="s">
        <v>3789</v>
      </c>
      <c r="H563" s="3250">
        <v>37.520000000000003</v>
      </c>
      <c r="I563" s="3251">
        <v>7.7</v>
      </c>
      <c r="J563" s="3249" t="s">
        <v>3230</v>
      </c>
    </row>
    <row r="564" spans="4:10">
      <c r="D564" s="3248">
        <v>560</v>
      </c>
      <c r="E564" s="3610"/>
      <c r="F564" s="3249" t="s">
        <v>4132</v>
      </c>
      <c r="G564" s="3249" t="s">
        <v>3790</v>
      </c>
      <c r="H564" s="3250">
        <v>37.520000000000003</v>
      </c>
      <c r="I564" s="3251">
        <v>7.7</v>
      </c>
      <c r="J564" s="3249" t="s">
        <v>3230</v>
      </c>
    </row>
    <row r="565" spans="4:10">
      <c r="D565" s="3248">
        <v>561</v>
      </c>
      <c r="E565" s="3610"/>
      <c r="F565" s="3249" t="s">
        <v>4132</v>
      </c>
      <c r="G565" s="3249" t="s">
        <v>3791</v>
      </c>
      <c r="H565" s="3250">
        <v>37.520000000000003</v>
      </c>
      <c r="I565" s="3251">
        <v>7.7</v>
      </c>
      <c r="J565" s="3249" t="s">
        <v>3230</v>
      </c>
    </row>
    <row r="566" spans="4:10">
      <c r="D566" s="3248">
        <v>562</v>
      </c>
      <c r="E566" s="3610"/>
      <c r="F566" s="3249" t="s">
        <v>4132</v>
      </c>
      <c r="G566" s="3249" t="s">
        <v>3792</v>
      </c>
      <c r="H566" s="3250">
        <v>37.520000000000003</v>
      </c>
      <c r="I566" s="3251">
        <v>7.7</v>
      </c>
      <c r="J566" s="3249" t="s">
        <v>3230</v>
      </c>
    </row>
    <row r="567" spans="4:10">
      <c r="D567" s="3248">
        <v>563</v>
      </c>
      <c r="E567" s="3610"/>
      <c r="F567" s="3249" t="s">
        <v>4132</v>
      </c>
      <c r="G567" s="3249" t="s">
        <v>3793</v>
      </c>
      <c r="H567" s="3250">
        <v>37.520000000000003</v>
      </c>
      <c r="I567" s="3251">
        <v>7.7</v>
      </c>
      <c r="J567" s="3249" t="s">
        <v>3230</v>
      </c>
    </row>
    <row r="568" spans="4:10">
      <c r="D568" s="3248">
        <v>564</v>
      </c>
      <c r="E568" s="3610"/>
      <c r="F568" s="3249" t="s">
        <v>4132</v>
      </c>
      <c r="G568" s="3249" t="s">
        <v>3794</v>
      </c>
      <c r="H568" s="3250">
        <v>37.520000000000003</v>
      </c>
      <c r="I568" s="3251">
        <v>7.7</v>
      </c>
      <c r="J568" s="3249" t="s">
        <v>3230</v>
      </c>
    </row>
    <row r="569" spans="4:10">
      <c r="D569" s="3248">
        <v>565</v>
      </c>
      <c r="E569" s="3610"/>
      <c r="F569" s="3249" t="s">
        <v>4132</v>
      </c>
      <c r="G569" s="3249" t="s">
        <v>3795</v>
      </c>
      <c r="H569" s="3250">
        <v>37.520000000000003</v>
      </c>
      <c r="I569" s="3251">
        <v>7.7</v>
      </c>
      <c r="J569" s="3249" t="s">
        <v>3230</v>
      </c>
    </row>
    <row r="570" spans="4:10">
      <c r="D570" s="3248">
        <v>566</v>
      </c>
      <c r="E570" s="3610"/>
      <c r="F570" s="3249" t="s">
        <v>4132</v>
      </c>
      <c r="G570" s="3249" t="s">
        <v>3796</v>
      </c>
      <c r="H570" s="3250">
        <v>37.520000000000003</v>
      </c>
      <c r="I570" s="3251">
        <v>7.7</v>
      </c>
      <c r="J570" s="3249" t="s">
        <v>3230</v>
      </c>
    </row>
    <row r="571" spans="4:10">
      <c r="D571" s="3248">
        <v>567</v>
      </c>
      <c r="E571" s="3610"/>
      <c r="F571" s="3249" t="s">
        <v>4132</v>
      </c>
      <c r="G571" s="3249" t="s">
        <v>3797</v>
      </c>
      <c r="H571" s="3250">
        <v>37.520000000000003</v>
      </c>
      <c r="I571" s="3251">
        <v>7.7</v>
      </c>
      <c r="J571" s="3249" t="s">
        <v>3230</v>
      </c>
    </row>
    <row r="572" spans="4:10">
      <c r="D572" s="3248">
        <v>568</v>
      </c>
      <c r="E572" s="3610"/>
      <c r="F572" s="3249" t="s">
        <v>4132</v>
      </c>
      <c r="G572" s="3249" t="s">
        <v>3798</v>
      </c>
      <c r="H572" s="3250">
        <v>37.520000000000003</v>
      </c>
      <c r="I572" s="3251">
        <v>7.7</v>
      </c>
      <c r="J572" s="3249" t="s">
        <v>3230</v>
      </c>
    </row>
    <row r="573" spans="4:10">
      <c r="D573" s="3248">
        <v>569</v>
      </c>
      <c r="E573" s="3610"/>
      <c r="F573" s="3249" t="s">
        <v>4132</v>
      </c>
      <c r="G573" s="3249" t="s">
        <v>3799</v>
      </c>
      <c r="H573" s="3250">
        <v>37.520000000000003</v>
      </c>
      <c r="I573" s="3251">
        <v>7.7</v>
      </c>
      <c r="J573" s="3249" t="s">
        <v>3230</v>
      </c>
    </row>
    <row r="574" spans="4:10">
      <c r="D574" s="3248">
        <v>570</v>
      </c>
      <c r="E574" s="3610"/>
      <c r="F574" s="3249" t="s">
        <v>4132</v>
      </c>
      <c r="G574" s="3249" t="s">
        <v>3800</v>
      </c>
      <c r="H574" s="3250">
        <v>37.520000000000003</v>
      </c>
      <c r="I574" s="3251">
        <v>7.7</v>
      </c>
      <c r="J574" s="3249" t="s">
        <v>3230</v>
      </c>
    </row>
    <row r="575" spans="4:10">
      <c r="D575" s="3248">
        <v>571</v>
      </c>
      <c r="E575" s="3610"/>
      <c r="F575" s="3249" t="s">
        <v>4132</v>
      </c>
      <c r="G575" s="3249" t="s">
        <v>3801</v>
      </c>
      <c r="H575" s="3250">
        <v>37.520000000000003</v>
      </c>
      <c r="I575" s="3251">
        <v>7.7</v>
      </c>
      <c r="J575" s="3249" t="s">
        <v>3230</v>
      </c>
    </row>
    <row r="576" spans="4:10">
      <c r="D576" s="3248">
        <v>572</v>
      </c>
      <c r="E576" s="3610"/>
      <c r="F576" s="3249" t="s">
        <v>4132</v>
      </c>
      <c r="G576" s="3249" t="s">
        <v>3802</v>
      </c>
      <c r="H576" s="3250">
        <v>37.520000000000003</v>
      </c>
      <c r="I576" s="3251">
        <v>7.7</v>
      </c>
      <c r="J576" s="3249" t="s">
        <v>3230</v>
      </c>
    </row>
    <row r="577" spans="4:10">
      <c r="D577" s="3248">
        <v>573</v>
      </c>
      <c r="E577" s="3610"/>
      <c r="F577" s="3249" t="s">
        <v>4132</v>
      </c>
      <c r="G577" s="3249" t="s">
        <v>3803</v>
      </c>
      <c r="H577" s="3250">
        <v>37.520000000000003</v>
      </c>
      <c r="I577" s="3251">
        <v>7.7</v>
      </c>
      <c r="J577" s="3249" t="s">
        <v>3230</v>
      </c>
    </row>
    <row r="578" spans="4:10">
      <c r="D578" s="3248">
        <v>574</v>
      </c>
      <c r="E578" s="3610"/>
      <c r="F578" s="3249" t="s">
        <v>4132</v>
      </c>
      <c r="G578" s="3249" t="s">
        <v>3804</v>
      </c>
      <c r="H578" s="3250">
        <v>37.520000000000003</v>
      </c>
      <c r="I578" s="3251">
        <v>7.7</v>
      </c>
      <c r="J578" s="3249" t="s">
        <v>3230</v>
      </c>
    </row>
    <row r="579" spans="4:10">
      <c r="D579" s="3248">
        <v>575</v>
      </c>
      <c r="E579" s="3610"/>
      <c r="F579" s="3249" t="s">
        <v>4132</v>
      </c>
      <c r="G579" s="3249" t="s">
        <v>3805</v>
      </c>
      <c r="H579" s="3250">
        <v>37.520000000000003</v>
      </c>
      <c r="I579" s="3251">
        <v>7.7</v>
      </c>
      <c r="J579" s="3249" t="s">
        <v>3230</v>
      </c>
    </row>
    <row r="580" spans="4:10">
      <c r="D580" s="3248">
        <v>576</v>
      </c>
      <c r="E580" s="3610"/>
      <c r="F580" s="3249" t="s">
        <v>4132</v>
      </c>
      <c r="G580" s="3249" t="s">
        <v>3806</v>
      </c>
      <c r="H580" s="3250">
        <v>37.520000000000003</v>
      </c>
      <c r="I580" s="3251">
        <v>7.7</v>
      </c>
      <c r="J580" s="3249" t="s">
        <v>3230</v>
      </c>
    </row>
    <row r="581" spans="4:10">
      <c r="D581" s="3248">
        <v>577</v>
      </c>
      <c r="E581" s="3610"/>
      <c r="F581" s="3249" t="s">
        <v>4132</v>
      </c>
      <c r="G581" s="3249" t="s">
        <v>3807</v>
      </c>
      <c r="H581" s="3250">
        <v>37.520000000000003</v>
      </c>
      <c r="I581" s="3251">
        <v>7.7</v>
      </c>
      <c r="J581" s="3249" t="s">
        <v>3230</v>
      </c>
    </row>
    <row r="582" spans="4:10">
      <c r="D582" s="3248">
        <v>578</v>
      </c>
      <c r="E582" s="3610"/>
      <c r="F582" s="3249" t="s">
        <v>4132</v>
      </c>
      <c r="G582" s="3249" t="s">
        <v>3808</v>
      </c>
      <c r="H582" s="3250">
        <v>37.520000000000003</v>
      </c>
      <c r="I582" s="3251">
        <v>7.7</v>
      </c>
      <c r="J582" s="3249" t="s">
        <v>3230</v>
      </c>
    </row>
    <row r="583" spans="4:10">
      <c r="D583" s="3248">
        <v>579</v>
      </c>
      <c r="E583" s="3610"/>
      <c r="F583" s="3249" t="s">
        <v>4132</v>
      </c>
      <c r="G583" s="3249" t="s">
        <v>3809</v>
      </c>
      <c r="H583" s="3250">
        <v>37.520000000000003</v>
      </c>
      <c r="I583" s="3251">
        <v>7.7</v>
      </c>
      <c r="J583" s="3249" t="s">
        <v>3230</v>
      </c>
    </row>
    <row r="584" spans="4:10">
      <c r="D584" s="3248">
        <v>580</v>
      </c>
      <c r="E584" s="3610"/>
      <c r="F584" s="3249" t="s">
        <v>4132</v>
      </c>
      <c r="G584" s="3249" t="s">
        <v>3810</v>
      </c>
      <c r="H584" s="3250">
        <v>37.520000000000003</v>
      </c>
      <c r="I584" s="3251">
        <v>7.7</v>
      </c>
      <c r="J584" s="3249" t="s">
        <v>3230</v>
      </c>
    </row>
    <row r="585" spans="4:10">
      <c r="D585" s="3248">
        <v>581</v>
      </c>
      <c r="E585" s="3610"/>
      <c r="F585" s="3249" t="s">
        <v>4132</v>
      </c>
      <c r="G585" s="3249" t="s">
        <v>3811</v>
      </c>
      <c r="H585" s="3250">
        <v>37.520000000000003</v>
      </c>
      <c r="I585" s="3251">
        <v>7.7</v>
      </c>
      <c r="J585" s="3249" t="s">
        <v>3230</v>
      </c>
    </row>
    <row r="586" spans="4:10">
      <c r="D586" s="3248">
        <v>582</v>
      </c>
      <c r="E586" s="3610"/>
      <c r="F586" s="3249" t="s">
        <v>4132</v>
      </c>
      <c r="G586" s="3249" t="s">
        <v>3812</v>
      </c>
      <c r="H586" s="3250">
        <v>37.520000000000003</v>
      </c>
      <c r="I586" s="3251">
        <v>7.7</v>
      </c>
      <c r="J586" s="3249" t="s">
        <v>3230</v>
      </c>
    </row>
    <row r="587" spans="4:10">
      <c r="D587" s="3248">
        <v>583</v>
      </c>
      <c r="E587" s="3610"/>
      <c r="F587" s="3249" t="s">
        <v>4132</v>
      </c>
      <c r="G587" s="3249" t="s">
        <v>3813</v>
      </c>
      <c r="H587" s="3250">
        <v>37.520000000000003</v>
      </c>
      <c r="I587" s="3251">
        <v>7.7</v>
      </c>
      <c r="J587" s="3249" t="s">
        <v>3230</v>
      </c>
    </row>
    <row r="588" spans="4:10">
      <c r="D588" s="3248">
        <v>584</v>
      </c>
      <c r="E588" s="3610"/>
      <c r="F588" s="3249" t="s">
        <v>4132</v>
      </c>
      <c r="G588" s="3249" t="s">
        <v>3814</v>
      </c>
      <c r="H588" s="3250">
        <v>37.520000000000003</v>
      </c>
      <c r="I588" s="3251">
        <v>7.7</v>
      </c>
      <c r="J588" s="3249" t="s">
        <v>3230</v>
      </c>
    </row>
    <row r="589" spans="4:10">
      <c r="D589" s="3248">
        <v>585</v>
      </c>
      <c r="E589" s="3610"/>
      <c r="F589" s="3249" t="s">
        <v>4132</v>
      </c>
      <c r="G589" s="3249" t="s">
        <v>3815</v>
      </c>
      <c r="H589" s="3250">
        <v>37.520000000000003</v>
      </c>
      <c r="I589" s="3251">
        <v>7.7</v>
      </c>
      <c r="J589" s="3249" t="s">
        <v>3230</v>
      </c>
    </row>
    <row r="590" spans="4:10">
      <c r="D590" s="3248">
        <v>586</v>
      </c>
      <c r="E590" s="3610"/>
      <c r="F590" s="3249" t="s">
        <v>4132</v>
      </c>
      <c r="G590" s="3249" t="s">
        <v>3816</v>
      </c>
      <c r="H590" s="3250">
        <v>37.520000000000003</v>
      </c>
      <c r="I590" s="3251">
        <v>7.7</v>
      </c>
      <c r="J590" s="3249" t="s">
        <v>3230</v>
      </c>
    </row>
    <row r="591" spans="4:10">
      <c r="D591" s="3248">
        <v>587</v>
      </c>
      <c r="E591" s="3610"/>
      <c r="F591" s="3249" t="s">
        <v>4132</v>
      </c>
      <c r="G591" s="3249" t="s">
        <v>3817</v>
      </c>
      <c r="H591" s="3250">
        <v>37.520000000000003</v>
      </c>
      <c r="I591" s="3251">
        <v>7.7</v>
      </c>
      <c r="J591" s="3249" t="s">
        <v>3230</v>
      </c>
    </row>
    <row r="592" spans="4:10">
      <c r="D592" s="3248">
        <v>588</v>
      </c>
      <c r="E592" s="3610"/>
      <c r="F592" s="3249" t="s">
        <v>4132</v>
      </c>
      <c r="G592" s="3249" t="s">
        <v>3818</v>
      </c>
      <c r="H592" s="3250">
        <v>37.520000000000003</v>
      </c>
      <c r="I592" s="3251">
        <v>7.7</v>
      </c>
      <c r="J592" s="3249" t="s">
        <v>3230</v>
      </c>
    </row>
    <row r="593" spans="4:10">
      <c r="D593" s="3248">
        <v>589</v>
      </c>
      <c r="E593" s="3610"/>
      <c r="F593" s="3249" t="s">
        <v>4132</v>
      </c>
      <c r="G593" s="3249" t="s">
        <v>3819</v>
      </c>
      <c r="H593" s="3250">
        <v>37.520000000000003</v>
      </c>
      <c r="I593" s="3251">
        <v>7.7</v>
      </c>
      <c r="J593" s="3249" t="s">
        <v>3230</v>
      </c>
    </row>
    <row r="594" spans="4:10">
      <c r="D594" s="3248">
        <v>590</v>
      </c>
      <c r="E594" s="3610"/>
      <c r="F594" s="3249" t="s">
        <v>4132</v>
      </c>
      <c r="G594" s="3249" t="s">
        <v>3820</v>
      </c>
      <c r="H594" s="3250">
        <v>37.520000000000003</v>
      </c>
      <c r="I594" s="3251">
        <v>7.7</v>
      </c>
      <c r="J594" s="3249" t="s">
        <v>3230</v>
      </c>
    </row>
    <row r="595" spans="4:10">
      <c r="D595" s="3248">
        <v>591</v>
      </c>
      <c r="E595" s="3610"/>
      <c r="F595" s="3249" t="s">
        <v>4132</v>
      </c>
      <c r="G595" s="3249" t="s">
        <v>3821</v>
      </c>
      <c r="H595" s="3250">
        <v>37.520000000000003</v>
      </c>
      <c r="I595" s="3251">
        <v>7.7</v>
      </c>
      <c r="J595" s="3249" t="s">
        <v>3230</v>
      </c>
    </row>
    <row r="596" spans="4:10">
      <c r="D596" s="3248">
        <v>592</v>
      </c>
      <c r="E596" s="3610"/>
      <c r="F596" s="3249" t="s">
        <v>4132</v>
      </c>
      <c r="G596" s="3249" t="s">
        <v>3822</v>
      </c>
      <c r="H596" s="3250">
        <v>37.520000000000003</v>
      </c>
      <c r="I596" s="3251">
        <v>7.7</v>
      </c>
      <c r="J596" s="3249" t="s">
        <v>3230</v>
      </c>
    </row>
    <row r="597" spans="4:10">
      <c r="D597" s="3248">
        <v>593</v>
      </c>
      <c r="E597" s="3610"/>
      <c r="F597" s="3249" t="s">
        <v>4132</v>
      </c>
      <c r="G597" s="3249" t="s">
        <v>3823</v>
      </c>
      <c r="H597" s="3250">
        <v>37.520000000000003</v>
      </c>
      <c r="I597" s="3251">
        <v>7.7</v>
      </c>
      <c r="J597" s="3249" t="s">
        <v>3230</v>
      </c>
    </row>
    <row r="598" spans="4:10">
      <c r="D598" s="3248">
        <v>594</v>
      </c>
      <c r="E598" s="3610"/>
      <c r="F598" s="3249" t="s">
        <v>4132</v>
      </c>
      <c r="G598" s="3249" t="s">
        <v>3824</v>
      </c>
      <c r="H598" s="3250">
        <v>37.520000000000003</v>
      </c>
      <c r="I598" s="3251">
        <v>7.7</v>
      </c>
      <c r="J598" s="3249" t="s">
        <v>3230</v>
      </c>
    </row>
    <row r="599" spans="4:10">
      <c r="D599" s="3248">
        <v>595</v>
      </c>
      <c r="E599" s="3610"/>
      <c r="F599" s="3249" t="s">
        <v>4132</v>
      </c>
      <c r="G599" s="3249" t="s">
        <v>3825</v>
      </c>
      <c r="H599" s="3250">
        <v>37.520000000000003</v>
      </c>
      <c r="I599" s="3251">
        <v>7.7</v>
      </c>
      <c r="J599" s="3249" t="s">
        <v>3230</v>
      </c>
    </row>
    <row r="600" spans="4:10">
      <c r="D600" s="3248">
        <v>596</v>
      </c>
      <c r="E600" s="3610"/>
      <c r="F600" s="3249" t="s">
        <v>4132</v>
      </c>
      <c r="G600" s="3249" t="s">
        <v>3826</v>
      </c>
      <c r="H600" s="3250">
        <v>37.520000000000003</v>
      </c>
      <c r="I600" s="3251">
        <v>7.7</v>
      </c>
      <c r="J600" s="3249" t="s">
        <v>3230</v>
      </c>
    </row>
    <row r="601" spans="4:10">
      <c r="D601" s="3248">
        <v>597</v>
      </c>
      <c r="E601" s="3610"/>
      <c r="F601" s="3249" t="s">
        <v>4132</v>
      </c>
      <c r="G601" s="3249" t="s">
        <v>3827</v>
      </c>
      <c r="H601" s="3250">
        <v>37.520000000000003</v>
      </c>
      <c r="I601" s="3251">
        <v>7.7</v>
      </c>
      <c r="J601" s="3249" t="s">
        <v>3230</v>
      </c>
    </row>
    <row r="602" spans="4:10">
      <c r="D602" s="3248">
        <v>598</v>
      </c>
      <c r="E602" s="3610"/>
      <c r="F602" s="3249" t="s">
        <v>4132</v>
      </c>
      <c r="G602" s="3249" t="s">
        <v>3828</v>
      </c>
      <c r="H602" s="3250">
        <v>37.520000000000003</v>
      </c>
      <c r="I602" s="3251">
        <v>7.7</v>
      </c>
      <c r="J602" s="3249" t="s">
        <v>3230</v>
      </c>
    </row>
    <row r="603" spans="4:10">
      <c r="D603" s="3248">
        <v>599</v>
      </c>
      <c r="E603" s="3610"/>
      <c r="F603" s="3249" t="s">
        <v>4132</v>
      </c>
      <c r="G603" s="3249" t="s">
        <v>3829</v>
      </c>
      <c r="H603" s="3250">
        <v>37.520000000000003</v>
      </c>
      <c r="I603" s="3251">
        <v>7.7</v>
      </c>
      <c r="J603" s="3249" t="s">
        <v>3230</v>
      </c>
    </row>
    <row r="604" spans="4:10">
      <c r="D604" s="3248">
        <v>600</v>
      </c>
      <c r="E604" s="3610"/>
      <c r="F604" s="3249" t="s">
        <v>4132</v>
      </c>
      <c r="G604" s="3249" t="s">
        <v>3830</v>
      </c>
      <c r="H604" s="3250">
        <v>37.520000000000003</v>
      </c>
      <c r="I604" s="3251">
        <v>7.7</v>
      </c>
      <c r="J604" s="3249" t="s">
        <v>3230</v>
      </c>
    </row>
    <row r="605" spans="4:10">
      <c r="D605" s="3248">
        <v>601</v>
      </c>
      <c r="E605" s="3610"/>
      <c r="F605" s="3249" t="s">
        <v>4132</v>
      </c>
      <c r="G605" s="3249" t="s">
        <v>3831</v>
      </c>
      <c r="H605" s="3250">
        <v>39.090000000000003</v>
      </c>
      <c r="I605" s="3251">
        <v>8.02</v>
      </c>
      <c r="J605" s="3249" t="s">
        <v>3230</v>
      </c>
    </row>
    <row r="606" spans="4:10">
      <c r="D606" s="3248">
        <v>602</v>
      </c>
      <c r="E606" s="3610"/>
      <c r="F606" s="3249" t="s">
        <v>4132</v>
      </c>
      <c r="G606" s="3249" t="s">
        <v>3832</v>
      </c>
      <c r="H606" s="3250">
        <v>39.090000000000003</v>
      </c>
      <c r="I606" s="3251">
        <v>8.02</v>
      </c>
      <c r="J606" s="3249" t="s">
        <v>3230</v>
      </c>
    </row>
    <row r="607" spans="4:10">
      <c r="D607" s="3248">
        <v>603</v>
      </c>
      <c r="E607" s="3610"/>
      <c r="F607" s="3249" t="s">
        <v>4132</v>
      </c>
      <c r="G607" s="3249" t="s">
        <v>3833</v>
      </c>
      <c r="H607" s="3250">
        <v>39.090000000000003</v>
      </c>
      <c r="I607" s="3251">
        <v>8.02</v>
      </c>
      <c r="J607" s="3249" t="s">
        <v>3230</v>
      </c>
    </row>
    <row r="608" spans="4:10">
      <c r="D608" s="3248">
        <v>604</v>
      </c>
      <c r="E608" s="3610"/>
      <c r="F608" s="3249" t="s">
        <v>4132</v>
      </c>
      <c r="G608" s="3249" t="s">
        <v>3834</v>
      </c>
      <c r="H608" s="3250">
        <v>37.520000000000003</v>
      </c>
      <c r="I608" s="3251">
        <v>7.7</v>
      </c>
      <c r="J608" s="3249" t="s">
        <v>3230</v>
      </c>
    </row>
    <row r="609" spans="4:10">
      <c r="D609" s="3248">
        <v>605</v>
      </c>
      <c r="E609" s="3610"/>
      <c r="F609" s="3249" t="s">
        <v>4132</v>
      </c>
      <c r="G609" s="3249" t="s">
        <v>3835</v>
      </c>
      <c r="H609" s="3250">
        <v>36.020000000000003</v>
      </c>
      <c r="I609" s="3251">
        <v>7.39</v>
      </c>
      <c r="J609" s="3249" t="s">
        <v>3230</v>
      </c>
    </row>
    <row r="610" spans="4:10">
      <c r="D610" s="3248">
        <v>606</v>
      </c>
      <c r="E610" s="3610"/>
      <c r="F610" s="3249" t="s">
        <v>4132</v>
      </c>
      <c r="G610" s="3249" t="s">
        <v>3836</v>
      </c>
      <c r="H610" s="3250">
        <v>36.020000000000003</v>
      </c>
      <c r="I610" s="3251">
        <v>7.39</v>
      </c>
      <c r="J610" s="3249" t="s">
        <v>3230</v>
      </c>
    </row>
    <row r="611" spans="4:10">
      <c r="D611" s="3248">
        <v>607</v>
      </c>
      <c r="E611" s="3610"/>
      <c r="F611" s="3249" t="s">
        <v>4132</v>
      </c>
      <c r="G611" s="3249" t="s">
        <v>3837</v>
      </c>
      <c r="H611" s="3250">
        <v>36.020000000000003</v>
      </c>
      <c r="I611" s="3251">
        <v>7.39</v>
      </c>
      <c r="J611" s="3249" t="s">
        <v>3230</v>
      </c>
    </row>
    <row r="612" spans="4:10">
      <c r="D612" s="3248">
        <v>608</v>
      </c>
      <c r="E612" s="3610"/>
      <c r="F612" s="3249" t="s">
        <v>4132</v>
      </c>
      <c r="G612" s="3249" t="s">
        <v>3838</v>
      </c>
      <c r="H612" s="3250">
        <v>36.020000000000003</v>
      </c>
      <c r="I612" s="3251">
        <v>7.39</v>
      </c>
      <c r="J612" s="3249" t="s">
        <v>3230</v>
      </c>
    </row>
    <row r="613" spans="4:10">
      <c r="D613" s="3248">
        <v>609</v>
      </c>
      <c r="E613" s="3610"/>
      <c r="F613" s="3249" t="s">
        <v>4132</v>
      </c>
      <c r="G613" s="3249" t="s">
        <v>3839</v>
      </c>
      <c r="H613" s="3250">
        <v>36.020000000000003</v>
      </c>
      <c r="I613" s="3251">
        <v>7.39</v>
      </c>
      <c r="J613" s="3249" t="s">
        <v>3230</v>
      </c>
    </row>
    <row r="614" spans="4:10">
      <c r="D614" s="3248">
        <v>610</v>
      </c>
      <c r="E614" s="3610"/>
      <c r="F614" s="3249" t="s">
        <v>4132</v>
      </c>
      <c r="G614" s="3249" t="s">
        <v>3840</v>
      </c>
      <c r="H614" s="3250">
        <v>36.020000000000003</v>
      </c>
      <c r="I614" s="3251">
        <v>7.39</v>
      </c>
      <c r="J614" s="3249" t="s">
        <v>3230</v>
      </c>
    </row>
    <row r="615" spans="4:10">
      <c r="D615" s="3248">
        <v>611</v>
      </c>
      <c r="E615" s="3610"/>
      <c r="F615" s="3249" t="s">
        <v>4132</v>
      </c>
      <c r="G615" s="3249" t="s">
        <v>3841</v>
      </c>
      <c r="H615" s="3250">
        <v>36.020000000000003</v>
      </c>
      <c r="I615" s="3251">
        <v>7.39</v>
      </c>
      <c r="J615" s="3249" t="s">
        <v>3230</v>
      </c>
    </row>
    <row r="616" spans="4:10">
      <c r="D616" s="3248">
        <v>612</v>
      </c>
      <c r="E616" s="3610"/>
      <c r="F616" s="3249" t="s">
        <v>4132</v>
      </c>
      <c r="G616" s="3249" t="s">
        <v>3842</v>
      </c>
      <c r="H616" s="3250">
        <v>36.020000000000003</v>
      </c>
      <c r="I616" s="3251">
        <v>7.39</v>
      </c>
      <c r="J616" s="3249" t="s">
        <v>3230</v>
      </c>
    </row>
    <row r="617" spans="4:10">
      <c r="D617" s="3248">
        <v>613</v>
      </c>
      <c r="E617" s="3610"/>
      <c r="F617" s="3249" t="s">
        <v>4132</v>
      </c>
      <c r="G617" s="3249" t="s">
        <v>3843</v>
      </c>
      <c r="H617" s="3250">
        <v>36.020000000000003</v>
      </c>
      <c r="I617" s="3251">
        <v>7.39</v>
      </c>
      <c r="J617" s="3249" t="s">
        <v>3230</v>
      </c>
    </row>
    <row r="618" spans="4:10">
      <c r="D618" s="3248">
        <v>614</v>
      </c>
      <c r="E618" s="3610"/>
      <c r="F618" s="3249" t="s">
        <v>4132</v>
      </c>
      <c r="G618" s="3249" t="s">
        <v>3844</v>
      </c>
      <c r="H618" s="3250">
        <v>36.020000000000003</v>
      </c>
      <c r="I618" s="3251">
        <v>7.39</v>
      </c>
      <c r="J618" s="3249" t="s">
        <v>3230</v>
      </c>
    </row>
    <row r="619" spans="4:10">
      <c r="D619" s="3248">
        <v>615</v>
      </c>
      <c r="E619" s="3610"/>
      <c r="F619" s="3249" t="s">
        <v>4132</v>
      </c>
      <c r="G619" s="3249" t="s">
        <v>3845</v>
      </c>
      <c r="H619" s="3250">
        <v>36.020000000000003</v>
      </c>
      <c r="I619" s="3251">
        <v>7.39</v>
      </c>
      <c r="J619" s="3249" t="s">
        <v>3230</v>
      </c>
    </row>
    <row r="620" spans="4:10">
      <c r="D620" s="3248">
        <v>616</v>
      </c>
      <c r="E620" s="3610"/>
      <c r="F620" s="3249" t="s">
        <v>4132</v>
      </c>
      <c r="G620" s="3249" t="s">
        <v>3846</v>
      </c>
      <c r="H620" s="3250">
        <v>36.020000000000003</v>
      </c>
      <c r="I620" s="3251">
        <v>7.39</v>
      </c>
      <c r="J620" s="3249" t="s">
        <v>3230</v>
      </c>
    </row>
    <row r="621" spans="4:10">
      <c r="D621" s="3248">
        <v>617</v>
      </c>
      <c r="E621" s="3610"/>
      <c r="F621" s="3249" t="s">
        <v>4132</v>
      </c>
      <c r="G621" s="3249" t="s">
        <v>3847</v>
      </c>
      <c r="H621" s="3250">
        <v>37.520000000000003</v>
      </c>
      <c r="I621" s="3251">
        <v>7.7</v>
      </c>
      <c r="J621" s="3249" t="s">
        <v>3230</v>
      </c>
    </row>
    <row r="622" spans="4:10">
      <c r="D622" s="3248">
        <v>618</v>
      </c>
      <c r="E622" s="3610"/>
      <c r="F622" s="3249" t="s">
        <v>4132</v>
      </c>
      <c r="G622" s="3249" t="s">
        <v>3848</v>
      </c>
      <c r="H622" s="3250">
        <v>37.520000000000003</v>
      </c>
      <c r="I622" s="3251">
        <v>7.7</v>
      </c>
      <c r="J622" s="3249" t="s">
        <v>3230</v>
      </c>
    </row>
    <row r="623" spans="4:10">
      <c r="D623" s="3248">
        <v>619</v>
      </c>
      <c r="E623" s="3610"/>
      <c r="F623" s="3249" t="s">
        <v>4132</v>
      </c>
      <c r="G623" s="3249" t="s">
        <v>3849</v>
      </c>
      <c r="H623" s="3250">
        <v>37.520000000000003</v>
      </c>
      <c r="I623" s="3251">
        <v>7.7</v>
      </c>
      <c r="J623" s="3249" t="s">
        <v>3230</v>
      </c>
    </row>
    <row r="624" spans="4:10">
      <c r="D624" s="3248">
        <v>620</v>
      </c>
      <c r="E624" s="3610"/>
      <c r="F624" s="3249" t="s">
        <v>4132</v>
      </c>
      <c r="G624" s="3249" t="s">
        <v>3850</v>
      </c>
      <c r="H624" s="3250">
        <v>42.21</v>
      </c>
      <c r="I624" s="3251">
        <v>8.66</v>
      </c>
      <c r="J624" s="3249" t="s">
        <v>3230</v>
      </c>
    </row>
    <row r="625" spans="4:10">
      <c r="D625" s="3248">
        <v>621</v>
      </c>
      <c r="E625" s="3610"/>
      <c r="F625" s="3249" t="s">
        <v>4132</v>
      </c>
      <c r="G625" s="3249" t="s">
        <v>3851</v>
      </c>
      <c r="H625" s="3250">
        <v>39.090000000000003</v>
      </c>
      <c r="I625" s="3251">
        <v>8.02</v>
      </c>
      <c r="J625" s="3249" t="s">
        <v>3230</v>
      </c>
    </row>
    <row r="626" spans="4:10">
      <c r="D626" s="3248">
        <v>622</v>
      </c>
      <c r="E626" s="3610"/>
      <c r="F626" s="3249" t="s">
        <v>4132</v>
      </c>
      <c r="G626" s="3249" t="s">
        <v>3852</v>
      </c>
      <c r="H626" s="3250">
        <v>39.090000000000003</v>
      </c>
      <c r="I626" s="3251">
        <v>8.02</v>
      </c>
      <c r="J626" s="3249" t="s">
        <v>3230</v>
      </c>
    </row>
    <row r="627" spans="4:10">
      <c r="D627" s="3248">
        <v>623</v>
      </c>
      <c r="E627" s="3610"/>
      <c r="F627" s="3249" t="s">
        <v>4132</v>
      </c>
      <c r="G627" s="3249" t="s">
        <v>3853</v>
      </c>
      <c r="H627" s="3250">
        <v>39.090000000000003</v>
      </c>
      <c r="I627" s="3251">
        <v>8.02</v>
      </c>
      <c r="J627" s="3249" t="s">
        <v>3230</v>
      </c>
    </row>
    <row r="628" spans="4:10">
      <c r="D628" s="3248">
        <v>624</v>
      </c>
      <c r="E628" s="3610"/>
      <c r="F628" s="3249" t="s">
        <v>4132</v>
      </c>
      <c r="G628" s="3249" t="s">
        <v>3854</v>
      </c>
      <c r="H628" s="3250">
        <v>37.520000000000003</v>
      </c>
      <c r="I628" s="3251">
        <v>7.7</v>
      </c>
      <c r="J628" s="3249" t="s">
        <v>3230</v>
      </c>
    </row>
    <row r="629" spans="4:10">
      <c r="D629" s="3248">
        <v>625</v>
      </c>
      <c r="E629" s="3610"/>
      <c r="F629" s="3249" t="s">
        <v>4132</v>
      </c>
      <c r="G629" s="3249" t="s">
        <v>3855</v>
      </c>
      <c r="H629" s="3250">
        <v>37.520000000000003</v>
      </c>
      <c r="I629" s="3251">
        <v>7.7</v>
      </c>
      <c r="J629" s="3249" t="s">
        <v>3230</v>
      </c>
    </row>
    <row r="630" spans="4:10">
      <c r="D630" s="3248">
        <v>626</v>
      </c>
      <c r="E630" s="3610"/>
      <c r="F630" s="3249" t="s">
        <v>4132</v>
      </c>
      <c r="G630" s="3249" t="s">
        <v>3856</v>
      </c>
      <c r="H630" s="3250">
        <v>37.520000000000003</v>
      </c>
      <c r="I630" s="3251">
        <v>7.7</v>
      </c>
      <c r="J630" s="3249" t="s">
        <v>3230</v>
      </c>
    </row>
    <row r="631" spans="4:10">
      <c r="D631" s="3248">
        <v>627</v>
      </c>
      <c r="E631" s="3610"/>
      <c r="F631" s="3249" t="s">
        <v>4132</v>
      </c>
      <c r="G631" s="3249" t="s">
        <v>3857</v>
      </c>
      <c r="H631" s="3250">
        <v>39.090000000000003</v>
      </c>
      <c r="I631" s="3251">
        <v>8.02</v>
      </c>
      <c r="J631" s="3249" t="s">
        <v>3230</v>
      </c>
    </row>
    <row r="632" spans="4:10">
      <c r="D632" s="3248">
        <v>628</v>
      </c>
      <c r="E632" s="3610"/>
      <c r="F632" s="3249" t="s">
        <v>4132</v>
      </c>
      <c r="G632" s="3249" t="s">
        <v>3858</v>
      </c>
      <c r="H632" s="3250">
        <v>39.090000000000003</v>
      </c>
      <c r="I632" s="3251">
        <v>8.02</v>
      </c>
      <c r="J632" s="3249" t="s">
        <v>3230</v>
      </c>
    </row>
    <row r="633" spans="4:10">
      <c r="D633" s="3248">
        <v>629</v>
      </c>
      <c r="E633" s="3610"/>
      <c r="F633" s="3249" t="s">
        <v>4132</v>
      </c>
      <c r="G633" s="3249" t="s">
        <v>3859</v>
      </c>
      <c r="H633" s="3250">
        <v>39.090000000000003</v>
      </c>
      <c r="I633" s="3251">
        <v>8.02</v>
      </c>
      <c r="J633" s="3249" t="s">
        <v>3230</v>
      </c>
    </row>
    <row r="634" spans="4:10">
      <c r="D634" s="3248">
        <v>630</v>
      </c>
      <c r="E634" s="3610"/>
      <c r="F634" s="3249" t="s">
        <v>4132</v>
      </c>
      <c r="G634" s="3249" t="s">
        <v>3860</v>
      </c>
      <c r="H634" s="3250">
        <v>39.090000000000003</v>
      </c>
      <c r="I634" s="3251">
        <v>8.02</v>
      </c>
      <c r="J634" s="3249" t="s">
        <v>3230</v>
      </c>
    </row>
    <row r="635" spans="4:10">
      <c r="D635" s="3248">
        <v>631</v>
      </c>
      <c r="E635" s="3610"/>
      <c r="F635" s="3249" t="s">
        <v>4132</v>
      </c>
      <c r="G635" s="3249" t="s">
        <v>3861</v>
      </c>
      <c r="H635" s="3250">
        <v>39.090000000000003</v>
      </c>
      <c r="I635" s="3251">
        <v>8.02</v>
      </c>
      <c r="J635" s="3249" t="s">
        <v>3230</v>
      </c>
    </row>
    <row r="636" spans="4:10">
      <c r="D636" s="3248">
        <v>632</v>
      </c>
      <c r="E636" s="3610"/>
      <c r="F636" s="3249" t="s">
        <v>4132</v>
      </c>
      <c r="G636" s="3249" t="s">
        <v>3862</v>
      </c>
      <c r="H636" s="3250">
        <v>37.520000000000003</v>
      </c>
      <c r="I636" s="3251">
        <v>7.7</v>
      </c>
      <c r="J636" s="3249" t="s">
        <v>3230</v>
      </c>
    </row>
    <row r="637" spans="4:10">
      <c r="D637" s="3248">
        <v>633</v>
      </c>
      <c r="E637" s="3610"/>
      <c r="F637" s="3249" t="s">
        <v>4132</v>
      </c>
      <c r="G637" s="3249" t="s">
        <v>3863</v>
      </c>
      <c r="H637" s="3250">
        <v>37.520000000000003</v>
      </c>
      <c r="I637" s="3251">
        <v>7.7</v>
      </c>
      <c r="J637" s="3249" t="s">
        <v>3230</v>
      </c>
    </row>
    <row r="638" spans="4:10">
      <c r="D638" s="3248">
        <v>634</v>
      </c>
      <c r="E638" s="3610"/>
      <c r="F638" s="3249" t="s">
        <v>4132</v>
      </c>
      <c r="G638" s="3249" t="s">
        <v>3864</v>
      </c>
      <c r="H638" s="3250">
        <v>39.090000000000003</v>
      </c>
      <c r="I638" s="3251">
        <v>8.02</v>
      </c>
      <c r="J638" s="3249" t="s">
        <v>3230</v>
      </c>
    </row>
    <row r="639" spans="4:10">
      <c r="D639" s="3248">
        <v>635</v>
      </c>
      <c r="E639" s="3610"/>
      <c r="F639" s="3249" t="s">
        <v>4132</v>
      </c>
      <c r="G639" s="3249" t="s">
        <v>3865</v>
      </c>
      <c r="H639" s="3250">
        <v>37.520000000000003</v>
      </c>
      <c r="I639" s="3251">
        <v>7.7</v>
      </c>
      <c r="J639" s="3249" t="s">
        <v>3230</v>
      </c>
    </row>
    <row r="640" spans="4:10">
      <c r="D640" s="3248">
        <v>636</v>
      </c>
      <c r="E640" s="3610"/>
      <c r="F640" s="3249" t="s">
        <v>4132</v>
      </c>
      <c r="G640" s="3249" t="s">
        <v>3866</v>
      </c>
      <c r="H640" s="3250">
        <v>37.520000000000003</v>
      </c>
      <c r="I640" s="3251">
        <v>7.7</v>
      </c>
      <c r="J640" s="3249" t="s">
        <v>3230</v>
      </c>
    </row>
    <row r="641" spans="4:10">
      <c r="D641" s="3248">
        <v>637</v>
      </c>
      <c r="E641" s="3610"/>
      <c r="F641" s="3249" t="s">
        <v>4132</v>
      </c>
      <c r="G641" s="3249" t="s">
        <v>3867</v>
      </c>
      <c r="H641" s="3250">
        <v>37.520000000000003</v>
      </c>
      <c r="I641" s="3251">
        <v>7.7</v>
      </c>
      <c r="J641" s="3249" t="s">
        <v>3230</v>
      </c>
    </row>
    <row r="642" spans="4:10">
      <c r="D642" s="3248">
        <v>638</v>
      </c>
      <c r="E642" s="3610"/>
      <c r="F642" s="3249" t="s">
        <v>4132</v>
      </c>
      <c r="G642" s="3249" t="s">
        <v>3868</v>
      </c>
      <c r="H642" s="3250">
        <v>37.520000000000003</v>
      </c>
      <c r="I642" s="3251">
        <v>7.7</v>
      </c>
      <c r="J642" s="3249" t="s">
        <v>3230</v>
      </c>
    </row>
    <row r="643" spans="4:10">
      <c r="D643" s="3248">
        <v>639</v>
      </c>
      <c r="E643" s="3610"/>
      <c r="F643" s="3249" t="s">
        <v>4132</v>
      </c>
      <c r="G643" s="3249" t="s">
        <v>3869</v>
      </c>
      <c r="H643" s="3250">
        <v>37.520000000000003</v>
      </c>
      <c r="I643" s="3251">
        <v>7.7</v>
      </c>
      <c r="J643" s="3249" t="s">
        <v>3230</v>
      </c>
    </row>
    <row r="644" spans="4:10">
      <c r="D644" s="3248">
        <v>640</v>
      </c>
      <c r="E644" s="3610"/>
      <c r="F644" s="3249" t="s">
        <v>4132</v>
      </c>
      <c r="G644" s="3249" t="s">
        <v>3870</v>
      </c>
      <c r="H644" s="3250">
        <v>37.520000000000003</v>
      </c>
      <c r="I644" s="3251">
        <v>7.7</v>
      </c>
      <c r="J644" s="3249" t="s">
        <v>3230</v>
      </c>
    </row>
    <row r="645" spans="4:10">
      <c r="D645" s="3248">
        <v>641</v>
      </c>
      <c r="E645" s="3610"/>
      <c r="F645" s="3249" t="s">
        <v>4132</v>
      </c>
      <c r="G645" s="3249" t="s">
        <v>3871</v>
      </c>
      <c r="H645" s="3250">
        <v>39.090000000000003</v>
      </c>
      <c r="I645" s="3251">
        <v>8.02</v>
      </c>
      <c r="J645" s="3249" t="s">
        <v>3230</v>
      </c>
    </row>
    <row r="646" spans="4:10">
      <c r="D646" s="3248">
        <v>642</v>
      </c>
      <c r="E646" s="3610"/>
      <c r="F646" s="3249" t="s">
        <v>4132</v>
      </c>
      <c r="G646" s="3249" t="s">
        <v>3872</v>
      </c>
      <c r="H646" s="3250">
        <v>39.090000000000003</v>
      </c>
      <c r="I646" s="3251">
        <v>8.02</v>
      </c>
      <c r="J646" s="3249" t="s">
        <v>3230</v>
      </c>
    </row>
    <row r="647" spans="4:10">
      <c r="D647" s="3248">
        <v>643</v>
      </c>
      <c r="E647" s="3610"/>
      <c r="F647" s="3249" t="s">
        <v>4132</v>
      </c>
      <c r="G647" s="3249" t="s">
        <v>3873</v>
      </c>
      <c r="H647" s="3250">
        <v>37.520000000000003</v>
      </c>
      <c r="I647" s="3251">
        <v>7.7</v>
      </c>
      <c r="J647" s="3249" t="s">
        <v>3230</v>
      </c>
    </row>
    <row r="648" spans="4:10">
      <c r="D648" s="3248">
        <v>644</v>
      </c>
      <c r="E648" s="3610"/>
      <c r="F648" s="3249" t="s">
        <v>4132</v>
      </c>
      <c r="G648" s="3249" t="s">
        <v>3874</v>
      </c>
      <c r="H648" s="3250">
        <v>37.520000000000003</v>
      </c>
      <c r="I648" s="3251">
        <v>7.7</v>
      </c>
      <c r="J648" s="3249" t="s">
        <v>3230</v>
      </c>
    </row>
    <row r="649" spans="4:10">
      <c r="D649" s="3248">
        <v>645</v>
      </c>
      <c r="E649" s="3610"/>
      <c r="F649" s="3249" t="s">
        <v>4132</v>
      </c>
      <c r="G649" s="3249" t="s">
        <v>3875</v>
      </c>
      <c r="H649" s="3250">
        <v>48.78</v>
      </c>
      <c r="I649" s="3251">
        <v>10.01</v>
      </c>
      <c r="J649" s="3249" t="s">
        <v>3230</v>
      </c>
    </row>
    <row r="650" spans="4:10">
      <c r="D650" s="3248">
        <v>646</v>
      </c>
      <c r="E650" s="3610"/>
      <c r="F650" s="3249" t="s">
        <v>4132</v>
      </c>
      <c r="G650" s="3249" t="s">
        <v>3876</v>
      </c>
      <c r="H650" s="3250">
        <v>35.630000000000003</v>
      </c>
      <c r="I650" s="3251">
        <v>7.31</v>
      </c>
      <c r="J650" s="3249" t="s">
        <v>3230</v>
      </c>
    </row>
    <row r="651" spans="4:10">
      <c r="D651" s="3248">
        <v>647</v>
      </c>
      <c r="E651" s="3610"/>
      <c r="F651" s="3249" t="s">
        <v>4132</v>
      </c>
      <c r="G651" s="3249" t="s">
        <v>3877</v>
      </c>
      <c r="H651" s="3250">
        <v>35.630000000000003</v>
      </c>
      <c r="I651" s="3251">
        <v>7.31</v>
      </c>
      <c r="J651" s="3249" t="s">
        <v>3230</v>
      </c>
    </row>
    <row r="652" spans="4:10">
      <c r="D652" s="3248">
        <v>648</v>
      </c>
      <c r="E652" s="3610"/>
      <c r="F652" s="3249" t="s">
        <v>4132</v>
      </c>
      <c r="G652" s="3249" t="s">
        <v>3878</v>
      </c>
      <c r="H652" s="3250">
        <v>35.630000000000003</v>
      </c>
      <c r="I652" s="3251">
        <v>7.31</v>
      </c>
      <c r="J652" s="3249" t="s">
        <v>3230</v>
      </c>
    </row>
    <row r="653" spans="4:10">
      <c r="D653" s="3248">
        <v>649</v>
      </c>
      <c r="E653" s="3610"/>
      <c r="F653" s="3249" t="s">
        <v>4132</v>
      </c>
      <c r="G653" s="3249" t="s">
        <v>3879</v>
      </c>
      <c r="H653" s="3250">
        <v>35.630000000000003</v>
      </c>
      <c r="I653" s="3251">
        <v>7.31</v>
      </c>
      <c r="J653" s="3249" t="s">
        <v>3230</v>
      </c>
    </row>
    <row r="654" spans="4:10">
      <c r="D654" s="3248">
        <v>650</v>
      </c>
      <c r="E654" s="3610"/>
      <c r="F654" s="3249" t="s">
        <v>4132</v>
      </c>
      <c r="G654" s="3249" t="s">
        <v>3880</v>
      </c>
      <c r="H654" s="3250">
        <v>35.630000000000003</v>
      </c>
      <c r="I654" s="3251">
        <v>7.31</v>
      </c>
      <c r="J654" s="3249" t="s">
        <v>3230</v>
      </c>
    </row>
    <row r="655" spans="4:10">
      <c r="D655" s="3248">
        <v>651</v>
      </c>
      <c r="E655" s="3610"/>
      <c r="F655" s="3249" t="s">
        <v>4132</v>
      </c>
      <c r="G655" s="3249" t="s">
        <v>3881</v>
      </c>
      <c r="H655" s="3250">
        <v>35.630000000000003</v>
      </c>
      <c r="I655" s="3251">
        <v>7.31</v>
      </c>
      <c r="J655" s="3249" t="s">
        <v>3230</v>
      </c>
    </row>
    <row r="656" spans="4:10">
      <c r="D656" s="3248">
        <v>652</v>
      </c>
      <c r="E656" s="3610"/>
      <c r="F656" s="3249" t="s">
        <v>4132</v>
      </c>
      <c r="G656" s="3249" t="s">
        <v>3882</v>
      </c>
      <c r="H656" s="3250">
        <v>36.020000000000003</v>
      </c>
      <c r="I656" s="3251">
        <v>7.39</v>
      </c>
      <c r="J656" s="3249" t="s">
        <v>3230</v>
      </c>
    </row>
    <row r="657" spans="4:10">
      <c r="D657" s="3248">
        <v>653</v>
      </c>
      <c r="E657" s="3610"/>
      <c r="F657" s="3249" t="s">
        <v>4132</v>
      </c>
      <c r="G657" s="3249" t="s">
        <v>3883</v>
      </c>
      <c r="H657" s="3250">
        <v>36.020000000000003</v>
      </c>
      <c r="I657" s="3251">
        <v>7.39</v>
      </c>
      <c r="J657" s="3249" t="s">
        <v>3230</v>
      </c>
    </row>
    <row r="658" spans="4:10">
      <c r="D658" s="3248">
        <v>654</v>
      </c>
      <c r="E658" s="3610"/>
      <c r="F658" s="3249" t="s">
        <v>4132</v>
      </c>
      <c r="G658" s="3249" t="s">
        <v>3884</v>
      </c>
      <c r="H658" s="3250">
        <v>36.020000000000003</v>
      </c>
      <c r="I658" s="3251">
        <v>7.39</v>
      </c>
      <c r="J658" s="3249" t="s">
        <v>3230</v>
      </c>
    </row>
    <row r="659" spans="4:10">
      <c r="D659" s="3248">
        <v>655</v>
      </c>
      <c r="E659" s="3610"/>
      <c r="F659" s="3249" t="s">
        <v>4132</v>
      </c>
      <c r="G659" s="3249" t="s">
        <v>3885</v>
      </c>
      <c r="H659" s="3250">
        <v>36.020000000000003</v>
      </c>
      <c r="I659" s="3251">
        <v>7.39</v>
      </c>
      <c r="J659" s="3249" t="s">
        <v>3230</v>
      </c>
    </row>
    <row r="660" spans="4:10">
      <c r="D660" s="3248">
        <v>656</v>
      </c>
      <c r="E660" s="3610"/>
      <c r="F660" s="3249" t="s">
        <v>4132</v>
      </c>
      <c r="G660" s="3249" t="s">
        <v>3886</v>
      </c>
      <c r="H660" s="3250">
        <v>36.020000000000003</v>
      </c>
      <c r="I660" s="3251">
        <v>7.39</v>
      </c>
      <c r="J660" s="3249" t="s">
        <v>3230</v>
      </c>
    </row>
    <row r="661" spans="4:10">
      <c r="D661" s="3248">
        <v>657</v>
      </c>
      <c r="E661" s="3610"/>
      <c r="F661" s="3249" t="s">
        <v>4132</v>
      </c>
      <c r="G661" s="3249" t="s">
        <v>3887</v>
      </c>
      <c r="H661" s="3250">
        <v>36.020000000000003</v>
      </c>
      <c r="I661" s="3251">
        <v>7.39</v>
      </c>
      <c r="J661" s="3249" t="s">
        <v>3230</v>
      </c>
    </row>
    <row r="662" spans="4:10">
      <c r="D662" s="3248">
        <v>658</v>
      </c>
      <c r="E662" s="3610"/>
      <c r="F662" s="3249" t="s">
        <v>4132</v>
      </c>
      <c r="G662" s="3249" t="s">
        <v>3888</v>
      </c>
      <c r="H662" s="3250">
        <v>37.520000000000003</v>
      </c>
      <c r="I662" s="3251">
        <v>7.7</v>
      </c>
      <c r="J662" s="3249" t="s">
        <v>3230</v>
      </c>
    </row>
    <row r="663" spans="4:10">
      <c r="D663" s="3248">
        <v>659</v>
      </c>
      <c r="E663" s="3610"/>
      <c r="F663" s="3249" t="s">
        <v>4132</v>
      </c>
      <c r="G663" s="3249" t="s">
        <v>3889</v>
      </c>
      <c r="H663" s="3250">
        <v>37.520000000000003</v>
      </c>
      <c r="I663" s="3251">
        <v>7.7</v>
      </c>
      <c r="J663" s="3249" t="s">
        <v>3230</v>
      </c>
    </row>
    <row r="664" spans="4:10">
      <c r="D664" s="3248">
        <v>660</v>
      </c>
      <c r="E664" s="3610"/>
      <c r="F664" s="3249" t="s">
        <v>4132</v>
      </c>
      <c r="G664" s="3249" t="s">
        <v>3890</v>
      </c>
      <c r="H664" s="3250">
        <v>37.520000000000003</v>
      </c>
      <c r="I664" s="3251">
        <v>7.7</v>
      </c>
      <c r="J664" s="3249" t="s">
        <v>3230</v>
      </c>
    </row>
    <row r="665" spans="4:10">
      <c r="D665" s="3248">
        <v>661</v>
      </c>
      <c r="E665" s="3610"/>
      <c r="F665" s="3249" t="s">
        <v>4132</v>
      </c>
      <c r="G665" s="3249" t="s">
        <v>3891</v>
      </c>
      <c r="H665" s="3250">
        <v>39.090000000000003</v>
      </c>
      <c r="I665" s="3251">
        <v>8.02</v>
      </c>
      <c r="J665" s="3249" t="s">
        <v>3230</v>
      </c>
    </row>
    <row r="666" spans="4:10">
      <c r="D666" s="3248">
        <v>662</v>
      </c>
      <c r="E666" s="3610"/>
      <c r="F666" s="3249" t="s">
        <v>4132</v>
      </c>
      <c r="G666" s="3249" t="s">
        <v>3892</v>
      </c>
      <c r="H666" s="3250">
        <v>39.090000000000003</v>
      </c>
      <c r="I666" s="3251">
        <v>8.02</v>
      </c>
      <c r="J666" s="3249" t="s">
        <v>3230</v>
      </c>
    </row>
    <row r="667" spans="4:10">
      <c r="D667" s="3248">
        <v>663</v>
      </c>
      <c r="E667" s="3610"/>
      <c r="F667" s="3249" t="s">
        <v>4132</v>
      </c>
      <c r="G667" s="3249" t="s">
        <v>3893</v>
      </c>
      <c r="H667" s="3250">
        <v>39.090000000000003</v>
      </c>
      <c r="I667" s="3251">
        <v>8.02</v>
      </c>
      <c r="J667" s="3249" t="s">
        <v>3230</v>
      </c>
    </row>
    <row r="668" spans="4:10">
      <c r="D668" s="3248">
        <v>664</v>
      </c>
      <c r="E668" s="3610"/>
      <c r="F668" s="3249" t="s">
        <v>4132</v>
      </c>
      <c r="G668" s="3249" t="s">
        <v>3894</v>
      </c>
      <c r="H668" s="3250">
        <v>37.4</v>
      </c>
      <c r="I668" s="3251">
        <v>7.68</v>
      </c>
      <c r="J668" s="3249" t="s">
        <v>3230</v>
      </c>
    </row>
    <row r="669" spans="4:10">
      <c r="D669" s="3248">
        <v>665</v>
      </c>
      <c r="E669" s="3610"/>
      <c r="F669" s="3249" t="s">
        <v>4132</v>
      </c>
      <c r="G669" s="3249" t="s">
        <v>3895</v>
      </c>
      <c r="H669" s="3250">
        <v>39.840000000000003</v>
      </c>
      <c r="I669" s="3251">
        <v>8.18</v>
      </c>
      <c r="J669" s="3249" t="s">
        <v>3230</v>
      </c>
    </row>
    <row r="670" spans="4:10">
      <c r="D670" s="3248">
        <v>666</v>
      </c>
      <c r="E670" s="3610"/>
      <c r="F670" s="3249" t="s">
        <v>4132</v>
      </c>
      <c r="G670" s="3249" t="s">
        <v>3896</v>
      </c>
      <c r="H670" s="3250">
        <v>45.34</v>
      </c>
      <c r="I670" s="3251">
        <v>9.31</v>
      </c>
      <c r="J670" s="3249" t="s">
        <v>3230</v>
      </c>
    </row>
    <row r="671" spans="4:10">
      <c r="D671" s="3248">
        <v>667</v>
      </c>
      <c r="E671" s="3610"/>
      <c r="F671" s="3249" t="s">
        <v>4132</v>
      </c>
      <c r="G671" s="3249" t="s">
        <v>3897</v>
      </c>
      <c r="H671" s="3250">
        <v>45.34</v>
      </c>
      <c r="I671" s="3251">
        <v>9.31</v>
      </c>
      <c r="J671" s="3249" t="s">
        <v>3230</v>
      </c>
    </row>
    <row r="672" spans="4:10">
      <c r="D672" s="3248">
        <v>668</v>
      </c>
      <c r="E672" s="3610"/>
      <c r="F672" s="3249" t="s">
        <v>4132</v>
      </c>
      <c r="G672" s="3249" t="s">
        <v>3898</v>
      </c>
      <c r="H672" s="3250">
        <v>45.34</v>
      </c>
      <c r="I672" s="3251">
        <v>9.31</v>
      </c>
      <c r="J672" s="3249" t="s">
        <v>3230</v>
      </c>
    </row>
    <row r="673" spans="4:10">
      <c r="D673" s="3248">
        <v>669</v>
      </c>
      <c r="E673" s="3610"/>
      <c r="F673" s="3249" t="s">
        <v>4132</v>
      </c>
      <c r="G673" s="3249" t="s">
        <v>3899</v>
      </c>
      <c r="H673" s="3250">
        <v>36.020000000000003</v>
      </c>
      <c r="I673" s="3251">
        <v>7.39</v>
      </c>
      <c r="J673" s="3249" t="s">
        <v>3230</v>
      </c>
    </row>
    <row r="674" spans="4:10">
      <c r="D674" s="3248">
        <v>670</v>
      </c>
      <c r="E674" s="3610"/>
      <c r="F674" s="3249" t="s">
        <v>4132</v>
      </c>
      <c r="G674" s="3249" t="s">
        <v>3900</v>
      </c>
      <c r="H674" s="3250">
        <v>36.020000000000003</v>
      </c>
      <c r="I674" s="3251">
        <v>7.39</v>
      </c>
      <c r="J674" s="3249" t="s">
        <v>3230</v>
      </c>
    </row>
    <row r="675" spans="4:10">
      <c r="D675" s="3248">
        <v>671</v>
      </c>
      <c r="E675" s="3610"/>
      <c r="F675" s="3249" t="s">
        <v>4132</v>
      </c>
      <c r="G675" s="3249" t="s">
        <v>3901</v>
      </c>
      <c r="H675" s="3250">
        <v>36.020000000000003</v>
      </c>
      <c r="I675" s="3251">
        <v>7.39</v>
      </c>
      <c r="J675" s="3249" t="s">
        <v>3230</v>
      </c>
    </row>
    <row r="676" spans="4:10">
      <c r="D676" s="3248">
        <v>672</v>
      </c>
      <c r="E676" s="3610"/>
      <c r="F676" s="3249" t="s">
        <v>4132</v>
      </c>
      <c r="G676" s="3249" t="s">
        <v>3902</v>
      </c>
      <c r="H676" s="3250">
        <v>36.020000000000003</v>
      </c>
      <c r="I676" s="3251">
        <v>7.39</v>
      </c>
      <c r="J676" s="3249" t="s">
        <v>3230</v>
      </c>
    </row>
    <row r="677" spans="4:10">
      <c r="D677" s="3248">
        <v>673</v>
      </c>
      <c r="E677" s="3610"/>
      <c r="F677" s="3249" t="s">
        <v>4132</v>
      </c>
      <c r="G677" s="3249" t="s">
        <v>3903</v>
      </c>
      <c r="H677" s="3250">
        <v>36.020000000000003</v>
      </c>
      <c r="I677" s="3251">
        <v>7.39</v>
      </c>
      <c r="J677" s="3249" t="s">
        <v>3230</v>
      </c>
    </row>
    <row r="678" spans="4:10">
      <c r="D678" s="3248">
        <v>674</v>
      </c>
      <c r="E678" s="3610"/>
      <c r="F678" s="3249" t="s">
        <v>4132</v>
      </c>
      <c r="G678" s="3249" t="s">
        <v>3904</v>
      </c>
      <c r="H678" s="3250">
        <v>36.020000000000003</v>
      </c>
      <c r="I678" s="3251">
        <v>7.39</v>
      </c>
      <c r="J678" s="3249" t="s">
        <v>3230</v>
      </c>
    </row>
    <row r="679" spans="4:10">
      <c r="D679" s="3248">
        <v>675</v>
      </c>
      <c r="E679" s="3610"/>
      <c r="F679" s="3249" t="s">
        <v>4132</v>
      </c>
      <c r="G679" s="3249" t="s">
        <v>3905</v>
      </c>
      <c r="H679" s="3250">
        <v>36.020000000000003</v>
      </c>
      <c r="I679" s="3251">
        <v>7.39</v>
      </c>
      <c r="J679" s="3249" t="s">
        <v>3230</v>
      </c>
    </row>
    <row r="680" spans="4:10">
      <c r="D680" s="3248">
        <v>676</v>
      </c>
      <c r="E680" s="3610"/>
      <c r="F680" s="3249" t="s">
        <v>4132</v>
      </c>
      <c r="G680" s="3249" t="s">
        <v>3906</v>
      </c>
      <c r="H680" s="3250">
        <v>36.020000000000003</v>
      </c>
      <c r="I680" s="3251">
        <v>7.39</v>
      </c>
      <c r="J680" s="3249" t="s">
        <v>3230</v>
      </c>
    </row>
    <row r="681" spans="4:10">
      <c r="D681" s="3248">
        <v>677</v>
      </c>
      <c r="E681" s="3610"/>
      <c r="F681" s="3249" t="s">
        <v>4132</v>
      </c>
      <c r="G681" s="3249" t="s">
        <v>3907</v>
      </c>
      <c r="H681" s="3250">
        <v>36.020000000000003</v>
      </c>
      <c r="I681" s="3251">
        <v>7.39</v>
      </c>
      <c r="J681" s="3249" t="s">
        <v>3230</v>
      </c>
    </row>
    <row r="682" spans="4:10">
      <c r="D682" s="3248">
        <v>678</v>
      </c>
      <c r="E682" s="3610"/>
      <c r="F682" s="3249" t="s">
        <v>4132</v>
      </c>
      <c r="G682" s="3249" t="s">
        <v>3908</v>
      </c>
      <c r="H682" s="3250">
        <v>36.020000000000003</v>
      </c>
      <c r="I682" s="3251">
        <v>7.39</v>
      </c>
      <c r="J682" s="3249" t="s">
        <v>3230</v>
      </c>
    </row>
    <row r="683" spans="4:10">
      <c r="D683" s="3248">
        <v>679</v>
      </c>
      <c r="E683" s="3610"/>
      <c r="F683" s="3249" t="s">
        <v>4132</v>
      </c>
      <c r="G683" s="3249" t="s">
        <v>3909</v>
      </c>
      <c r="H683" s="3250">
        <v>36.020000000000003</v>
      </c>
      <c r="I683" s="3251">
        <v>7.39</v>
      </c>
      <c r="J683" s="3249" t="s">
        <v>3230</v>
      </c>
    </row>
    <row r="684" spans="4:10">
      <c r="D684" s="3248">
        <v>680</v>
      </c>
      <c r="E684" s="3610"/>
      <c r="F684" s="3249" t="s">
        <v>4132</v>
      </c>
      <c r="G684" s="3249" t="s">
        <v>3910</v>
      </c>
      <c r="H684" s="3250">
        <v>36.020000000000003</v>
      </c>
      <c r="I684" s="3251">
        <v>7.39</v>
      </c>
      <c r="J684" s="3249" t="s">
        <v>3230</v>
      </c>
    </row>
    <row r="685" spans="4:10">
      <c r="D685" s="3248">
        <v>681</v>
      </c>
      <c r="E685" s="3610"/>
      <c r="F685" s="3249" t="s">
        <v>4132</v>
      </c>
      <c r="G685" s="3249" t="s">
        <v>3911</v>
      </c>
      <c r="H685" s="3250">
        <v>39.090000000000003</v>
      </c>
      <c r="I685" s="3251">
        <v>8.02</v>
      </c>
      <c r="J685" s="3249" t="s">
        <v>3230</v>
      </c>
    </row>
    <row r="686" spans="4:10">
      <c r="D686" s="3248">
        <v>682</v>
      </c>
      <c r="E686" s="3610"/>
      <c r="F686" s="3249" t="s">
        <v>4132</v>
      </c>
      <c r="G686" s="3249" t="s">
        <v>3912</v>
      </c>
      <c r="H686" s="3250">
        <v>39.090000000000003</v>
      </c>
      <c r="I686" s="3251">
        <v>8.02</v>
      </c>
      <c r="J686" s="3249" t="s">
        <v>3230</v>
      </c>
    </row>
    <row r="687" spans="4:10">
      <c r="D687" s="3248">
        <v>683</v>
      </c>
      <c r="E687" s="3610"/>
      <c r="F687" s="3249" t="s">
        <v>4132</v>
      </c>
      <c r="G687" s="3249" t="s">
        <v>3913</v>
      </c>
      <c r="H687" s="3250">
        <v>39.090000000000003</v>
      </c>
      <c r="I687" s="3251">
        <v>8.02</v>
      </c>
      <c r="J687" s="3249" t="s">
        <v>3230</v>
      </c>
    </row>
    <row r="688" spans="4:10">
      <c r="D688" s="3248">
        <v>684</v>
      </c>
      <c r="E688" s="3610"/>
      <c r="F688" s="3249" t="s">
        <v>4132</v>
      </c>
      <c r="G688" s="3249" t="s">
        <v>3914</v>
      </c>
      <c r="H688" s="3250">
        <v>36.020000000000003</v>
      </c>
      <c r="I688" s="3251">
        <v>7.39</v>
      </c>
      <c r="J688" s="3249" t="s">
        <v>3230</v>
      </c>
    </row>
    <row r="689" spans="4:10">
      <c r="D689" s="3248">
        <v>685</v>
      </c>
      <c r="E689" s="3610"/>
      <c r="F689" s="3249" t="s">
        <v>4132</v>
      </c>
      <c r="G689" s="3249" t="s">
        <v>3915</v>
      </c>
      <c r="H689" s="3250">
        <v>36.020000000000003</v>
      </c>
      <c r="I689" s="3251">
        <v>7.39</v>
      </c>
      <c r="J689" s="3249" t="s">
        <v>3230</v>
      </c>
    </row>
    <row r="690" spans="4:10">
      <c r="D690" s="3248">
        <v>686</v>
      </c>
      <c r="E690" s="3610"/>
      <c r="F690" s="3249" t="s">
        <v>4132</v>
      </c>
      <c r="G690" s="3249" t="s">
        <v>3916</v>
      </c>
      <c r="H690" s="3250">
        <v>36.020000000000003</v>
      </c>
      <c r="I690" s="3251">
        <v>7.39</v>
      </c>
      <c r="J690" s="3249" t="s">
        <v>3230</v>
      </c>
    </row>
    <row r="691" spans="4:10">
      <c r="D691" s="3248">
        <v>687</v>
      </c>
      <c r="E691" s="3610"/>
      <c r="F691" s="3249" t="s">
        <v>4132</v>
      </c>
      <c r="G691" s="3249" t="s">
        <v>3917</v>
      </c>
      <c r="H691" s="3250">
        <v>39.090000000000003</v>
      </c>
      <c r="I691" s="3251">
        <v>8.02</v>
      </c>
      <c r="J691" s="3249" t="s">
        <v>3230</v>
      </c>
    </row>
    <row r="692" spans="4:10">
      <c r="D692" s="3248">
        <v>688</v>
      </c>
      <c r="E692" s="3610"/>
      <c r="F692" s="3249" t="s">
        <v>4132</v>
      </c>
      <c r="G692" s="3249" t="s">
        <v>3918</v>
      </c>
      <c r="H692" s="3250">
        <v>39.090000000000003</v>
      </c>
      <c r="I692" s="3251">
        <v>8.02</v>
      </c>
      <c r="J692" s="3249" t="s">
        <v>3230</v>
      </c>
    </row>
    <row r="693" spans="4:10">
      <c r="D693" s="3248">
        <v>689</v>
      </c>
      <c r="E693" s="3610"/>
      <c r="F693" s="3249" t="s">
        <v>4132</v>
      </c>
      <c r="G693" s="3249" t="s">
        <v>3919</v>
      </c>
      <c r="H693" s="3250">
        <v>39.090000000000003</v>
      </c>
      <c r="I693" s="3251">
        <v>8.02</v>
      </c>
      <c r="J693" s="3249" t="s">
        <v>3230</v>
      </c>
    </row>
    <row r="694" spans="4:10">
      <c r="D694" s="3248">
        <v>690</v>
      </c>
      <c r="E694" s="3610"/>
      <c r="F694" s="3249" t="s">
        <v>4132</v>
      </c>
      <c r="G694" s="3249" t="s">
        <v>3920</v>
      </c>
      <c r="H694" s="3250">
        <v>39.090000000000003</v>
      </c>
      <c r="I694" s="3251">
        <v>8.02</v>
      </c>
      <c r="J694" s="3249" t="s">
        <v>3230</v>
      </c>
    </row>
    <row r="695" spans="4:10">
      <c r="D695" s="3248">
        <v>691</v>
      </c>
      <c r="E695" s="3610"/>
      <c r="F695" s="3249" t="s">
        <v>4132</v>
      </c>
      <c r="G695" s="3249" t="s">
        <v>3921</v>
      </c>
      <c r="H695" s="3250">
        <v>39.090000000000003</v>
      </c>
      <c r="I695" s="3251">
        <v>8.02</v>
      </c>
      <c r="J695" s="3249" t="s">
        <v>3230</v>
      </c>
    </row>
    <row r="696" spans="4:10">
      <c r="D696" s="3248">
        <v>692</v>
      </c>
      <c r="E696" s="3610"/>
      <c r="F696" s="3249" t="s">
        <v>4132</v>
      </c>
      <c r="G696" s="3249" t="s">
        <v>3922</v>
      </c>
      <c r="H696" s="3250">
        <v>36.74</v>
      </c>
      <c r="I696" s="3251">
        <v>7.54</v>
      </c>
      <c r="J696" s="3249" t="s">
        <v>3230</v>
      </c>
    </row>
    <row r="697" spans="4:10">
      <c r="D697" s="3248">
        <v>693</v>
      </c>
      <c r="E697" s="3610"/>
      <c r="F697" s="3249" t="s">
        <v>4132</v>
      </c>
      <c r="G697" s="3249" t="s">
        <v>3923</v>
      </c>
      <c r="H697" s="3250">
        <v>36.74</v>
      </c>
      <c r="I697" s="3251">
        <v>7.54</v>
      </c>
      <c r="J697" s="3249" t="s">
        <v>3230</v>
      </c>
    </row>
    <row r="698" spans="4:10">
      <c r="D698" s="3248">
        <v>694</v>
      </c>
      <c r="E698" s="3610"/>
      <c r="F698" s="3249" t="s">
        <v>4132</v>
      </c>
      <c r="G698" s="3249" t="s">
        <v>3924</v>
      </c>
      <c r="H698" s="3250">
        <v>36.74</v>
      </c>
      <c r="I698" s="3251">
        <v>7.54</v>
      </c>
      <c r="J698" s="3249" t="s">
        <v>3230</v>
      </c>
    </row>
    <row r="699" spans="4:10">
      <c r="D699" s="3248">
        <v>695</v>
      </c>
      <c r="E699" s="3610"/>
      <c r="F699" s="3249" t="s">
        <v>4132</v>
      </c>
      <c r="G699" s="3249" t="s">
        <v>3925</v>
      </c>
      <c r="H699" s="3250">
        <v>36.74</v>
      </c>
      <c r="I699" s="3251">
        <v>7.54</v>
      </c>
      <c r="J699" s="3249" t="s">
        <v>3230</v>
      </c>
    </row>
    <row r="700" spans="4:10">
      <c r="D700" s="3248">
        <v>696</v>
      </c>
      <c r="E700" s="3610"/>
      <c r="F700" s="3249" t="s">
        <v>4132</v>
      </c>
      <c r="G700" s="3249" t="s">
        <v>3926</v>
      </c>
      <c r="H700" s="3250">
        <v>36.74</v>
      </c>
      <c r="I700" s="3251">
        <v>7.54</v>
      </c>
      <c r="J700" s="3249" t="s">
        <v>3230</v>
      </c>
    </row>
    <row r="701" spans="4:10">
      <c r="D701" s="3248">
        <v>697</v>
      </c>
      <c r="E701" s="3610"/>
      <c r="F701" s="3249" t="s">
        <v>4132</v>
      </c>
      <c r="G701" s="3249" t="s">
        <v>3927</v>
      </c>
      <c r="H701" s="3250">
        <v>37.520000000000003</v>
      </c>
      <c r="I701" s="3251">
        <v>7.7</v>
      </c>
      <c r="J701" s="3249" t="s">
        <v>3230</v>
      </c>
    </row>
    <row r="702" spans="4:10">
      <c r="D702" s="3248">
        <v>698</v>
      </c>
      <c r="E702" s="3610"/>
      <c r="F702" s="3249" t="s">
        <v>4132</v>
      </c>
      <c r="G702" s="3249" t="s">
        <v>3928</v>
      </c>
      <c r="H702" s="3250">
        <v>37.520000000000003</v>
      </c>
      <c r="I702" s="3251">
        <v>7.7</v>
      </c>
      <c r="J702" s="3249" t="s">
        <v>3230</v>
      </c>
    </row>
    <row r="703" spans="4:10">
      <c r="D703" s="3248">
        <v>699</v>
      </c>
      <c r="E703" s="3610"/>
      <c r="F703" s="3249" t="s">
        <v>4132</v>
      </c>
      <c r="G703" s="3249" t="s">
        <v>3929</v>
      </c>
      <c r="H703" s="3250">
        <v>37.520000000000003</v>
      </c>
      <c r="I703" s="3251">
        <v>7.7</v>
      </c>
      <c r="J703" s="3249" t="s">
        <v>3230</v>
      </c>
    </row>
    <row r="704" spans="4:10">
      <c r="D704" s="3248">
        <v>700</v>
      </c>
      <c r="E704" s="3610"/>
      <c r="F704" s="3249" t="s">
        <v>4132</v>
      </c>
      <c r="G704" s="3249" t="s">
        <v>3930</v>
      </c>
      <c r="H704" s="3250">
        <v>37.520000000000003</v>
      </c>
      <c r="I704" s="3251">
        <v>7.7</v>
      </c>
      <c r="J704" s="3249" t="s">
        <v>3230</v>
      </c>
    </row>
    <row r="705" spans="4:10">
      <c r="D705" s="3248">
        <v>701</v>
      </c>
      <c r="E705" s="3610"/>
      <c r="F705" s="3249" t="s">
        <v>4132</v>
      </c>
      <c r="G705" s="3249" t="s">
        <v>3931</v>
      </c>
      <c r="H705" s="3250">
        <v>37.520000000000003</v>
      </c>
      <c r="I705" s="3251">
        <v>7.7</v>
      </c>
      <c r="J705" s="3249" t="s">
        <v>3230</v>
      </c>
    </row>
    <row r="706" spans="4:10">
      <c r="D706" s="3248">
        <v>702</v>
      </c>
      <c r="E706" s="3610"/>
      <c r="F706" s="3249" t="s">
        <v>4132</v>
      </c>
      <c r="G706" s="3249" t="s">
        <v>3932</v>
      </c>
      <c r="H706" s="3250">
        <v>37.520000000000003</v>
      </c>
      <c r="I706" s="3251">
        <v>7.7</v>
      </c>
      <c r="J706" s="3249" t="s">
        <v>3230</v>
      </c>
    </row>
    <row r="707" spans="4:10">
      <c r="D707" s="3248">
        <v>703</v>
      </c>
      <c r="E707" s="3610"/>
      <c r="F707" s="3249" t="s">
        <v>4132</v>
      </c>
      <c r="G707" s="3249" t="s">
        <v>3933</v>
      </c>
      <c r="H707" s="3250">
        <v>37.520000000000003</v>
      </c>
      <c r="I707" s="3251">
        <v>7.7</v>
      </c>
      <c r="J707" s="3249" t="s">
        <v>3230</v>
      </c>
    </row>
    <row r="708" spans="4:10">
      <c r="D708" s="3248">
        <v>704</v>
      </c>
      <c r="E708" s="3610"/>
      <c r="F708" s="3249" t="s">
        <v>4132</v>
      </c>
      <c r="G708" s="3249" t="s">
        <v>3934</v>
      </c>
      <c r="H708" s="3250">
        <v>37.520000000000003</v>
      </c>
      <c r="I708" s="3251">
        <v>7.7</v>
      </c>
      <c r="J708" s="3249" t="s">
        <v>3230</v>
      </c>
    </row>
    <row r="709" spans="4:10">
      <c r="D709" s="3248">
        <v>705</v>
      </c>
      <c r="E709" s="3610"/>
      <c r="F709" s="3249" t="s">
        <v>4132</v>
      </c>
      <c r="G709" s="3249" t="s">
        <v>3935</v>
      </c>
      <c r="H709" s="3250">
        <v>37.520000000000003</v>
      </c>
      <c r="I709" s="3251">
        <v>7.7</v>
      </c>
      <c r="J709" s="3249" t="s">
        <v>3230</v>
      </c>
    </row>
    <row r="710" spans="4:10">
      <c r="D710" s="3248">
        <v>706</v>
      </c>
      <c r="E710" s="3610"/>
      <c r="F710" s="3249" t="s">
        <v>4132</v>
      </c>
      <c r="G710" s="3249" t="s">
        <v>3936</v>
      </c>
      <c r="H710" s="3250">
        <v>37.520000000000003</v>
      </c>
      <c r="I710" s="3251">
        <v>7.7</v>
      </c>
      <c r="J710" s="3249" t="s">
        <v>3230</v>
      </c>
    </row>
    <row r="711" spans="4:10">
      <c r="D711" s="3248">
        <v>707</v>
      </c>
      <c r="E711" s="3610"/>
      <c r="F711" s="3249" t="s">
        <v>4132</v>
      </c>
      <c r="G711" s="3249" t="s">
        <v>3937</v>
      </c>
      <c r="H711" s="3250">
        <v>37.520000000000003</v>
      </c>
      <c r="I711" s="3251">
        <v>7.7</v>
      </c>
      <c r="J711" s="3249" t="s">
        <v>3230</v>
      </c>
    </row>
    <row r="712" spans="4:10">
      <c r="D712" s="3248">
        <v>708</v>
      </c>
      <c r="E712" s="3610"/>
      <c r="F712" s="3249" t="s">
        <v>4132</v>
      </c>
      <c r="G712" s="3249" t="s">
        <v>3938</v>
      </c>
      <c r="H712" s="3250">
        <v>37.520000000000003</v>
      </c>
      <c r="I712" s="3251">
        <v>7.7</v>
      </c>
      <c r="J712" s="3249" t="s">
        <v>3230</v>
      </c>
    </row>
    <row r="713" spans="4:10">
      <c r="D713" s="3248">
        <v>709</v>
      </c>
      <c r="E713" s="3610"/>
      <c r="F713" s="3249" t="s">
        <v>4132</v>
      </c>
      <c r="G713" s="3249" t="s">
        <v>3939</v>
      </c>
      <c r="H713" s="3250">
        <v>37.520000000000003</v>
      </c>
      <c r="I713" s="3251">
        <v>7.7</v>
      </c>
      <c r="J713" s="3249" t="s">
        <v>3230</v>
      </c>
    </row>
    <row r="714" spans="4:10">
      <c r="D714" s="3248">
        <v>710</v>
      </c>
      <c r="E714" s="3610"/>
      <c r="F714" s="3249" t="s">
        <v>4132</v>
      </c>
      <c r="G714" s="3249" t="s">
        <v>3940</v>
      </c>
      <c r="H714" s="3250">
        <v>37.520000000000003</v>
      </c>
      <c r="I714" s="3251">
        <v>7.7</v>
      </c>
      <c r="J714" s="3249" t="s">
        <v>3230</v>
      </c>
    </row>
    <row r="715" spans="4:10">
      <c r="D715" s="3248">
        <v>711</v>
      </c>
      <c r="E715" s="3610"/>
      <c r="F715" s="3249" t="s">
        <v>4132</v>
      </c>
      <c r="G715" s="3249" t="s">
        <v>3941</v>
      </c>
      <c r="H715" s="3250">
        <v>37.520000000000003</v>
      </c>
      <c r="I715" s="3251">
        <v>7.7</v>
      </c>
      <c r="J715" s="3249" t="s">
        <v>3230</v>
      </c>
    </row>
    <row r="716" spans="4:10">
      <c r="D716" s="3248">
        <v>712</v>
      </c>
      <c r="E716" s="3610"/>
      <c r="F716" s="3249" t="s">
        <v>4132</v>
      </c>
      <c r="G716" s="3249" t="s">
        <v>3942</v>
      </c>
      <c r="H716" s="3250">
        <v>35.99</v>
      </c>
      <c r="I716" s="3251">
        <v>7.39</v>
      </c>
      <c r="J716" s="3249" t="s">
        <v>3230</v>
      </c>
    </row>
    <row r="717" spans="4:10">
      <c r="D717" s="3248">
        <v>713</v>
      </c>
      <c r="E717" s="3610"/>
      <c r="F717" s="3249" t="s">
        <v>4132</v>
      </c>
      <c r="G717" s="3249" t="s">
        <v>3943</v>
      </c>
      <c r="H717" s="3250">
        <v>37.49</v>
      </c>
      <c r="I717" s="3251">
        <v>7.69</v>
      </c>
      <c r="J717" s="3249" t="s">
        <v>3230</v>
      </c>
    </row>
    <row r="718" spans="4:10">
      <c r="D718" s="3248">
        <v>714</v>
      </c>
      <c r="E718" s="3610"/>
      <c r="F718" s="3249" t="s">
        <v>4132</v>
      </c>
      <c r="G718" s="3249" t="s">
        <v>3944</v>
      </c>
      <c r="H718" s="3250">
        <v>37.49</v>
      </c>
      <c r="I718" s="3251">
        <v>7.69</v>
      </c>
      <c r="J718" s="3249" t="s">
        <v>3230</v>
      </c>
    </row>
    <row r="719" spans="4:10">
      <c r="D719" s="3248">
        <v>715</v>
      </c>
      <c r="E719" s="3610"/>
      <c r="F719" s="3249" t="s">
        <v>4132</v>
      </c>
      <c r="G719" s="3249" t="s">
        <v>3945</v>
      </c>
      <c r="H719" s="3250">
        <v>35.99</v>
      </c>
      <c r="I719" s="3251">
        <v>7.39</v>
      </c>
      <c r="J719" s="3249" t="s">
        <v>3230</v>
      </c>
    </row>
    <row r="720" spans="4:10">
      <c r="D720" s="3248">
        <v>716</v>
      </c>
      <c r="E720" s="3610"/>
      <c r="F720" s="3249" t="s">
        <v>4132</v>
      </c>
      <c r="G720" s="3249" t="s">
        <v>3946</v>
      </c>
      <c r="H720" s="3250">
        <v>35.99</v>
      </c>
      <c r="I720" s="3251">
        <v>7.39</v>
      </c>
      <c r="J720" s="3249" t="s">
        <v>3230</v>
      </c>
    </row>
    <row r="721" spans="4:10">
      <c r="D721" s="3248">
        <v>717</v>
      </c>
      <c r="E721" s="3610"/>
      <c r="F721" s="3249" t="s">
        <v>4132</v>
      </c>
      <c r="G721" s="3249" t="s">
        <v>3947</v>
      </c>
      <c r="H721" s="3250">
        <v>35.99</v>
      </c>
      <c r="I721" s="3251">
        <v>7.39</v>
      </c>
      <c r="J721" s="3249" t="s">
        <v>3230</v>
      </c>
    </row>
    <row r="722" spans="4:10">
      <c r="D722" s="3248">
        <v>718</v>
      </c>
      <c r="E722" s="3610"/>
      <c r="F722" s="3249" t="s">
        <v>4132</v>
      </c>
      <c r="G722" s="3249" t="s">
        <v>3948</v>
      </c>
      <c r="H722" s="3250">
        <v>35.99</v>
      </c>
      <c r="I722" s="3251">
        <v>7.39</v>
      </c>
      <c r="J722" s="3249" t="s">
        <v>3230</v>
      </c>
    </row>
    <row r="723" spans="4:10">
      <c r="D723" s="3248">
        <v>719</v>
      </c>
      <c r="E723" s="3610"/>
      <c r="F723" s="3249" t="s">
        <v>4132</v>
      </c>
      <c r="G723" s="3249" t="s">
        <v>3949</v>
      </c>
      <c r="H723" s="3250">
        <v>35.99</v>
      </c>
      <c r="I723" s="3251">
        <v>7.39</v>
      </c>
      <c r="J723" s="3249" t="s">
        <v>3230</v>
      </c>
    </row>
    <row r="724" spans="4:10">
      <c r="D724" s="3248">
        <v>720</v>
      </c>
      <c r="E724" s="3610"/>
      <c r="F724" s="3249" t="s">
        <v>4132</v>
      </c>
      <c r="G724" s="3249" t="s">
        <v>3950</v>
      </c>
      <c r="H724" s="3250">
        <v>35.99</v>
      </c>
      <c r="I724" s="3251">
        <v>7.39</v>
      </c>
      <c r="J724" s="3249" t="s">
        <v>3230</v>
      </c>
    </row>
    <row r="725" spans="4:10">
      <c r="D725" s="3248">
        <v>721</v>
      </c>
      <c r="E725" s="3610"/>
      <c r="F725" s="3249" t="s">
        <v>4132</v>
      </c>
      <c r="G725" s="3249" t="s">
        <v>3951</v>
      </c>
      <c r="H725" s="3250">
        <v>35.99</v>
      </c>
      <c r="I725" s="3251">
        <v>7.39</v>
      </c>
      <c r="J725" s="3249" t="s">
        <v>3230</v>
      </c>
    </row>
    <row r="726" spans="4:10">
      <c r="D726" s="3248">
        <v>722</v>
      </c>
      <c r="E726" s="3610"/>
      <c r="F726" s="3249" t="s">
        <v>4132</v>
      </c>
      <c r="G726" s="3249" t="s">
        <v>3952</v>
      </c>
      <c r="H726" s="3250">
        <v>35.99</v>
      </c>
      <c r="I726" s="3251">
        <v>7.39</v>
      </c>
      <c r="J726" s="3249" t="s">
        <v>3230</v>
      </c>
    </row>
    <row r="727" spans="4:10">
      <c r="D727" s="3248">
        <v>723</v>
      </c>
      <c r="E727" s="3610"/>
      <c r="F727" s="3249" t="s">
        <v>4132</v>
      </c>
      <c r="G727" s="3249" t="s">
        <v>3953</v>
      </c>
      <c r="H727" s="3250">
        <v>35.99</v>
      </c>
      <c r="I727" s="3251">
        <v>7.39</v>
      </c>
      <c r="J727" s="3249" t="s">
        <v>3230</v>
      </c>
    </row>
    <row r="728" spans="4:10">
      <c r="D728" s="3248">
        <v>724</v>
      </c>
      <c r="E728" s="3610"/>
      <c r="F728" s="3249" t="s">
        <v>4132</v>
      </c>
      <c r="G728" s="3249" t="s">
        <v>3954</v>
      </c>
      <c r="H728" s="3250">
        <v>33.65</v>
      </c>
      <c r="I728" s="3251">
        <v>6.91</v>
      </c>
      <c r="J728" s="3249" t="s">
        <v>3230</v>
      </c>
    </row>
    <row r="729" spans="4:10">
      <c r="D729" s="3248">
        <v>725</v>
      </c>
      <c r="E729" s="3610"/>
      <c r="F729" s="3249" t="s">
        <v>4132</v>
      </c>
      <c r="G729" s="3249" t="s">
        <v>3955</v>
      </c>
      <c r="H729" s="3250">
        <v>37.49</v>
      </c>
      <c r="I729" s="3251">
        <v>7.69</v>
      </c>
      <c r="J729" s="3249" t="s">
        <v>3230</v>
      </c>
    </row>
    <row r="730" spans="4:10">
      <c r="D730" s="3248">
        <v>726</v>
      </c>
      <c r="E730" s="3610"/>
      <c r="F730" s="3249" t="s">
        <v>4132</v>
      </c>
      <c r="G730" s="3249" t="s">
        <v>3956</v>
      </c>
      <c r="H730" s="3250">
        <v>37.49</v>
      </c>
      <c r="I730" s="3251">
        <v>7.69</v>
      </c>
      <c r="J730" s="3249" t="s">
        <v>3230</v>
      </c>
    </row>
    <row r="731" spans="4:10">
      <c r="D731" s="3248">
        <v>727</v>
      </c>
      <c r="E731" s="3610"/>
      <c r="F731" s="3249" t="s">
        <v>4132</v>
      </c>
      <c r="G731" s="3249" t="s">
        <v>3957</v>
      </c>
      <c r="H731" s="3250">
        <v>37.49</v>
      </c>
      <c r="I731" s="3251">
        <v>7.69</v>
      </c>
      <c r="J731" s="3249" t="s">
        <v>3230</v>
      </c>
    </row>
    <row r="732" spans="4:10">
      <c r="D732" s="3248">
        <v>728</v>
      </c>
      <c r="E732" s="3610"/>
      <c r="F732" s="3249" t="s">
        <v>4132</v>
      </c>
      <c r="G732" s="3249" t="s">
        <v>3958</v>
      </c>
      <c r="H732" s="3250">
        <v>37.49</v>
      </c>
      <c r="I732" s="3251">
        <v>7.69</v>
      </c>
      <c r="J732" s="3249" t="s">
        <v>3230</v>
      </c>
    </row>
    <row r="733" spans="4:10">
      <c r="D733" s="3248">
        <v>729</v>
      </c>
      <c r="E733" s="3610"/>
      <c r="F733" s="3249" t="s">
        <v>4132</v>
      </c>
      <c r="G733" s="3249" t="s">
        <v>3959</v>
      </c>
      <c r="H733" s="3250">
        <v>37.49</v>
      </c>
      <c r="I733" s="3251">
        <v>7.69</v>
      </c>
      <c r="J733" s="3249" t="s">
        <v>3230</v>
      </c>
    </row>
    <row r="734" spans="4:10">
      <c r="D734" s="3248">
        <v>730</v>
      </c>
      <c r="E734" s="3610"/>
      <c r="F734" s="3249" t="s">
        <v>4132</v>
      </c>
      <c r="G734" s="3249" t="s">
        <v>3960</v>
      </c>
      <c r="H734" s="3250">
        <v>37.49</v>
      </c>
      <c r="I734" s="3251">
        <v>7.69</v>
      </c>
      <c r="J734" s="3249" t="s">
        <v>3230</v>
      </c>
    </row>
    <row r="735" spans="4:10">
      <c r="D735" s="3248">
        <v>731</v>
      </c>
      <c r="E735" s="3610"/>
      <c r="F735" s="3249" t="s">
        <v>4132</v>
      </c>
      <c r="G735" s="3249" t="s">
        <v>3961</v>
      </c>
      <c r="H735" s="3250">
        <v>37.49</v>
      </c>
      <c r="I735" s="3251">
        <v>7.69</v>
      </c>
      <c r="J735" s="3249" t="s">
        <v>3230</v>
      </c>
    </row>
    <row r="736" spans="4:10">
      <c r="D736" s="3248">
        <v>732</v>
      </c>
      <c r="E736" s="3610"/>
      <c r="F736" s="3249" t="s">
        <v>4132</v>
      </c>
      <c r="G736" s="3249" t="s">
        <v>3962</v>
      </c>
      <c r="H736" s="3250">
        <v>37.49</v>
      </c>
      <c r="I736" s="3251">
        <v>7.69</v>
      </c>
      <c r="J736" s="3249" t="s">
        <v>3230</v>
      </c>
    </row>
    <row r="737" spans="4:10">
      <c r="D737" s="3248">
        <v>733</v>
      </c>
      <c r="E737" s="3610"/>
      <c r="F737" s="3249" t="s">
        <v>4132</v>
      </c>
      <c r="G737" s="3249" t="s">
        <v>3963</v>
      </c>
      <c r="H737" s="3250">
        <v>37.49</v>
      </c>
      <c r="I737" s="3251">
        <v>7.69</v>
      </c>
      <c r="J737" s="3249" t="s">
        <v>3230</v>
      </c>
    </row>
    <row r="738" spans="4:10">
      <c r="D738" s="3248">
        <v>734</v>
      </c>
      <c r="E738" s="3610"/>
      <c r="F738" s="3249" t="s">
        <v>4132</v>
      </c>
      <c r="G738" s="3249" t="s">
        <v>3964</v>
      </c>
      <c r="H738" s="3250">
        <v>37.520000000000003</v>
      </c>
      <c r="I738" s="3251">
        <v>7.7</v>
      </c>
      <c r="J738" s="3249" t="s">
        <v>3230</v>
      </c>
    </row>
    <row r="739" spans="4:10">
      <c r="D739" s="3248">
        <v>735</v>
      </c>
      <c r="E739" s="3610"/>
      <c r="F739" s="3249" t="s">
        <v>4132</v>
      </c>
      <c r="G739" s="3249" t="s">
        <v>3965</v>
      </c>
      <c r="H739" s="3250">
        <v>37.520000000000003</v>
      </c>
      <c r="I739" s="3251">
        <v>7.7</v>
      </c>
      <c r="J739" s="3249" t="s">
        <v>3230</v>
      </c>
    </row>
    <row r="740" spans="4:10">
      <c r="D740" s="3248">
        <v>736</v>
      </c>
      <c r="E740" s="3610"/>
      <c r="F740" s="3249" t="s">
        <v>4132</v>
      </c>
      <c r="G740" s="3249" t="s">
        <v>3966</v>
      </c>
      <c r="H740" s="3250">
        <v>37.520000000000003</v>
      </c>
      <c r="I740" s="3251">
        <v>7.7</v>
      </c>
      <c r="J740" s="3249" t="s">
        <v>3230</v>
      </c>
    </row>
    <row r="741" spans="4:10">
      <c r="D741" s="3248">
        <v>737</v>
      </c>
      <c r="E741" s="3610"/>
      <c r="F741" s="3249" t="s">
        <v>4132</v>
      </c>
      <c r="G741" s="3249" t="s">
        <v>3967</v>
      </c>
      <c r="H741" s="3250">
        <v>39.090000000000003</v>
      </c>
      <c r="I741" s="3251">
        <v>8.02</v>
      </c>
      <c r="J741" s="3249" t="s">
        <v>3230</v>
      </c>
    </row>
    <row r="742" spans="4:10">
      <c r="D742" s="3248">
        <v>738</v>
      </c>
      <c r="E742" s="3610"/>
      <c r="F742" s="3249" t="s">
        <v>4132</v>
      </c>
      <c r="G742" s="3249" t="s">
        <v>3968</v>
      </c>
      <c r="H742" s="3250">
        <v>39.090000000000003</v>
      </c>
      <c r="I742" s="3251">
        <v>8.02</v>
      </c>
      <c r="J742" s="3249" t="s">
        <v>3230</v>
      </c>
    </row>
    <row r="743" spans="4:10">
      <c r="D743" s="3248">
        <v>739</v>
      </c>
      <c r="E743" s="3610"/>
      <c r="F743" s="3249" t="s">
        <v>4132</v>
      </c>
      <c r="G743" s="3249" t="s">
        <v>3969</v>
      </c>
      <c r="H743" s="3250">
        <v>46.91</v>
      </c>
      <c r="I743" s="3251">
        <v>9.6300000000000008</v>
      </c>
      <c r="J743" s="3249" t="s">
        <v>3230</v>
      </c>
    </row>
    <row r="744" spans="4:10">
      <c r="D744" s="3248">
        <v>740</v>
      </c>
      <c r="E744" s="3610"/>
      <c r="F744" s="3249" t="s">
        <v>4132</v>
      </c>
      <c r="G744" s="3249" t="s">
        <v>3970</v>
      </c>
      <c r="H744" s="3250">
        <v>46.91</v>
      </c>
      <c r="I744" s="3251">
        <v>9.6300000000000008</v>
      </c>
      <c r="J744" s="3249" t="s">
        <v>3230</v>
      </c>
    </row>
    <row r="745" spans="4:10">
      <c r="D745" s="3248">
        <v>741</v>
      </c>
      <c r="E745" s="3610"/>
      <c r="F745" s="3249" t="s">
        <v>4132</v>
      </c>
      <c r="G745" s="3249" t="s">
        <v>3971</v>
      </c>
      <c r="H745" s="3250">
        <v>46.91</v>
      </c>
      <c r="I745" s="3251">
        <v>9.6300000000000008</v>
      </c>
      <c r="J745" s="3249" t="s">
        <v>3230</v>
      </c>
    </row>
    <row r="746" spans="4:10">
      <c r="D746" s="3248">
        <v>742</v>
      </c>
      <c r="E746" s="3610"/>
      <c r="F746" s="3249" t="s">
        <v>4132</v>
      </c>
      <c r="G746" s="3249" t="s">
        <v>3972</v>
      </c>
      <c r="H746" s="3250">
        <v>46.91</v>
      </c>
      <c r="I746" s="3251">
        <v>9.6300000000000008</v>
      </c>
      <c r="J746" s="3249" t="s">
        <v>3230</v>
      </c>
    </row>
    <row r="747" spans="4:10">
      <c r="D747" s="3248">
        <v>743</v>
      </c>
      <c r="E747" s="3610"/>
      <c r="F747" s="3249" t="s">
        <v>4132</v>
      </c>
      <c r="G747" s="3249" t="s">
        <v>3973</v>
      </c>
      <c r="H747" s="3250">
        <v>46.91</v>
      </c>
      <c r="I747" s="3251">
        <v>9.6300000000000008</v>
      </c>
      <c r="J747" s="3249" t="s">
        <v>3230</v>
      </c>
    </row>
    <row r="748" spans="4:10">
      <c r="D748" s="3248">
        <v>744</v>
      </c>
      <c r="E748" s="3610"/>
      <c r="F748" s="3249" t="s">
        <v>4132</v>
      </c>
      <c r="G748" s="3249" t="s">
        <v>3974</v>
      </c>
      <c r="H748" s="3250">
        <v>46.91</v>
      </c>
      <c r="I748" s="3251">
        <v>9.6300000000000008</v>
      </c>
      <c r="J748" s="3249" t="s">
        <v>3230</v>
      </c>
    </row>
    <row r="749" spans="4:10">
      <c r="D749" s="3248">
        <v>745</v>
      </c>
      <c r="E749" s="3610"/>
      <c r="F749" s="3249" t="s">
        <v>4132</v>
      </c>
      <c r="G749" s="3249" t="s">
        <v>3975</v>
      </c>
      <c r="H749" s="3250">
        <v>46.91</v>
      </c>
      <c r="I749" s="3251">
        <v>9.6300000000000008</v>
      </c>
      <c r="J749" s="3249" t="s">
        <v>3230</v>
      </c>
    </row>
    <row r="750" spans="4:10">
      <c r="D750" s="3248">
        <v>746</v>
      </c>
      <c r="E750" s="3610"/>
      <c r="F750" s="3249" t="s">
        <v>4132</v>
      </c>
      <c r="G750" s="3249" t="s">
        <v>3976</v>
      </c>
      <c r="H750" s="3250">
        <v>48.78</v>
      </c>
      <c r="I750" s="3251">
        <v>10.01</v>
      </c>
      <c r="J750" s="3249" t="s">
        <v>3230</v>
      </c>
    </row>
    <row r="751" spans="4:10">
      <c r="D751" s="3248">
        <v>747</v>
      </c>
      <c r="E751" s="3610"/>
      <c r="F751" s="3249" t="s">
        <v>4132</v>
      </c>
      <c r="G751" s="3249" t="s">
        <v>3977</v>
      </c>
      <c r="H751" s="3250">
        <v>37.520000000000003</v>
      </c>
      <c r="I751" s="3251">
        <v>7.7</v>
      </c>
      <c r="J751" s="3249" t="s">
        <v>3230</v>
      </c>
    </row>
    <row r="752" spans="4:10">
      <c r="D752" s="3248">
        <v>748</v>
      </c>
      <c r="E752" s="3610"/>
      <c r="F752" s="3249" t="s">
        <v>4132</v>
      </c>
      <c r="G752" s="3249" t="s">
        <v>3978</v>
      </c>
      <c r="H752" s="3250">
        <v>37.520000000000003</v>
      </c>
      <c r="I752" s="3251">
        <v>7.7</v>
      </c>
      <c r="J752" s="3249" t="s">
        <v>3230</v>
      </c>
    </row>
    <row r="753" spans="4:10">
      <c r="D753" s="3248">
        <v>749</v>
      </c>
      <c r="E753" s="3610"/>
      <c r="F753" s="3249" t="s">
        <v>4132</v>
      </c>
      <c r="G753" s="3249" t="s">
        <v>3979</v>
      </c>
      <c r="H753" s="3250">
        <v>37.520000000000003</v>
      </c>
      <c r="I753" s="3251">
        <v>7.7</v>
      </c>
      <c r="J753" s="3249" t="s">
        <v>3230</v>
      </c>
    </row>
    <row r="754" spans="4:10">
      <c r="D754" s="3248">
        <v>750</v>
      </c>
      <c r="E754" s="3610"/>
      <c r="F754" s="3249" t="s">
        <v>4132</v>
      </c>
      <c r="G754" s="3249" t="s">
        <v>3980</v>
      </c>
      <c r="H754" s="3250">
        <v>37.520000000000003</v>
      </c>
      <c r="I754" s="3251">
        <v>7.7</v>
      </c>
      <c r="J754" s="3249" t="s">
        <v>3230</v>
      </c>
    </row>
    <row r="755" spans="4:10">
      <c r="D755" s="3248">
        <v>751</v>
      </c>
      <c r="E755" s="3610"/>
      <c r="F755" s="3249" t="s">
        <v>4132</v>
      </c>
      <c r="G755" s="3249" t="s">
        <v>3981</v>
      </c>
      <c r="H755" s="3250">
        <v>37.520000000000003</v>
      </c>
      <c r="I755" s="3251">
        <v>7.7</v>
      </c>
      <c r="J755" s="3249" t="s">
        <v>3230</v>
      </c>
    </row>
    <row r="756" spans="4:10">
      <c r="D756" s="3248">
        <v>752</v>
      </c>
      <c r="E756" s="3610"/>
      <c r="F756" s="3249" t="s">
        <v>4132</v>
      </c>
      <c r="G756" s="3249" t="s">
        <v>3982</v>
      </c>
      <c r="H756" s="3250">
        <v>37.520000000000003</v>
      </c>
      <c r="I756" s="3251">
        <v>7.7</v>
      </c>
      <c r="J756" s="3249" t="s">
        <v>3230</v>
      </c>
    </row>
    <row r="757" spans="4:10">
      <c r="D757" s="3248">
        <v>753</v>
      </c>
      <c r="E757" s="3610"/>
      <c r="F757" s="3249" t="s">
        <v>4132</v>
      </c>
      <c r="G757" s="3249" t="s">
        <v>3983</v>
      </c>
      <c r="H757" s="3250">
        <v>37.520000000000003</v>
      </c>
      <c r="I757" s="3251">
        <v>7.7</v>
      </c>
      <c r="J757" s="3249" t="s">
        <v>3230</v>
      </c>
    </row>
    <row r="758" spans="4:10">
      <c r="D758" s="3248">
        <v>754</v>
      </c>
      <c r="E758" s="3610"/>
      <c r="F758" s="3249" t="s">
        <v>4132</v>
      </c>
      <c r="G758" s="3249" t="s">
        <v>3984</v>
      </c>
      <c r="H758" s="3250">
        <v>37.520000000000003</v>
      </c>
      <c r="I758" s="3251">
        <v>7.7</v>
      </c>
      <c r="J758" s="3249" t="s">
        <v>3230</v>
      </c>
    </row>
    <row r="759" spans="4:10">
      <c r="D759" s="3248">
        <v>755</v>
      </c>
      <c r="E759" s="3610"/>
      <c r="F759" s="3249" t="s">
        <v>4132</v>
      </c>
      <c r="G759" s="3249" t="s">
        <v>3985</v>
      </c>
      <c r="H759" s="3250">
        <v>37.520000000000003</v>
      </c>
      <c r="I759" s="3251">
        <v>7.7</v>
      </c>
      <c r="J759" s="3249" t="s">
        <v>3230</v>
      </c>
    </row>
    <row r="760" spans="4:10">
      <c r="D760" s="3248">
        <v>756</v>
      </c>
      <c r="E760" s="3610"/>
      <c r="F760" s="3249" t="s">
        <v>4132</v>
      </c>
      <c r="G760" s="3249" t="s">
        <v>3986</v>
      </c>
      <c r="H760" s="3250">
        <v>37.520000000000003</v>
      </c>
      <c r="I760" s="3251">
        <v>7.7</v>
      </c>
      <c r="J760" s="3249" t="s">
        <v>3230</v>
      </c>
    </row>
    <row r="761" spans="4:10">
      <c r="D761" s="3248">
        <v>757</v>
      </c>
      <c r="E761" s="3610"/>
      <c r="F761" s="3249" t="s">
        <v>4132</v>
      </c>
      <c r="G761" s="3249" t="s">
        <v>3987</v>
      </c>
      <c r="H761" s="3250">
        <v>37.520000000000003</v>
      </c>
      <c r="I761" s="3251">
        <v>7.7</v>
      </c>
      <c r="J761" s="3249" t="s">
        <v>3230</v>
      </c>
    </row>
    <row r="762" spans="4:10">
      <c r="D762" s="3248">
        <v>758</v>
      </c>
      <c r="E762" s="3610"/>
      <c r="F762" s="3249" t="s">
        <v>4132</v>
      </c>
      <c r="G762" s="3249" t="s">
        <v>3988</v>
      </c>
      <c r="H762" s="3250">
        <v>39.090000000000003</v>
      </c>
      <c r="I762" s="3251">
        <v>8.02</v>
      </c>
      <c r="J762" s="3249" t="s">
        <v>3230</v>
      </c>
    </row>
    <row r="763" spans="4:10">
      <c r="D763" s="3248">
        <v>759</v>
      </c>
      <c r="E763" s="3610"/>
      <c r="F763" s="3249" t="s">
        <v>4132</v>
      </c>
      <c r="G763" s="3249" t="s">
        <v>3989</v>
      </c>
      <c r="H763" s="3250">
        <v>39.090000000000003</v>
      </c>
      <c r="I763" s="3251">
        <v>8.02</v>
      </c>
      <c r="J763" s="3249" t="s">
        <v>3230</v>
      </c>
    </row>
    <row r="764" spans="4:10">
      <c r="D764" s="3248">
        <v>760</v>
      </c>
      <c r="E764" s="3610"/>
      <c r="F764" s="3249" t="s">
        <v>4132</v>
      </c>
      <c r="G764" s="3249" t="s">
        <v>3990</v>
      </c>
      <c r="H764" s="3250">
        <v>39.090000000000003</v>
      </c>
      <c r="I764" s="3251">
        <v>8.02</v>
      </c>
      <c r="J764" s="3249" t="s">
        <v>3230</v>
      </c>
    </row>
    <row r="765" spans="4:10">
      <c r="D765" s="3248">
        <v>761</v>
      </c>
      <c r="E765" s="3610"/>
      <c r="F765" s="3249" t="s">
        <v>4132</v>
      </c>
      <c r="G765" s="3249" t="s">
        <v>3991</v>
      </c>
      <c r="H765" s="3250">
        <v>39.090000000000003</v>
      </c>
      <c r="I765" s="3251">
        <v>8.02</v>
      </c>
      <c r="J765" s="3249" t="s">
        <v>3230</v>
      </c>
    </row>
    <row r="766" spans="4:10">
      <c r="D766" s="3248">
        <v>762</v>
      </c>
      <c r="E766" s="3610"/>
      <c r="F766" s="3249" t="s">
        <v>4132</v>
      </c>
      <c r="G766" s="3249" t="s">
        <v>3992</v>
      </c>
      <c r="H766" s="3250">
        <v>39.090000000000003</v>
      </c>
      <c r="I766" s="3251">
        <v>8.02</v>
      </c>
      <c r="J766" s="3249" t="s">
        <v>3230</v>
      </c>
    </row>
    <row r="767" spans="4:10">
      <c r="D767" s="3248">
        <v>763</v>
      </c>
      <c r="E767" s="3610"/>
      <c r="F767" s="3249" t="s">
        <v>4132</v>
      </c>
      <c r="G767" s="3249" t="s">
        <v>3993</v>
      </c>
      <c r="H767" s="3250">
        <v>39.090000000000003</v>
      </c>
      <c r="I767" s="3251">
        <v>8.02</v>
      </c>
      <c r="J767" s="3249" t="s">
        <v>3230</v>
      </c>
    </row>
    <row r="768" spans="4:10">
      <c r="D768" s="3248">
        <v>764</v>
      </c>
      <c r="E768" s="3610"/>
      <c r="F768" s="3249" t="s">
        <v>4132</v>
      </c>
      <c r="G768" s="3249" t="s">
        <v>3994</v>
      </c>
      <c r="H768" s="3250">
        <v>39.090000000000003</v>
      </c>
      <c r="I768" s="3251">
        <v>8.02</v>
      </c>
      <c r="J768" s="3249" t="s">
        <v>3230</v>
      </c>
    </row>
    <row r="769" spans="4:10">
      <c r="D769" s="3248">
        <v>765</v>
      </c>
      <c r="E769" s="3610"/>
      <c r="F769" s="3249" t="s">
        <v>4132</v>
      </c>
      <c r="G769" s="3249" t="s">
        <v>3995</v>
      </c>
      <c r="H769" s="3250">
        <v>39.090000000000003</v>
      </c>
      <c r="I769" s="3251">
        <v>8.02</v>
      </c>
      <c r="J769" s="3249" t="s">
        <v>3230</v>
      </c>
    </row>
    <row r="770" spans="4:10">
      <c r="D770" s="3248">
        <v>766</v>
      </c>
      <c r="E770" s="3610"/>
      <c r="F770" s="3249" t="s">
        <v>4132</v>
      </c>
      <c r="G770" s="3249" t="s">
        <v>3996</v>
      </c>
      <c r="H770" s="3250">
        <v>39.090000000000003</v>
      </c>
      <c r="I770" s="3251">
        <v>8.02</v>
      </c>
      <c r="J770" s="3249" t="s">
        <v>3230</v>
      </c>
    </row>
    <row r="771" spans="4:10">
      <c r="D771" s="3248">
        <v>767</v>
      </c>
      <c r="E771" s="3610"/>
      <c r="F771" s="3249" t="s">
        <v>4132</v>
      </c>
      <c r="G771" s="3249" t="s">
        <v>3997</v>
      </c>
      <c r="H771" s="3250">
        <v>36.74</v>
      </c>
      <c r="I771" s="3251">
        <v>7.54</v>
      </c>
      <c r="J771" s="3249" t="s">
        <v>3230</v>
      </c>
    </row>
    <row r="772" spans="4:10">
      <c r="D772" s="3248">
        <v>768</v>
      </c>
      <c r="E772" s="3610"/>
      <c r="F772" s="3249" t="s">
        <v>4132</v>
      </c>
      <c r="G772" s="3249" t="s">
        <v>3998</v>
      </c>
      <c r="H772" s="3250">
        <v>36.74</v>
      </c>
      <c r="I772" s="3251">
        <v>7.54</v>
      </c>
      <c r="J772" s="3249" t="s">
        <v>3230</v>
      </c>
    </row>
    <row r="773" spans="4:10">
      <c r="D773" s="3248">
        <v>769</v>
      </c>
      <c r="E773" s="3610"/>
      <c r="F773" s="3249" t="s">
        <v>4132</v>
      </c>
      <c r="G773" s="3249" t="s">
        <v>3999</v>
      </c>
      <c r="H773" s="3250">
        <v>36.74</v>
      </c>
      <c r="I773" s="3251">
        <v>7.54</v>
      </c>
      <c r="J773" s="3249" t="s">
        <v>3230</v>
      </c>
    </row>
    <row r="774" spans="4:10">
      <c r="D774" s="3248">
        <v>770</v>
      </c>
      <c r="E774" s="3610"/>
      <c r="F774" s="3249" t="s">
        <v>4132</v>
      </c>
      <c r="G774" s="3249" t="s">
        <v>4000</v>
      </c>
      <c r="H774" s="3250">
        <v>36.74</v>
      </c>
      <c r="I774" s="3251">
        <v>7.54</v>
      </c>
      <c r="J774" s="3249" t="s">
        <v>3230</v>
      </c>
    </row>
    <row r="775" spans="4:10">
      <c r="D775" s="3248">
        <v>771</v>
      </c>
      <c r="E775" s="3610"/>
      <c r="F775" s="3249" t="s">
        <v>4132</v>
      </c>
      <c r="G775" s="3249" t="s">
        <v>4001</v>
      </c>
      <c r="H775" s="3250">
        <v>36.74</v>
      </c>
      <c r="I775" s="3251">
        <v>7.54</v>
      </c>
      <c r="J775" s="3249" t="s">
        <v>3230</v>
      </c>
    </row>
    <row r="776" spans="4:10">
      <c r="D776" s="3248">
        <v>772</v>
      </c>
      <c r="E776" s="3610"/>
      <c r="F776" s="3249" t="s">
        <v>4132</v>
      </c>
      <c r="G776" s="3249" t="s">
        <v>4002</v>
      </c>
      <c r="H776" s="3250">
        <v>36.74</v>
      </c>
      <c r="I776" s="3251">
        <v>7.54</v>
      </c>
      <c r="J776" s="3249" t="s">
        <v>3230</v>
      </c>
    </row>
    <row r="777" spans="4:10">
      <c r="D777" s="3248">
        <v>773</v>
      </c>
      <c r="E777" s="3610"/>
      <c r="F777" s="3249" t="s">
        <v>4132</v>
      </c>
      <c r="G777" s="3249" t="s">
        <v>4003</v>
      </c>
      <c r="H777" s="3250">
        <v>36.74</v>
      </c>
      <c r="I777" s="3251">
        <v>7.54</v>
      </c>
      <c r="J777" s="3249" t="s">
        <v>3230</v>
      </c>
    </row>
    <row r="778" spans="4:10">
      <c r="D778" s="3248">
        <v>774</v>
      </c>
      <c r="E778" s="3610"/>
      <c r="F778" s="3249" t="s">
        <v>4132</v>
      </c>
      <c r="G778" s="3249" t="s">
        <v>4004</v>
      </c>
      <c r="H778" s="3250">
        <v>36.74</v>
      </c>
      <c r="I778" s="3251">
        <v>7.54</v>
      </c>
      <c r="J778" s="3249" t="s">
        <v>3230</v>
      </c>
    </row>
    <row r="779" spans="4:10">
      <c r="D779" s="3248">
        <v>775</v>
      </c>
      <c r="E779" s="3610"/>
      <c r="F779" s="3249" t="s">
        <v>4132</v>
      </c>
      <c r="G779" s="3249" t="s">
        <v>4005</v>
      </c>
      <c r="H779" s="3250">
        <v>36.74</v>
      </c>
      <c r="I779" s="3251">
        <v>7.54</v>
      </c>
      <c r="J779" s="3249" t="s">
        <v>3230</v>
      </c>
    </row>
    <row r="780" spans="4:10">
      <c r="D780" s="3248">
        <v>776</v>
      </c>
      <c r="E780" s="3610"/>
      <c r="F780" s="3249" t="s">
        <v>4132</v>
      </c>
      <c r="G780" s="3249" t="s">
        <v>4006</v>
      </c>
      <c r="H780" s="3250">
        <v>39.090000000000003</v>
      </c>
      <c r="I780" s="3251">
        <v>8.02</v>
      </c>
      <c r="J780" s="3249" t="s">
        <v>3230</v>
      </c>
    </row>
    <row r="781" spans="4:10">
      <c r="D781" s="3248">
        <v>777</v>
      </c>
      <c r="E781" s="3610"/>
      <c r="F781" s="3249" t="s">
        <v>4132</v>
      </c>
      <c r="G781" s="3249" t="s">
        <v>4007</v>
      </c>
      <c r="H781" s="3250">
        <v>39.090000000000003</v>
      </c>
      <c r="I781" s="3251">
        <v>8.02</v>
      </c>
      <c r="J781" s="3249" t="s">
        <v>3230</v>
      </c>
    </row>
    <row r="782" spans="4:10">
      <c r="D782" s="3248">
        <v>778</v>
      </c>
      <c r="E782" s="3610"/>
      <c r="F782" s="3249" t="s">
        <v>4132</v>
      </c>
      <c r="G782" s="3249" t="s">
        <v>4008</v>
      </c>
      <c r="H782" s="3250">
        <v>39.090000000000003</v>
      </c>
      <c r="I782" s="3251">
        <v>8.02</v>
      </c>
      <c r="J782" s="3249" t="s">
        <v>3230</v>
      </c>
    </row>
    <row r="783" spans="4:10">
      <c r="D783" s="3248">
        <v>779</v>
      </c>
      <c r="E783" s="3610"/>
      <c r="F783" s="3249" t="s">
        <v>4132</v>
      </c>
      <c r="G783" s="3249" t="s">
        <v>4009</v>
      </c>
      <c r="H783" s="3250">
        <v>39.090000000000003</v>
      </c>
      <c r="I783" s="3251">
        <v>8.02</v>
      </c>
      <c r="J783" s="3249" t="s">
        <v>3230</v>
      </c>
    </row>
    <row r="784" spans="4:10">
      <c r="D784" s="3248">
        <v>780</v>
      </c>
      <c r="E784" s="3610"/>
      <c r="F784" s="3249" t="s">
        <v>4132</v>
      </c>
      <c r="G784" s="3249" t="s">
        <v>4010</v>
      </c>
      <c r="H784" s="3250">
        <v>39.090000000000003</v>
      </c>
      <c r="I784" s="3251">
        <v>8.02</v>
      </c>
      <c r="J784" s="3249" t="s">
        <v>3230</v>
      </c>
    </row>
    <row r="785" spans="4:10">
      <c r="D785" s="3248">
        <v>781</v>
      </c>
      <c r="E785" s="3610"/>
      <c r="F785" s="3249" t="s">
        <v>4132</v>
      </c>
      <c r="G785" s="3249" t="s">
        <v>4011</v>
      </c>
      <c r="H785" s="3250">
        <v>39.090000000000003</v>
      </c>
      <c r="I785" s="3251">
        <v>8.02</v>
      </c>
      <c r="J785" s="3249" t="s">
        <v>3230</v>
      </c>
    </row>
    <row r="786" spans="4:10">
      <c r="D786" s="3248">
        <v>782</v>
      </c>
      <c r="E786" s="3610"/>
      <c r="F786" s="3249" t="s">
        <v>4132</v>
      </c>
      <c r="G786" s="3249" t="s">
        <v>4012</v>
      </c>
      <c r="H786" s="3250">
        <v>39.090000000000003</v>
      </c>
      <c r="I786" s="3251">
        <v>8.02</v>
      </c>
      <c r="J786" s="3249" t="s">
        <v>3230</v>
      </c>
    </row>
    <row r="787" spans="4:10">
      <c r="D787" s="3248">
        <v>783</v>
      </c>
      <c r="E787" s="3610"/>
      <c r="F787" s="3249" t="s">
        <v>4132</v>
      </c>
      <c r="G787" s="3249" t="s">
        <v>4013</v>
      </c>
      <c r="H787" s="3250">
        <v>36.74</v>
      </c>
      <c r="I787" s="3251">
        <v>7.54</v>
      </c>
      <c r="J787" s="3249" t="s">
        <v>3230</v>
      </c>
    </row>
    <row r="788" spans="4:10">
      <c r="D788" s="3248">
        <v>784</v>
      </c>
      <c r="E788" s="3610"/>
      <c r="F788" s="3249" t="s">
        <v>4132</v>
      </c>
      <c r="G788" s="3249" t="s">
        <v>4014</v>
      </c>
      <c r="H788" s="3250">
        <v>36.74</v>
      </c>
      <c r="I788" s="3251">
        <v>7.54</v>
      </c>
      <c r="J788" s="3249" t="s">
        <v>3230</v>
      </c>
    </row>
    <row r="789" spans="4:10">
      <c r="D789" s="3248">
        <v>785</v>
      </c>
      <c r="E789" s="3610"/>
      <c r="F789" s="3249" t="s">
        <v>4132</v>
      </c>
      <c r="G789" s="3249" t="s">
        <v>4015</v>
      </c>
      <c r="H789" s="3250">
        <v>36.770000000000003</v>
      </c>
      <c r="I789" s="3251">
        <v>7.55</v>
      </c>
      <c r="J789" s="3249" t="s">
        <v>3230</v>
      </c>
    </row>
    <row r="790" spans="4:10">
      <c r="D790" s="3248">
        <v>786</v>
      </c>
      <c r="E790" s="3610"/>
      <c r="F790" s="3249" t="s">
        <v>4132</v>
      </c>
      <c r="G790" s="3249" t="s">
        <v>4016</v>
      </c>
      <c r="H790" s="3250">
        <v>36.770000000000003</v>
      </c>
      <c r="I790" s="3251">
        <v>7.55</v>
      </c>
      <c r="J790" s="3249" t="s">
        <v>3230</v>
      </c>
    </row>
    <row r="791" spans="4:10">
      <c r="D791" s="3248">
        <v>787</v>
      </c>
      <c r="E791" s="3610"/>
      <c r="F791" s="3249" t="s">
        <v>4132</v>
      </c>
      <c r="G791" s="3249" t="s">
        <v>4017</v>
      </c>
      <c r="H791" s="3250">
        <v>36.770000000000003</v>
      </c>
      <c r="I791" s="3251">
        <v>7.55</v>
      </c>
      <c r="J791" s="3249" t="s">
        <v>3230</v>
      </c>
    </row>
    <row r="792" spans="4:10">
      <c r="D792" s="3248">
        <v>788</v>
      </c>
      <c r="E792" s="3610"/>
      <c r="F792" s="3249" t="s">
        <v>4132</v>
      </c>
      <c r="G792" s="3249" t="s">
        <v>4018</v>
      </c>
      <c r="H792" s="3250">
        <v>40.65</v>
      </c>
      <c r="I792" s="3251">
        <v>8.34</v>
      </c>
      <c r="J792" s="3249" t="s">
        <v>3230</v>
      </c>
    </row>
    <row r="793" spans="4:10">
      <c r="D793" s="3248">
        <v>789</v>
      </c>
      <c r="E793" s="3610"/>
      <c r="F793" s="3249" t="s">
        <v>4132</v>
      </c>
      <c r="G793" s="3249" t="s">
        <v>4019</v>
      </c>
      <c r="H793" s="3250">
        <v>37.520000000000003</v>
      </c>
      <c r="I793" s="3251">
        <v>7.7</v>
      </c>
      <c r="J793" s="3249" t="s">
        <v>3230</v>
      </c>
    </row>
    <row r="794" spans="4:10">
      <c r="D794" s="3248">
        <v>790</v>
      </c>
      <c r="E794" s="3610"/>
      <c r="F794" s="3249" t="s">
        <v>4132</v>
      </c>
      <c r="G794" s="3249" t="s">
        <v>4020</v>
      </c>
      <c r="H794" s="3250">
        <v>37.520000000000003</v>
      </c>
      <c r="I794" s="3251">
        <v>7.7</v>
      </c>
      <c r="J794" s="3249" t="s">
        <v>3230</v>
      </c>
    </row>
    <row r="795" spans="4:10">
      <c r="D795" s="3248">
        <v>791</v>
      </c>
      <c r="E795" s="3610"/>
      <c r="F795" s="3249" t="s">
        <v>4132</v>
      </c>
      <c r="G795" s="3249" t="s">
        <v>4021</v>
      </c>
      <c r="H795" s="3250">
        <v>37.520000000000003</v>
      </c>
      <c r="I795" s="3251">
        <v>7.7</v>
      </c>
      <c r="J795" s="3249" t="s">
        <v>3230</v>
      </c>
    </row>
    <row r="796" spans="4:10">
      <c r="D796" s="3248">
        <v>792</v>
      </c>
      <c r="E796" s="3610"/>
      <c r="F796" s="3249" t="s">
        <v>4132</v>
      </c>
      <c r="G796" s="3249" t="s">
        <v>4022</v>
      </c>
      <c r="H796" s="3250">
        <v>37.520000000000003</v>
      </c>
      <c r="I796" s="3251">
        <v>7.7</v>
      </c>
      <c r="J796" s="3249" t="s">
        <v>3230</v>
      </c>
    </row>
    <row r="797" spans="4:10">
      <c r="D797" s="3248">
        <v>793</v>
      </c>
      <c r="E797" s="3610"/>
      <c r="F797" s="3249" t="s">
        <v>4132</v>
      </c>
      <c r="G797" s="3249" t="s">
        <v>4023</v>
      </c>
      <c r="H797" s="3250">
        <v>37.520000000000003</v>
      </c>
      <c r="I797" s="3251">
        <v>7.7</v>
      </c>
      <c r="J797" s="3249" t="s">
        <v>3230</v>
      </c>
    </row>
    <row r="798" spans="4:10">
      <c r="D798" s="3248">
        <v>794</v>
      </c>
      <c r="E798" s="3610"/>
      <c r="F798" s="3249" t="s">
        <v>4132</v>
      </c>
      <c r="G798" s="3249" t="s">
        <v>4024</v>
      </c>
      <c r="H798" s="3250">
        <v>37.520000000000003</v>
      </c>
      <c r="I798" s="3251">
        <v>7.7</v>
      </c>
      <c r="J798" s="3249" t="s">
        <v>3230</v>
      </c>
    </row>
    <row r="799" spans="4:10">
      <c r="D799" s="3248">
        <v>795</v>
      </c>
      <c r="E799" s="3610"/>
      <c r="F799" s="3249" t="s">
        <v>4132</v>
      </c>
      <c r="G799" s="3249" t="s">
        <v>4025</v>
      </c>
      <c r="H799" s="3250">
        <v>37.520000000000003</v>
      </c>
      <c r="I799" s="3251">
        <v>7.7</v>
      </c>
      <c r="J799" s="3249" t="s">
        <v>3230</v>
      </c>
    </row>
    <row r="800" spans="4:10">
      <c r="D800" s="3248">
        <v>796</v>
      </c>
      <c r="E800" s="3610"/>
      <c r="F800" s="3249" t="s">
        <v>4132</v>
      </c>
      <c r="G800" s="3249" t="s">
        <v>4026</v>
      </c>
      <c r="H800" s="3250">
        <v>37.520000000000003</v>
      </c>
      <c r="I800" s="3251">
        <v>7.7</v>
      </c>
      <c r="J800" s="3249" t="s">
        <v>3230</v>
      </c>
    </row>
    <row r="801" spans="4:10">
      <c r="D801" s="3248">
        <v>797</v>
      </c>
      <c r="E801" s="3610"/>
      <c r="F801" s="3249" t="s">
        <v>4132</v>
      </c>
      <c r="G801" s="3249" t="s">
        <v>4027</v>
      </c>
      <c r="H801" s="3250">
        <v>36.020000000000003</v>
      </c>
      <c r="I801" s="3251">
        <v>7.39</v>
      </c>
      <c r="J801" s="3249" t="s">
        <v>3230</v>
      </c>
    </row>
    <row r="802" spans="4:10">
      <c r="D802" s="3248">
        <v>798</v>
      </c>
      <c r="E802" s="3610"/>
      <c r="F802" s="3249" t="s">
        <v>4132</v>
      </c>
      <c r="G802" s="3249" t="s">
        <v>4028</v>
      </c>
      <c r="H802" s="3250">
        <v>36.020000000000003</v>
      </c>
      <c r="I802" s="3251">
        <v>7.39</v>
      </c>
      <c r="J802" s="3249" t="s">
        <v>3230</v>
      </c>
    </row>
    <row r="803" spans="4:10">
      <c r="D803" s="3248">
        <v>799</v>
      </c>
      <c r="E803" s="3610"/>
      <c r="F803" s="3249" t="s">
        <v>4132</v>
      </c>
      <c r="G803" s="3249" t="s">
        <v>4029</v>
      </c>
      <c r="H803" s="3250">
        <v>36.020000000000003</v>
      </c>
      <c r="I803" s="3251">
        <v>7.39</v>
      </c>
      <c r="J803" s="3249" t="s">
        <v>3230</v>
      </c>
    </row>
    <row r="804" spans="4:10">
      <c r="D804" s="3248">
        <v>800</v>
      </c>
      <c r="E804" s="3610"/>
      <c r="F804" s="3249" t="s">
        <v>4132</v>
      </c>
      <c r="G804" s="3249" t="s">
        <v>4030</v>
      </c>
      <c r="H804" s="3250">
        <v>36.020000000000003</v>
      </c>
      <c r="I804" s="3251">
        <v>7.39</v>
      </c>
      <c r="J804" s="3249" t="s">
        <v>3230</v>
      </c>
    </row>
    <row r="805" spans="4:10">
      <c r="D805" s="3248">
        <v>801</v>
      </c>
      <c r="E805" s="3610"/>
      <c r="F805" s="3249" t="s">
        <v>4132</v>
      </c>
      <c r="G805" s="3249" t="s">
        <v>4031</v>
      </c>
      <c r="H805" s="3250">
        <v>36.020000000000003</v>
      </c>
      <c r="I805" s="3251">
        <v>7.39</v>
      </c>
      <c r="J805" s="3249" t="s">
        <v>3230</v>
      </c>
    </row>
    <row r="806" spans="4:10">
      <c r="D806" s="3248">
        <v>802</v>
      </c>
      <c r="E806" s="3610"/>
      <c r="F806" s="3249" t="s">
        <v>4132</v>
      </c>
      <c r="G806" s="3249" t="s">
        <v>4032</v>
      </c>
      <c r="H806" s="3250">
        <v>36.020000000000003</v>
      </c>
      <c r="I806" s="3251">
        <v>7.39</v>
      </c>
      <c r="J806" s="3249" t="s">
        <v>3230</v>
      </c>
    </row>
    <row r="807" spans="4:10">
      <c r="D807" s="3248">
        <v>803</v>
      </c>
      <c r="E807" s="3610"/>
      <c r="F807" s="3249" t="s">
        <v>4132</v>
      </c>
      <c r="G807" s="3249" t="s">
        <v>4033</v>
      </c>
      <c r="H807" s="3250">
        <v>36.020000000000003</v>
      </c>
      <c r="I807" s="3251">
        <v>7.39</v>
      </c>
      <c r="J807" s="3249" t="s">
        <v>3230</v>
      </c>
    </row>
    <row r="808" spans="4:10">
      <c r="D808" s="3248">
        <v>804</v>
      </c>
      <c r="E808" s="3610"/>
      <c r="F808" s="3249" t="s">
        <v>4132</v>
      </c>
      <c r="G808" s="3249" t="s">
        <v>4034</v>
      </c>
      <c r="H808" s="3250">
        <v>39.090000000000003</v>
      </c>
      <c r="I808" s="3251">
        <v>8.02</v>
      </c>
      <c r="J808" s="3249" t="s">
        <v>3230</v>
      </c>
    </row>
    <row r="809" spans="4:10">
      <c r="D809" s="3248">
        <v>805</v>
      </c>
      <c r="E809" s="3610"/>
      <c r="F809" s="3249" t="s">
        <v>4132</v>
      </c>
      <c r="G809" s="3249" t="s">
        <v>4035</v>
      </c>
      <c r="H809" s="3250">
        <v>39.090000000000003</v>
      </c>
      <c r="I809" s="3251">
        <v>8.02</v>
      </c>
      <c r="J809" s="3249" t="s">
        <v>3230</v>
      </c>
    </row>
    <row r="810" spans="4:10">
      <c r="D810" s="3248">
        <v>806</v>
      </c>
      <c r="E810" s="3610"/>
      <c r="F810" s="3249" t="s">
        <v>4132</v>
      </c>
      <c r="G810" s="3249" t="s">
        <v>4036</v>
      </c>
      <c r="H810" s="3250">
        <v>39.090000000000003</v>
      </c>
      <c r="I810" s="3251">
        <v>8.02</v>
      </c>
      <c r="J810" s="3249" t="s">
        <v>3230</v>
      </c>
    </row>
    <row r="811" spans="4:10">
      <c r="D811" s="3248">
        <v>807</v>
      </c>
      <c r="E811" s="3610"/>
      <c r="F811" s="3249" t="s">
        <v>4132</v>
      </c>
      <c r="G811" s="3249" t="s">
        <v>4037</v>
      </c>
      <c r="H811" s="3250">
        <v>36.020000000000003</v>
      </c>
      <c r="I811" s="3251">
        <v>7.39</v>
      </c>
      <c r="J811" s="3249" t="s">
        <v>3230</v>
      </c>
    </row>
    <row r="812" spans="4:10">
      <c r="D812" s="3248">
        <v>808</v>
      </c>
      <c r="E812" s="3610"/>
      <c r="F812" s="3249" t="s">
        <v>4132</v>
      </c>
      <c r="G812" s="3249" t="s">
        <v>4038</v>
      </c>
      <c r="H812" s="3250">
        <v>36.020000000000003</v>
      </c>
      <c r="I812" s="3251">
        <v>7.39</v>
      </c>
      <c r="J812" s="3249" t="s">
        <v>3230</v>
      </c>
    </row>
    <row r="813" spans="4:10">
      <c r="D813" s="3248">
        <v>809</v>
      </c>
      <c r="E813" s="3610"/>
      <c r="F813" s="3249" t="s">
        <v>4132</v>
      </c>
      <c r="G813" s="3249" t="s">
        <v>4039</v>
      </c>
      <c r="H813" s="3250">
        <v>36.020000000000003</v>
      </c>
      <c r="I813" s="3251">
        <v>7.39</v>
      </c>
      <c r="J813" s="3249" t="s">
        <v>3230</v>
      </c>
    </row>
    <row r="814" spans="4:10">
      <c r="D814" s="3248">
        <v>810</v>
      </c>
      <c r="E814" s="3610"/>
      <c r="F814" s="3249" t="s">
        <v>4132</v>
      </c>
      <c r="G814" s="3249" t="s">
        <v>4040</v>
      </c>
      <c r="H814" s="3250">
        <v>39.090000000000003</v>
      </c>
      <c r="I814" s="3251">
        <v>8.02</v>
      </c>
      <c r="J814" s="3249" t="s">
        <v>3230</v>
      </c>
    </row>
    <row r="815" spans="4:10">
      <c r="D815" s="3248">
        <v>811</v>
      </c>
      <c r="E815" s="3610"/>
      <c r="F815" s="3249" t="s">
        <v>4132</v>
      </c>
      <c r="G815" s="3249" t="s">
        <v>4041</v>
      </c>
      <c r="H815" s="3250">
        <v>39.090000000000003</v>
      </c>
      <c r="I815" s="3251">
        <v>8.02</v>
      </c>
      <c r="J815" s="3249" t="s">
        <v>3230</v>
      </c>
    </row>
    <row r="816" spans="4:10">
      <c r="D816" s="3248">
        <v>812</v>
      </c>
      <c r="E816" s="3610"/>
      <c r="F816" s="3249" t="s">
        <v>4132</v>
      </c>
      <c r="G816" s="3249" t="s">
        <v>4042</v>
      </c>
      <c r="H816" s="3250">
        <v>39.090000000000003</v>
      </c>
      <c r="I816" s="3251">
        <v>8.02</v>
      </c>
      <c r="J816" s="3249" t="s">
        <v>3230</v>
      </c>
    </row>
    <row r="817" spans="4:10">
      <c r="D817" s="3248">
        <v>813</v>
      </c>
      <c r="E817" s="3610"/>
      <c r="F817" s="3249" t="s">
        <v>4132</v>
      </c>
      <c r="G817" s="3249" t="s">
        <v>4043</v>
      </c>
      <c r="H817" s="3250">
        <v>39.090000000000003</v>
      </c>
      <c r="I817" s="3251">
        <v>8.02</v>
      </c>
      <c r="J817" s="3249" t="s">
        <v>3230</v>
      </c>
    </row>
    <row r="818" spans="4:10">
      <c r="D818" s="3248">
        <v>814</v>
      </c>
      <c r="E818" s="3610"/>
      <c r="F818" s="3249" t="s">
        <v>4132</v>
      </c>
      <c r="G818" s="3249" t="s">
        <v>4044</v>
      </c>
      <c r="H818" s="3250">
        <v>39.090000000000003</v>
      </c>
      <c r="I818" s="3251">
        <v>8.02</v>
      </c>
      <c r="J818" s="3249" t="s">
        <v>3230</v>
      </c>
    </row>
    <row r="819" spans="4:10">
      <c r="D819" s="3248">
        <v>815</v>
      </c>
      <c r="E819" s="3610"/>
      <c r="F819" s="3249" t="s">
        <v>4132</v>
      </c>
      <c r="G819" s="3249" t="s">
        <v>4045</v>
      </c>
      <c r="H819" s="3250">
        <v>39.090000000000003</v>
      </c>
      <c r="I819" s="3251">
        <v>8.02</v>
      </c>
      <c r="J819" s="3249" t="s">
        <v>3230</v>
      </c>
    </row>
    <row r="820" spans="4:10">
      <c r="D820" s="3248">
        <v>816</v>
      </c>
      <c r="E820" s="3610"/>
      <c r="F820" s="3249" t="s">
        <v>4132</v>
      </c>
      <c r="G820" s="3249" t="s">
        <v>4046</v>
      </c>
      <c r="H820" s="3250">
        <v>36.74</v>
      </c>
      <c r="I820" s="3251">
        <v>7.54</v>
      </c>
      <c r="J820" s="3249" t="s">
        <v>3230</v>
      </c>
    </row>
    <row r="821" spans="4:10">
      <c r="D821" s="3248">
        <v>817</v>
      </c>
      <c r="E821" s="3610"/>
      <c r="F821" s="3249" t="s">
        <v>4132</v>
      </c>
      <c r="G821" s="3249" t="s">
        <v>4047</v>
      </c>
      <c r="H821" s="3250">
        <v>36.74</v>
      </c>
      <c r="I821" s="3251">
        <v>7.54</v>
      </c>
      <c r="J821" s="3249" t="s">
        <v>3230</v>
      </c>
    </row>
    <row r="822" spans="4:10">
      <c r="D822" s="3248">
        <v>818</v>
      </c>
      <c r="E822" s="3610"/>
      <c r="F822" s="3249" t="s">
        <v>4132</v>
      </c>
      <c r="G822" s="3249" t="s">
        <v>4048</v>
      </c>
      <c r="H822" s="3250">
        <v>36.74</v>
      </c>
      <c r="I822" s="3251">
        <v>7.54</v>
      </c>
      <c r="J822" s="3249" t="s">
        <v>3230</v>
      </c>
    </row>
    <row r="823" spans="4:10">
      <c r="D823" s="3248">
        <v>819</v>
      </c>
      <c r="E823" s="3610"/>
      <c r="F823" s="3249" t="s">
        <v>4132</v>
      </c>
      <c r="G823" s="3249" t="s">
        <v>4049</v>
      </c>
      <c r="H823" s="3250">
        <v>36.74</v>
      </c>
      <c r="I823" s="3251">
        <v>7.54</v>
      </c>
      <c r="J823" s="3249" t="s">
        <v>3230</v>
      </c>
    </row>
    <row r="824" spans="4:10">
      <c r="D824" s="3248">
        <v>820</v>
      </c>
      <c r="E824" s="3610"/>
      <c r="F824" s="3249" t="s">
        <v>4132</v>
      </c>
      <c r="G824" s="3249" t="s">
        <v>4050</v>
      </c>
      <c r="H824" s="3250">
        <v>36.74</v>
      </c>
      <c r="I824" s="3251">
        <v>7.54</v>
      </c>
      <c r="J824" s="3249" t="s">
        <v>3230</v>
      </c>
    </row>
    <row r="825" spans="4:10">
      <c r="D825" s="3248">
        <v>821</v>
      </c>
      <c r="E825" s="3610"/>
      <c r="F825" s="3249" t="s">
        <v>4132</v>
      </c>
      <c r="G825" s="3249" t="s">
        <v>4051</v>
      </c>
      <c r="H825" s="3250">
        <v>36.74</v>
      </c>
      <c r="I825" s="3251">
        <v>7.54</v>
      </c>
      <c r="J825" s="3249" t="s">
        <v>3230</v>
      </c>
    </row>
    <row r="826" spans="4:10">
      <c r="D826" s="3248">
        <v>822</v>
      </c>
      <c r="E826" s="3610"/>
      <c r="F826" s="3249" t="s">
        <v>4132</v>
      </c>
      <c r="G826" s="3249" t="s">
        <v>4052</v>
      </c>
      <c r="H826" s="3250">
        <v>39.090000000000003</v>
      </c>
      <c r="I826" s="3251">
        <v>8.02</v>
      </c>
      <c r="J826" s="3249" t="s">
        <v>3230</v>
      </c>
    </row>
    <row r="827" spans="4:10">
      <c r="D827" s="3248">
        <v>823</v>
      </c>
      <c r="E827" s="3610"/>
      <c r="F827" s="3249" t="s">
        <v>4132</v>
      </c>
      <c r="G827" s="3249" t="s">
        <v>4053</v>
      </c>
      <c r="H827" s="3250">
        <v>39.090000000000003</v>
      </c>
      <c r="I827" s="3251">
        <v>8.02</v>
      </c>
      <c r="J827" s="3249" t="s">
        <v>3230</v>
      </c>
    </row>
    <row r="828" spans="4:10">
      <c r="D828" s="3248">
        <v>824</v>
      </c>
      <c r="E828" s="3610"/>
      <c r="F828" s="3249" t="s">
        <v>4132</v>
      </c>
      <c r="G828" s="3249" t="s">
        <v>4054</v>
      </c>
      <c r="H828" s="3250">
        <v>39.090000000000003</v>
      </c>
      <c r="I828" s="3251">
        <v>8.02</v>
      </c>
      <c r="J828" s="3249" t="s">
        <v>3230</v>
      </c>
    </row>
    <row r="829" spans="4:10">
      <c r="D829" s="3248">
        <v>825</v>
      </c>
      <c r="E829" s="3610"/>
      <c r="F829" s="3249" t="s">
        <v>4132</v>
      </c>
      <c r="G829" s="3249" t="s">
        <v>4055</v>
      </c>
      <c r="H829" s="3250">
        <v>39.090000000000003</v>
      </c>
      <c r="I829" s="3251">
        <v>8.02</v>
      </c>
      <c r="J829" s="3249" t="s">
        <v>3230</v>
      </c>
    </row>
    <row r="830" spans="4:10">
      <c r="D830" s="3248">
        <v>826</v>
      </c>
      <c r="E830" s="3610"/>
      <c r="F830" s="3249" t="s">
        <v>4132</v>
      </c>
      <c r="G830" s="3249" t="s">
        <v>4056</v>
      </c>
      <c r="H830" s="3250">
        <v>39.090000000000003</v>
      </c>
      <c r="I830" s="3251">
        <v>8.02</v>
      </c>
      <c r="J830" s="3249" t="s">
        <v>3230</v>
      </c>
    </row>
    <row r="831" spans="4:10">
      <c r="D831" s="3248">
        <v>827</v>
      </c>
      <c r="E831" s="3610"/>
      <c r="F831" s="3249" t="s">
        <v>4132</v>
      </c>
      <c r="G831" s="3249" t="s">
        <v>4057</v>
      </c>
      <c r="H831" s="3250">
        <v>39.090000000000003</v>
      </c>
      <c r="I831" s="3251">
        <v>8.02</v>
      </c>
      <c r="J831" s="3249" t="s">
        <v>3230</v>
      </c>
    </row>
    <row r="832" spans="4:10">
      <c r="D832" s="3248">
        <v>828</v>
      </c>
      <c r="E832" s="3610"/>
      <c r="F832" s="3249" t="s">
        <v>4132</v>
      </c>
      <c r="G832" s="3249" t="s">
        <v>4058</v>
      </c>
      <c r="H832" s="3250">
        <v>39.090000000000003</v>
      </c>
      <c r="I832" s="3251">
        <v>8.02</v>
      </c>
      <c r="J832" s="3249" t="s">
        <v>3230</v>
      </c>
    </row>
    <row r="833" spans="4:10">
      <c r="D833" s="3248">
        <v>829</v>
      </c>
      <c r="E833" s="3610"/>
      <c r="F833" s="3249" t="s">
        <v>4132</v>
      </c>
      <c r="G833" s="3249" t="s">
        <v>4059</v>
      </c>
      <c r="H833" s="3250">
        <v>39.090000000000003</v>
      </c>
      <c r="I833" s="3251">
        <v>8.02</v>
      </c>
      <c r="J833" s="3249" t="s">
        <v>3230</v>
      </c>
    </row>
    <row r="834" spans="4:10">
      <c r="D834" s="3248">
        <v>830</v>
      </c>
      <c r="E834" s="3610"/>
      <c r="F834" s="3249" t="s">
        <v>4132</v>
      </c>
      <c r="G834" s="3249" t="s">
        <v>4060</v>
      </c>
      <c r="H834" s="3250">
        <v>39.090000000000003</v>
      </c>
      <c r="I834" s="3251">
        <v>8.02</v>
      </c>
      <c r="J834" s="3249" t="s">
        <v>3230</v>
      </c>
    </row>
    <row r="835" spans="4:10">
      <c r="D835" s="3248">
        <v>831</v>
      </c>
      <c r="E835" s="3610"/>
      <c r="F835" s="3249" t="s">
        <v>4132</v>
      </c>
      <c r="G835" s="3249" t="s">
        <v>4061</v>
      </c>
      <c r="H835" s="3250">
        <v>39.090000000000003</v>
      </c>
      <c r="I835" s="3251">
        <v>8.02</v>
      </c>
      <c r="J835" s="3249" t="s">
        <v>3230</v>
      </c>
    </row>
    <row r="836" spans="4:10">
      <c r="D836" s="3248">
        <v>832</v>
      </c>
      <c r="E836" s="3610"/>
      <c r="F836" s="3249" t="s">
        <v>4132</v>
      </c>
      <c r="G836" s="3249" t="s">
        <v>4062</v>
      </c>
      <c r="H836" s="3250">
        <v>39.090000000000003</v>
      </c>
      <c r="I836" s="3251">
        <v>8.02</v>
      </c>
      <c r="J836" s="3249" t="s">
        <v>3230</v>
      </c>
    </row>
    <row r="837" spans="4:10">
      <c r="D837" s="3248">
        <v>833</v>
      </c>
      <c r="E837" s="3610"/>
      <c r="F837" s="3249" t="s">
        <v>4132</v>
      </c>
      <c r="G837" s="3249" t="s">
        <v>4063</v>
      </c>
      <c r="H837" s="3250">
        <v>39.090000000000003</v>
      </c>
      <c r="I837" s="3251">
        <v>8.02</v>
      </c>
      <c r="J837" s="3249" t="s">
        <v>3230</v>
      </c>
    </row>
    <row r="838" spans="4:10">
      <c r="D838" s="3248">
        <v>834</v>
      </c>
      <c r="E838" s="3610"/>
      <c r="F838" s="3249" t="s">
        <v>4132</v>
      </c>
      <c r="G838" s="3249" t="s">
        <v>4064</v>
      </c>
      <c r="H838" s="3250">
        <v>36.74</v>
      </c>
      <c r="I838" s="3251">
        <v>7.54</v>
      </c>
      <c r="J838" s="3249" t="s">
        <v>3230</v>
      </c>
    </row>
    <row r="839" spans="4:10">
      <c r="D839" s="3248">
        <v>835</v>
      </c>
      <c r="E839" s="3610"/>
      <c r="F839" s="3249" t="s">
        <v>4132</v>
      </c>
      <c r="G839" s="3249" t="s">
        <v>4065</v>
      </c>
      <c r="H839" s="3250">
        <v>36.74</v>
      </c>
      <c r="I839" s="3251">
        <v>7.54</v>
      </c>
      <c r="J839" s="3249" t="s">
        <v>3230</v>
      </c>
    </row>
    <row r="840" spans="4:10">
      <c r="D840" s="3248">
        <v>836</v>
      </c>
      <c r="E840" s="3610"/>
      <c r="F840" s="3249" t="s">
        <v>4132</v>
      </c>
      <c r="G840" s="3249" t="s">
        <v>4066</v>
      </c>
      <c r="H840" s="3250">
        <v>36.74</v>
      </c>
      <c r="I840" s="3251">
        <v>7.54</v>
      </c>
      <c r="J840" s="3249" t="s">
        <v>3230</v>
      </c>
    </row>
    <row r="841" spans="4:10">
      <c r="D841" s="3248">
        <v>837</v>
      </c>
      <c r="E841" s="3610"/>
      <c r="F841" s="3249" t="s">
        <v>4132</v>
      </c>
      <c r="G841" s="3249" t="s">
        <v>4067</v>
      </c>
      <c r="H841" s="3250">
        <v>36.74</v>
      </c>
      <c r="I841" s="3251">
        <v>7.54</v>
      </c>
      <c r="J841" s="3249" t="s">
        <v>3230</v>
      </c>
    </row>
    <row r="842" spans="4:10">
      <c r="D842" s="3248">
        <v>838</v>
      </c>
      <c r="E842" s="3610"/>
      <c r="F842" s="3249" t="s">
        <v>4132</v>
      </c>
      <c r="G842" s="3249" t="s">
        <v>4068</v>
      </c>
      <c r="H842" s="3250">
        <v>36.74</v>
      </c>
      <c r="I842" s="3251">
        <v>7.54</v>
      </c>
      <c r="J842" s="3249" t="s">
        <v>3230</v>
      </c>
    </row>
    <row r="843" spans="4:10">
      <c r="D843" s="3248">
        <v>839</v>
      </c>
      <c r="E843" s="3610"/>
      <c r="F843" s="3249" t="s">
        <v>4132</v>
      </c>
      <c r="G843" s="3249" t="s">
        <v>4069</v>
      </c>
      <c r="H843" s="3250">
        <v>36.74</v>
      </c>
      <c r="I843" s="3251">
        <v>7.54</v>
      </c>
      <c r="J843" s="3249" t="s">
        <v>3230</v>
      </c>
    </row>
    <row r="844" spans="4:10">
      <c r="D844" s="3248">
        <v>840</v>
      </c>
      <c r="E844" s="3610"/>
      <c r="F844" s="3249" t="s">
        <v>4132</v>
      </c>
      <c r="G844" s="3249" t="s">
        <v>4070</v>
      </c>
      <c r="H844" s="3250">
        <v>36.74</v>
      </c>
      <c r="I844" s="3251">
        <v>7.54</v>
      </c>
      <c r="J844" s="3249" t="s">
        <v>3230</v>
      </c>
    </row>
    <row r="845" spans="4:10">
      <c r="D845" s="3248">
        <v>841</v>
      </c>
      <c r="E845" s="3610"/>
      <c r="F845" s="3249" t="s">
        <v>4132</v>
      </c>
      <c r="G845" s="3249" t="s">
        <v>4071</v>
      </c>
      <c r="H845" s="3250">
        <v>36.74</v>
      </c>
      <c r="I845" s="3251">
        <v>7.54</v>
      </c>
      <c r="J845" s="3249" t="s">
        <v>3230</v>
      </c>
    </row>
    <row r="846" spans="4:10">
      <c r="D846" s="3248">
        <v>842</v>
      </c>
      <c r="E846" s="3610"/>
      <c r="F846" s="3249" t="s">
        <v>4132</v>
      </c>
      <c r="G846" s="3249" t="s">
        <v>4072</v>
      </c>
      <c r="H846" s="3250">
        <v>39.090000000000003</v>
      </c>
      <c r="I846" s="3251">
        <v>8.02</v>
      </c>
      <c r="J846" s="3249" t="s">
        <v>3230</v>
      </c>
    </row>
    <row r="847" spans="4:10">
      <c r="D847" s="3248">
        <v>843</v>
      </c>
      <c r="E847" s="3610"/>
      <c r="F847" s="3249" t="s">
        <v>4132</v>
      </c>
      <c r="G847" s="3249" t="s">
        <v>4073</v>
      </c>
      <c r="H847" s="3250">
        <v>39.090000000000003</v>
      </c>
      <c r="I847" s="3251">
        <v>8.02</v>
      </c>
      <c r="J847" s="3249" t="s">
        <v>3230</v>
      </c>
    </row>
    <row r="848" spans="4:10">
      <c r="D848" s="3248">
        <v>844</v>
      </c>
      <c r="E848" s="3610"/>
      <c r="F848" s="3249" t="s">
        <v>4132</v>
      </c>
      <c r="G848" s="3249" t="s">
        <v>4074</v>
      </c>
      <c r="H848" s="3250">
        <v>39.090000000000003</v>
      </c>
      <c r="I848" s="3251">
        <v>8.02</v>
      </c>
      <c r="J848" s="3249" t="s">
        <v>3230</v>
      </c>
    </row>
    <row r="849" spans="4:10">
      <c r="D849" s="3248">
        <v>845</v>
      </c>
      <c r="E849" s="3610"/>
      <c r="F849" s="3249" t="s">
        <v>4132</v>
      </c>
      <c r="G849" s="3249" t="s">
        <v>4075</v>
      </c>
      <c r="H849" s="3250">
        <v>37.49</v>
      </c>
      <c r="I849" s="3251">
        <v>7.69</v>
      </c>
      <c r="J849" s="3249" t="s">
        <v>3230</v>
      </c>
    </row>
    <row r="850" spans="4:10">
      <c r="D850" s="3248">
        <v>846</v>
      </c>
      <c r="E850" s="3610"/>
      <c r="F850" s="3249" t="s">
        <v>4132</v>
      </c>
      <c r="G850" s="3249" t="s">
        <v>4076</v>
      </c>
      <c r="H850" s="3250">
        <v>37.49</v>
      </c>
      <c r="I850" s="3251">
        <v>7.69</v>
      </c>
      <c r="J850" s="3249" t="s">
        <v>3230</v>
      </c>
    </row>
    <row r="851" spans="4:10">
      <c r="D851" s="3248">
        <v>847</v>
      </c>
      <c r="E851" s="3610"/>
      <c r="F851" s="3249" t="s">
        <v>4132</v>
      </c>
      <c r="G851" s="3249" t="s">
        <v>4077</v>
      </c>
      <c r="H851" s="3250">
        <v>37.49</v>
      </c>
      <c r="I851" s="3251">
        <v>7.69</v>
      </c>
      <c r="J851" s="3249" t="s">
        <v>3230</v>
      </c>
    </row>
    <row r="852" spans="4:10">
      <c r="D852" s="3248">
        <v>848</v>
      </c>
      <c r="E852" s="3610"/>
      <c r="F852" s="3249" t="s">
        <v>4132</v>
      </c>
      <c r="G852" s="3249" t="s">
        <v>4078</v>
      </c>
      <c r="H852" s="3250">
        <v>37.49</v>
      </c>
      <c r="I852" s="3251">
        <v>7.69</v>
      </c>
      <c r="J852" s="3249" t="s">
        <v>3230</v>
      </c>
    </row>
    <row r="853" spans="4:10">
      <c r="D853" s="3248">
        <v>849</v>
      </c>
      <c r="E853" s="3610"/>
      <c r="F853" s="3249" t="s">
        <v>4132</v>
      </c>
      <c r="G853" s="3249" t="s">
        <v>4079</v>
      </c>
      <c r="H853" s="3250">
        <v>37.49</v>
      </c>
      <c r="I853" s="3251">
        <v>7.69</v>
      </c>
      <c r="J853" s="3249" t="s">
        <v>3230</v>
      </c>
    </row>
    <row r="854" spans="4:10">
      <c r="D854" s="3248">
        <v>850</v>
      </c>
      <c r="E854" s="3610"/>
      <c r="F854" s="3249" t="s">
        <v>4132</v>
      </c>
      <c r="G854" s="3249" t="s">
        <v>4080</v>
      </c>
      <c r="H854" s="3250">
        <v>37.49</v>
      </c>
      <c r="I854" s="3251">
        <v>7.69</v>
      </c>
      <c r="J854" s="3249" t="s">
        <v>3230</v>
      </c>
    </row>
    <row r="855" spans="4:10">
      <c r="D855" s="3248">
        <v>851</v>
      </c>
      <c r="E855" s="3610"/>
      <c r="F855" s="3249" t="s">
        <v>4132</v>
      </c>
      <c r="G855" s="3249" t="s">
        <v>4081</v>
      </c>
      <c r="H855" s="3250">
        <v>37.49</v>
      </c>
      <c r="I855" s="3251">
        <v>7.69</v>
      </c>
      <c r="J855" s="3249" t="s">
        <v>3230</v>
      </c>
    </row>
    <row r="856" spans="4:10">
      <c r="D856" s="3248">
        <v>852</v>
      </c>
      <c r="E856" s="3610"/>
      <c r="F856" s="3249" t="s">
        <v>4132</v>
      </c>
      <c r="G856" s="3249" t="s">
        <v>4082</v>
      </c>
      <c r="H856" s="3250">
        <v>37.49</v>
      </c>
      <c r="I856" s="3251">
        <v>7.69</v>
      </c>
      <c r="J856" s="3249" t="s">
        <v>3230</v>
      </c>
    </row>
    <row r="857" spans="4:10">
      <c r="D857" s="3248">
        <v>853</v>
      </c>
      <c r="E857" s="3610"/>
      <c r="F857" s="3249" t="s">
        <v>4132</v>
      </c>
      <c r="G857" s="3249" t="s">
        <v>4083</v>
      </c>
      <c r="H857" s="3250">
        <v>39.090000000000003</v>
      </c>
      <c r="I857" s="3251">
        <v>8.02</v>
      </c>
      <c r="J857" s="3249" t="s">
        <v>3230</v>
      </c>
    </row>
    <row r="858" spans="4:10">
      <c r="D858" s="3248">
        <v>854</v>
      </c>
      <c r="E858" s="3610"/>
      <c r="F858" s="3249" t="s">
        <v>4132</v>
      </c>
      <c r="G858" s="3249" t="s">
        <v>4084</v>
      </c>
      <c r="H858" s="3250">
        <v>39.090000000000003</v>
      </c>
      <c r="I858" s="3251">
        <v>8.02</v>
      </c>
      <c r="J858" s="3249" t="s">
        <v>3230</v>
      </c>
    </row>
    <row r="859" spans="4:10">
      <c r="D859" s="3248">
        <v>855</v>
      </c>
      <c r="E859" s="3610"/>
      <c r="F859" s="3249" t="s">
        <v>4132</v>
      </c>
      <c r="G859" s="3249" t="s">
        <v>4085</v>
      </c>
      <c r="H859" s="3250">
        <v>32.83</v>
      </c>
      <c r="I859" s="3251">
        <v>6.74</v>
      </c>
      <c r="J859" s="3249" t="s">
        <v>3230</v>
      </c>
    </row>
    <row r="860" spans="4:10">
      <c r="D860" s="3248">
        <v>856</v>
      </c>
      <c r="E860" s="3610"/>
      <c r="F860" s="3249" t="s">
        <v>4132</v>
      </c>
      <c r="G860" s="3249" t="s">
        <v>4086</v>
      </c>
      <c r="H860" s="3250">
        <v>39.090000000000003</v>
      </c>
      <c r="I860" s="3251">
        <v>8.02</v>
      </c>
      <c r="J860" s="3249" t="s">
        <v>3230</v>
      </c>
    </row>
    <row r="861" spans="4:10">
      <c r="D861" s="3248">
        <v>857</v>
      </c>
      <c r="E861" s="3610"/>
      <c r="F861" s="3249" t="s">
        <v>4132</v>
      </c>
      <c r="G861" s="3249" t="s">
        <v>4087</v>
      </c>
      <c r="H861" s="3250">
        <v>37.520000000000003</v>
      </c>
      <c r="I861" s="3251">
        <v>7.7</v>
      </c>
      <c r="J861" s="3249" t="s">
        <v>3230</v>
      </c>
    </row>
    <row r="862" spans="4:10">
      <c r="D862" s="3248">
        <v>858</v>
      </c>
      <c r="E862" s="3610"/>
      <c r="F862" s="3249" t="s">
        <v>4132</v>
      </c>
      <c r="G862" s="3249" t="s">
        <v>4088</v>
      </c>
      <c r="H862" s="3250">
        <v>37.520000000000003</v>
      </c>
      <c r="I862" s="3251">
        <v>7.7</v>
      </c>
      <c r="J862" s="3249" t="s">
        <v>3230</v>
      </c>
    </row>
    <row r="863" spans="4:10">
      <c r="D863" s="3248">
        <v>859</v>
      </c>
      <c r="E863" s="3610"/>
      <c r="F863" s="3249" t="s">
        <v>4132</v>
      </c>
      <c r="G863" s="3249" t="s">
        <v>4089</v>
      </c>
      <c r="H863" s="3250">
        <v>37.520000000000003</v>
      </c>
      <c r="I863" s="3251">
        <v>7.7</v>
      </c>
      <c r="J863" s="3249" t="s">
        <v>3230</v>
      </c>
    </row>
    <row r="864" spans="4:10">
      <c r="D864" s="3248">
        <v>860</v>
      </c>
      <c r="E864" s="3610"/>
      <c r="F864" s="3249" t="s">
        <v>4132</v>
      </c>
      <c r="G864" s="3249" t="s">
        <v>4090</v>
      </c>
      <c r="H864" s="3250">
        <v>37.520000000000003</v>
      </c>
      <c r="I864" s="3251">
        <v>7.7</v>
      </c>
      <c r="J864" s="3249" t="s">
        <v>3230</v>
      </c>
    </row>
    <row r="865" spans="4:10">
      <c r="D865" s="3248">
        <v>861</v>
      </c>
      <c r="E865" s="3610"/>
      <c r="F865" s="3249" t="s">
        <v>4132</v>
      </c>
      <c r="G865" s="3249" t="s">
        <v>4091</v>
      </c>
      <c r="H865" s="3250">
        <v>37.520000000000003</v>
      </c>
      <c r="I865" s="3251">
        <v>7.7</v>
      </c>
      <c r="J865" s="3249" t="s">
        <v>3230</v>
      </c>
    </row>
    <row r="866" spans="4:10">
      <c r="D866" s="3248">
        <v>862</v>
      </c>
      <c r="E866" s="3610"/>
      <c r="F866" s="3249" t="s">
        <v>4132</v>
      </c>
      <c r="G866" s="3249" t="s">
        <v>4092</v>
      </c>
      <c r="H866" s="3250">
        <v>37.520000000000003</v>
      </c>
      <c r="I866" s="3251">
        <v>7.7</v>
      </c>
      <c r="J866" s="3249" t="s">
        <v>3230</v>
      </c>
    </row>
    <row r="867" spans="4:10">
      <c r="D867" s="3248">
        <v>863</v>
      </c>
      <c r="E867" s="3610"/>
      <c r="F867" s="3249" t="s">
        <v>4132</v>
      </c>
      <c r="G867" s="3249" t="s">
        <v>4093</v>
      </c>
      <c r="H867" s="3250">
        <v>32.270000000000003</v>
      </c>
      <c r="I867" s="3251">
        <v>6.62</v>
      </c>
      <c r="J867" s="3249" t="s">
        <v>3230</v>
      </c>
    </row>
    <row r="868" spans="4:10">
      <c r="D868" s="3248">
        <v>864</v>
      </c>
      <c r="E868" s="3610"/>
      <c r="F868" s="3249" t="s">
        <v>4132</v>
      </c>
      <c r="G868" s="3249" t="s">
        <v>4094</v>
      </c>
      <c r="H868" s="3250">
        <v>32.270000000000003</v>
      </c>
      <c r="I868" s="3251">
        <v>6.62</v>
      </c>
      <c r="J868" s="3249" t="s">
        <v>3230</v>
      </c>
    </row>
    <row r="869" spans="4:10">
      <c r="D869" s="3248">
        <v>865</v>
      </c>
      <c r="E869" s="3610"/>
      <c r="F869" s="3249" t="s">
        <v>4132</v>
      </c>
      <c r="G869" s="3249" t="s">
        <v>4095</v>
      </c>
      <c r="H869" s="3250">
        <v>32.270000000000003</v>
      </c>
      <c r="I869" s="3251">
        <v>6.62</v>
      </c>
      <c r="J869" s="3249" t="s">
        <v>3230</v>
      </c>
    </row>
    <row r="870" spans="4:10">
      <c r="D870" s="3248">
        <v>866</v>
      </c>
      <c r="E870" s="3610"/>
      <c r="F870" s="3249" t="s">
        <v>4132</v>
      </c>
      <c r="G870" s="3249" t="s">
        <v>4096</v>
      </c>
      <c r="H870" s="3250">
        <v>39.090000000000003</v>
      </c>
      <c r="I870" s="3251">
        <v>8.02</v>
      </c>
      <c r="J870" s="3249" t="s">
        <v>3230</v>
      </c>
    </row>
    <row r="871" spans="4:10">
      <c r="D871" s="3248">
        <v>867</v>
      </c>
      <c r="E871" s="3610"/>
      <c r="F871" s="3249" t="s">
        <v>4132</v>
      </c>
      <c r="G871" s="3249" t="s">
        <v>4097</v>
      </c>
      <c r="H871" s="3250">
        <v>38.31</v>
      </c>
      <c r="I871" s="3251">
        <v>7.86</v>
      </c>
      <c r="J871" s="3249" t="s">
        <v>3230</v>
      </c>
    </row>
    <row r="872" spans="4:10">
      <c r="D872" s="3248">
        <v>868</v>
      </c>
      <c r="E872" s="3610"/>
      <c r="F872" s="3249" t="s">
        <v>4132</v>
      </c>
      <c r="G872" s="3249" t="s">
        <v>4098</v>
      </c>
      <c r="H872" s="3250">
        <v>39.090000000000003</v>
      </c>
      <c r="I872" s="3251">
        <v>8.02</v>
      </c>
      <c r="J872" s="3249" t="s">
        <v>3230</v>
      </c>
    </row>
    <row r="873" spans="4:10">
      <c r="D873" s="3248">
        <v>869</v>
      </c>
      <c r="E873" s="3610"/>
      <c r="F873" s="3249" t="s">
        <v>4132</v>
      </c>
      <c r="G873" s="3249" t="s">
        <v>4099</v>
      </c>
      <c r="H873" s="3250">
        <v>39.090000000000003</v>
      </c>
      <c r="I873" s="3251">
        <v>8.02</v>
      </c>
      <c r="J873" s="3249" t="s">
        <v>3230</v>
      </c>
    </row>
    <row r="874" spans="4:10">
      <c r="D874" s="3248">
        <v>870</v>
      </c>
      <c r="E874" s="3610"/>
      <c r="F874" s="3249" t="s">
        <v>4132</v>
      </c>
      <c r="G874" s="3249" t="s">
        <v>4100</v>
      </c>
      <c r="H874" s="3250">
        <v>36.74</v>
      </c>
      <c r="I874" s="3251">
        <v>7.54</v>
      </c>
      <c r="J874" s="3249" t="s">
        <v>3230</v>
      </c>
    </row>
    <row r="875" spans="4:10">
      <c r="D875" s="3248">
        <v>871</v>
      </c>
      <c r="E875" s="3610"/>
      <c r="F875" s="3249" t="s">
        <v>4132</v>
      </c>
      <c r="G875" s="3249" t="s">
        <v>4101</v>
      </c>
      <c r="H875" s="3250">
        <v>36.74</v>
      </c>
      <c r="I875" s="3251">
        <v>7.54</v>
      </c>
      <c r="J875" s="3249" t="s">
        <v>3230</v>
      </c>
    </row>
    <row r="876" spans="4:10">
      <c r="D876" s="3248">
        <v>872</v>
      </c>
      <c r="E876" s="3610"/>
      <c r="F876" s="3249" t="s">
        <v>4132</v>
      </c>
      <c r="G876" s="3249" t="s">
        <v>4102</v>
      </c>
      <c r="H876" s="3250">
        <v>36.74</v>
      </c>
      <c r="I876" s="3251">
        <v>7.54</v>
      </c>
      <c r="J876" s="3249" t="s">
        <v>3230</v>
      </c>
    </row>
    <row r="877" spans="4:10">
      <c r="D877" s="3248">
        <v>873</v>
      </c>
      <c r="E877" s="3610"/>
      <c r="F877" s="3249" t="s">
        <v>4132</v>
      </c>
      <c r="G877" s="3249" t="s">
        <v>4103</v>
      </c>
      <c r="H877" s="3250">
        <v>36.74</v>
      </c>
      <c r="I877" s="3251">
        <v>7.54</v>
      </c>
      <c r="J877" s="3249" t="s">
        <v>3230</v>
      </c>
    </row>
    <row r="878" spans="4:10">
      <c r="D878" s="3248">
        <v>874</v>
      </c>
      <c r="E878" s="3610"/>
      <c r="F878" s="3249" t="s">
        <v>4132</v>
      </c>
      <c r="G878" s="3249" t="s">
        <v>4104</v>
      </c>
      <c r="H878" s="3250">
        <v>39.090000000000003</v>
      </c>
      <c r="I878" s="3251">
        <v>8.02</v>
      </c>
      <c r="J878" s="3249" t="s">
        <v>3230</v>
      </c>
    </row>
    <row r="879" spans="4:10">
      <c r="D879" s="3248">
        <v>875</v>
      </c>
      <c r="E879" s="3610"/>
      <c r="F879" s="3249" t="s">
        <v>4132</v>
      </c>
      <c r="G879" s="3249" t="s">
        <v>4105</v>
      </c>
      <c r="H879" s="3250">
        <v>39.090000000000003</v>
      </c>
      <c r="I879" s="3251">
        <v>8.02</v>
      </c>
      <c r="J879" s="3249" t="s">
        <v>3230</v>
      </c>
    </row>
    <row r="880" spans="4:10">
      <c r="D880" s="3248">
        <v>876</v>
      </c>
      <c r="E880" s="3610"/>
      <c r="F880" s="3249" t="s">
        <v>4132</v>
      </c>
      <c r="G880" s="3249" t="s">
        <v>4106</v>
      </c>
      <c r="H880" s="3250">
        <v>39.090000000000003</v>
      </c>
      <c r="I880" s="3251">
        <v>8.02</v>
      </c>
      <c r="J880" s="3249" t="s">
        <v>3230</v>
      </c>
    </row>
    <row r="881" spans="4:10">
      <c r="D881" s="3248">
        <v>877</v>
      </c>
      <c r="E881" s="3610"/>
      <c r="F881" s="3249" t="s">
        <v>4132</v>
      </c>
      <c r="G881" s="3249" t="s">
        <v>4107</v>
      </c>
      <c r="H881" s="3250">
        <v>39.090000000000003</v>
      </c>
      <c r="I881" s="3251">
        <v>8.02</v>
      </c>
      <c r="J881" s="3249" t="s">
        <v>3230</v>
      </c>
    </row>
    <row r="882" spans="4:10">
      <c r="D882" s="3248">
        <v>878</v>
      </c>
      <c r="E882" s="3610"/>
      <c r="F882" s="3249" t="s">
        <v>4132</v>
      </c>
      <c r="G882" s="3249" t="s">
        <v>4108</v>
      </c>
      <c r="H882" s="3250">
        <v>39.090000000000003</v>
      </c>
      <c r="I882" s="3251">
        <v>8.02</v>
      </c>
      <c r="J882" s="3249" t="s">
        <v>3230</v>
      </c>
    </row>
    <row r="883" spans="4:10">
      <c r="D883" s="3248">
        <v>879</v>
      </c>
      <c r="E883" s="3610"/>
      <c r="F883" s="3249" t="s">
        <v>4132</v>
      </c>
      <c r="G883" s="3249" t="s">
        <v>4109</v>
      </c>
      <c r="H883" s="3250">
        <v>39.090000000000003</v>
      </c>
      <c r="I883" s="3251">
        <v>8.02</v>
      </c>
      <c r="J883" s="3249" t="s">
        <v>3230</v>
      </c>
    </row>
    <row r="884" spans="4:10">
      <c r="D884" s="3248">
        <v>880</v>
      </c>
      <c r="E884" s="3610"/>
      <c r="F884" s="3249" t="s">
        <v>4132</v>
      </c>
      <c r="G884" s="3249" t="s">
        <v>4110</v>
      </c>
      <c r="H884" s="3250">
        <v>36.74</v>
      </c>
      <c r="I884" s="3251">
        <v>7.54</v>
      </c>
      <c r="J884" s="3249" t="s">
        <v>3230</v>
      </c>
    </row>
    <row r="885" spans="4:10">
      <c r="D885" s="3248">
        <v>881</v>
      </c>
      <c r="E885" s="3610"/>
      <c r="F885" s="3249" t="s">
        <v>4132</v>
      </c>
      <c r="G885" s="3249" t="s">
        <v>4111</v>
      </c>
      <c r="H885" s="3250">
        <v>36.74</v>
      </c>
      <c r="I885" s="3251">
        <v>7.54</v>
      </c>
      <c r="J885" s="3249" t="s">
        <v>3230</v>
      </c>
    </row>
    <row r="886" spans="4:10">
      <c r="D886" s="3248">
        <v>882</v>
      </c>
      <c r="E886" s="3610"/>
      <c r="F886" s="3249" t="s">
        <v>4132</v>
      </c>
      <c r="G886" s="3249" t="s">
        <v>4112</v>
      </c>
      <c r="H886" s="3250">
        <v>36.74</v>
      </c>
      <c r="I886" s="3251">
        <v>7.54</v>
      </c>
      <c r="J886" s="3249" t="s">
        <v>3230</v>
      </c>
    </row>
    <row r="887" spans="4:10">
      <c r="D887" s="3248">
        <v>883</v>
      </c>
      <c r="E887" s="3610"/>
      <c r="F887" s="3249" t="s">
        <v>4132</v>
      </c>
      <c r="G887" s="3249" t="s">
        <v>4113</v>
      </c>
      <c r="H887" s="3250">
        <v>36.74</v>
      </c>
      <c r="I887" s="3251">
        <v>7.54</v>
      </c>
      <c r="J887" s="3249" t="s">
        <v>3230</v>
      </c>
    </row>
    <row r="888" spans="4:10">
      <c r="D888" s="3248">
        <v>884</v>
      </c>
      <c r="E888" s="3610"/>
      <c r="F888" s="3249" t="s">
        <v>4132</v>
      </c>
      <c r="G888" s="3249" t="s">
        <v>4114</v>
      </c>
      <c r="H888" s="3250">
        <v>36.74</v>
      </c>
      <c r="I888" s="3251">
        <v>7.54</v>
      </c>
      <c r="J888" s="3249" t="s">
        <v>3230</v>
      </c>
    </row>
    <row r="889" spans="4:10">
      <c r="D889" s="3248">
        <v>885</v>
      </c>
      <c r="E889" s="3610"/>
      <c r="F889" s="3249" t="s">
        <v>4132</v>
      </c>
      <c r="G889" s="3249" t="s">
        <v>4115</v>
      </c>
      <c r="H889" s="3250">
        <v>36.74</v>
      </c>
      <c r="I889" s="3251">
        <v>7.54</v>
      </c>
      <c r="J889" s="3249" t="s">
        <v>3230</v>
      </c>
    </row>
    <row r="890" spans="4:10">
      <c r="D890" s="3248">
        <v>886</v>
      </c>
      <c r="E890" s="3610"/>
      <c r="F890" s="3249" t="s">
        <v>4132</v>
      </c>
      <c r="G890" s="3249" t="s">
        <v>4116</v>
      </c>
      <c r="H890" s="3250">
        <v>39.090000000000003</v>
      </c>
      <c r="I890" s="3251">
        <v>8.02</v>
      </c>
      <c r="J890" s="3249" t="s">
        <v>3230</v>
      </c>
    </row>
    <row r="891" spans="4:10">
      <c r="D891" s="3248">
        <v>887</v>
      </c>
      <c r="E891" s="3610"/>
      <c r="F891" s="3249" t="s">
        <v>4132</v>
      </c>
      <c r="G891" s="3249" t="s">
        <v>4117</v>
      </c>
      <c r="H891" s="3250">
        <v>39.090000000000003</v>
      </c>
      <c r="I891" s="3251">
        <v>8.02</v>
      </c>
      <c r="J891" s="3249" t="s">
        <v>3230</v>
      </c>
    </row>
    <row r="892" spans="4:10">
      <c r="D892" s="3248">
        <v>888</v>
      </c>
      <c r="E892" s="3610"/>
      <c r="F892" s="3249" t="s">
        <v>4132</v>
      </c>
      <c r="G892" s="3249" t="s">
        <v>4118</v>
      </c>
      <c r="H892" s="3250">
        <v>39.090000000000003</v>
      </c>
      <c r="I892" s="3251">
        <v>8.02</v>
      </c>
      <c r="J892" s="3249" t="s">
        <v>3230</v>
      </c>
    </row>
    <row r="893" spans="4:10">
      <c r="D893" s="3248">
        <v>889</v>
      </c>
      <c r="E893" s="3610"/>
      <c r="F893" s="3249" t="s">
        <v>4132</v>
      </c>
      <c r="G893" s="3249" t="s">
        <v>4119</v>
      </c>
      <c r="H893" s="3250">
        <v>39.090000000000003</v>
      </c>
      <c r="I893" s="3251">
        <v>8.02</v>
      </c>
      <c r="J893" s="3249" t="s">
        <v>3230</v>
      </c>
    </row>
    <row r="894" spans="4:10">
      <c r="D894" s="3248">
        <v>890</v>
      </c>
      <c r="E894" s="3610"/>
      <c r="F894" s="3249" t="s">
        <v>4132</v>
      </c>
      <c r="G894" s="3249" t="s">
        <v>4120</v>
      </c>
      <c r="H894" s="3250">
        <v>39.090000000000003</v>
      </c>
      <c r="I894" s="3251">
        <v>8.02</v>
      </c>
      <c r="J894" s="3249" t="s">
        <v>3230</v>
      </c>
    </row>
    <row r="895" spans="4:10">
      <c r="D895" s="3248">
        <v>891</v>
      </c>
      <c r="E895" s="3610"/>
      <c r="F895" s="3249" t="s">
        <v>4132</v>
      </c>
      <c r="G895" s="3249" t="s">
        <v>4121</v>
      </c>
      <c r="H895" s="3250">
        <v>39.090000000000003</v>
      </c>
      <c r="I895" s="3251">
        <v>8.02</v>
      </c>
      <c r="J895" s="3249" t="s">
        <v>3230</v>
      </c>
    </row>
    <row r="896" spans="4:10">
      <c r="D896" s="3248">
        <v>892</v>
      </c>
      <c r="E896" s="3610"/>
      <c r="F896" s="3249" t="s">
        <v>4132</v>
      </c>
      <c r="G896" s="3249" t="s">
        <v>4122</v>
      </c>
      <c r="H896" s="3250">
        <v>39.090000000000003</v>
      </c>
      <c r="I896" s="3251">
        <v>8.02</v>
      </c>
      <c r="J896" s="3249" t="s">
        <v>3230</v>
      </c>
    </row>
    <row r="897" spans="4:10">
      <c r="D897" s="3248">
        <v>893</v>
      </c>
      <c r="E897" s="3610"/>
      <c r="F897" s="3249" t="s">
        <v>4132</v>
      </c>
      <c r="G897" s="3249" t="s">
        <v>4123</v>
      </c>
      <c r="H897" s="3250">
        <v>39.090000000000003</v>
      </c>
      <c r="I897" s="3251">
        <v>8.02</v>
      </c>
      <c r="J897" s="3249" t="s">
        <v>3230</v>
      </c>
    </row>
    <row r="898" spans="4:10">
      <c r="D898" s="3248">
        <v>894</v>
      </c>
      <c r="E898" s="3610"/>
      <c r="F898" s="3249" t="s">
        <v>4132</v>
      </c>
      <c r="G898" s="3249" t="s">
        <v>4124</v>
      </c>
      <c r="H898" s="3250">
        <v>36.74</v>
      </c>
      <c r="I898" s="3251">
        <v>7.54</v>
      </c>
      <c r="J898" s="3249" t="s">
        <v>3230</v>
      </c>
    </row>
    <row r="899" spans="4:10">
      <c r="D899" s="3248">
        <v>895</v>
      </c>
      <c r="E899" s="3610"/>
      <c r="F899" s="3249" t="s">
        <v>4132</v>
      </c>
      <c r="G899" s="3249" t="s">
        <v>4125</v>
      </c>
      <c r="H899" s="3250">
        <v>36.74</v>
      </c>
      <c r="I899" s="3251">
        <v>7.54</v>
      </c>
      <c r="J899" s="3249" t="s">
        <v>3230</v>
      </c>
    </row>
    <row r="900" spans="4:10">
      <c r="D900" s="3248">
        <v>896</v>
      </c>
      <c r="E900" s="3610"/>
      <c r="F900" s="3249" t="s">
        <v>4132</v>
      </c>
      <c r="G900" s="3249" t="s">
        <v>4126</v>
      </c>
      <c r="H900" s="3250">
        <v>36.74</v>
      </c>
      <c r="I900" s="3251">
        <v>7.54</v>
      </c>
      <c r="J900" s="3249" t="s">
        <v>3230</v>
      </c>
    </row>
    <row r="901" spans="4:10">
      <c r="D901" s="3248">
        <v>897</v>
      </c>
      <c r="E901" s="3610"/>
      <c r="F901" s="3249" t="s">
        <v>4132</v>
      </c>
      <c r="G901" s="3249" t="s">
        <v>4127</v>
      </c>
      <c r="H901" s="3250">
        <v>37.520000000000003</v>
      </c>
      <c r="I901" s="3251">
        <v>7.7</v>
      </c>
      <c r="J901" s="3249" t="s">
        <v>3230</v>
      </c>
    </row>
    <row r="902" spans="4:10">
      <c r="D902" s="3248">
        <v>898</v>
      </c>
      <c r="E902" s="3610"/>
      <c r="F902" s="3249" t="s">
        <v>4132</v>
      </c>
      <c r="G902" s="3249" t="s">
        <v>4128</v>
      </c>
      <c r="H902" s="3250">
        <v>37.520000000000003</v>
      </c>
      <c r="I902" s="3251">
        <v>7.7</v>
      </c>
      <c r="J902" s="3249" t="s">
        <v>3230</v>
      </c>
    </row>
    <row r="903" spans="4:10">
      <c r="D903" s="3248">
        <v>899</v>
      </c>
      <c r="E903" s="3610"/>
      <c r="F903" s="3249" t="s">
        <v>4132</v>
      </c>
      <c r="G903" s="3249" t="s">
        <v>4129</v>
      </c>
      <c r="H903" s="3250">
        <v>39.090000000000003</v>
      </c>
      <c r="I903" s="3251">
        <v>8.02</v>
      </c>
      <c r="J903" s="3249" t="s">
        <v>3230</v>
      </c>
    </row>
    <row r="904" spans="4:10">
      <c r="D904" s="3248">
        <v>900</v>
      </c>
      <c r="E904" s="3610"/>
      <c r="F904" s="3249" t="s">
        <v>4132</v>
      </c>
      <c r="G904" s="3249" t="s">
        <v>4130</v>
      </c>
      <c r="H904" s="3250">
        <v>39.090000000000003</v>
      </c>
      <c r="I904" s="3251">
        <v>8.02</v>
      </c>
      <c r="J904" s="3249" t="s">
        <v>3230</v>
      </c>
    </row>
    <row r="905" spans="4:10">
      <c r="D905" s="3610" t="s">
        <v>4140</v>
      </c>
      <c r="E905" s="3610"/>
      <c r="F905" s="3610"/>
      <c r="G905" s="3610"/>
      <c r="H905" s="3251">
        <f>SUM(H5:H904)</f>
        <v>32209.300000000312</v>
      </c>
      <c r="I905" s="3251">
        <f>SUM(I5:I904)</f>
        <v>6975.390000000014</v>
      </c>
      <c r="J905" s="3249" t="s">
        <v>4141</v>
      </c>
    </row>
  </sheetData>
  <mergeCells count="3">
    <mergeCell ref="D905:G905"/>
    <mergeCell ref="E296:E904"/>
    <mergeCell ref="E5:E295"/>
  </mergeCells>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1546</v>
      </c>
      <c r="B2" s="3275" t="s">
        <v>1547</v>
      </c>
      <c r="C2" s="3275" t="s">
        <v>1548</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963" t="s">
        <v>1543</v>
      </c>
      <c r="E3" s="963" t="s">
        <v>1549</v>
      </c>
      <c r="F3" s="963" t="s">
        <v>1543</v>
      </c>
      <c r="G3" s="963" t="s">
        <v>1544</v>
      </c>
      <c r="H3" s="963" t="s">
        <v>1543</v>
      </c>
      <c r="I3" s="963" t="s">
        <v>1544</v>
      </c>
    </row>
    <row r="4" spans="1:9" ht="15">
      <c r="A4" s="1660" t="str">
        <f>项目基本情况!S2</f>
        <v>北京市房地产</v>
      </c>
      <c r="B4" s="963">
        <f>项目基本情况!C17</f>
        <v>32206.89000000029</v>
      </c>
      <c r="C4" s="963">
        <f>项目基本情况!C18</f>
        <v>6976.24</v>
      </c>
      <c r="D4" s="963" t="e">
        <f ca="1">结果表!D118</f>
        <v>#REF!</v>
      </c>
      <c r="E4" s="963" t="e">
        <f ca="1">结果表!E118</f>
        <v>#REF!</v>
      </c>
      <c r="F4" s="963" t="e">
        <f ca="1">结果表!F118</f>
        <v>#REF!</v>
      </c>
      <c r="G4" s="963" t="e">
        <f ca="1">结果表!G118</f>
        <v>#REF!</v>
      </c>
      <c r="H4" s="963">
        <f ca="1">结果表!H118</f>
        <v>18313</v>
      </c>
      <c r="I4" s="963">
        <f ca="1">结果表!I118</f>
        <v>5686</v>
      </c>
    </row>
    <row r="5" spans="1:9" ht="30" customHeight="1">
      <c r="A5" s="3276" t="s">
        <v>1545</v>
      </c>
      <c r="B5" s="3276"/>
      <c r="C5" s="3276"/>
      <c r="D5" s="3277" t="e">
        <f ca="1">结果表!D119</f>
        <v>#REF!</v>
      </c>
      <c r="E5" s="3277"/>
      <c r="F5" s="3277" t="e">
        <f ca="1">结果表!F119</f>
        <v>#REF!</v>
      </c>
      <c r="G5" s="3277"/>
      <c r="H5" s="3277" t="str">
        <f ca="1">结果表!H119</f>
        <v>壹亿捌仟叁佰壹拾叁万元整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1545</v>
      </c>
      <c r="B7" s="3276"/>
      <c r="C7" s="3276"/>
      <c r="D7" s="3279" t="str">
        <f>结果表!D121</f>
        <v>零元整</v>
      </c>
      <c r="E7" s="3280"/>
      <c r="F7" s="3280"/>
      <c r="G7" s="3280"/>
      <c r="H7" s="3280"/>
      <c r="I7" s="3281"/>
    </row>
    <row r="8" spans="1:9" ht="15.75">
      <c r="A8" s="3278" t="str">
        <f>结果表!A122</f>
        <v>房地产抵押价值</v>
      </c>
      <c r="B8" s="3278"/>
      <c r="C8" s="3278"/>
      <c r="D8" s="3278">
        <f ca="1">结果表!D122</f>
        <v>18313</v>
      </c>
      <c r="E8" s="3278"/>
      <c r="F8" s="3278"/>
      <c r="G8" s="3278"/>
      <c r="H8" s="3278"/>
      <c r="I8" s="3278"/>
    </row>
    <row r="9" spans="1:9" ht="15">
      <c r="A9" s="3276" t="s">
        <v>1545</v>
      </c>
      <c r="B9" s="3276"/>
      <c r="C9" s="3276"/>
      <c r="D9" s="3277" t="str">
        <f ca="1">结果表!D123</f>
        <v>壹亿捌仟叁佰壹拾叁万元整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6" t="s">
        <v>1545</v>
      </c>
      <c r="B11" s="3276"/>
      <c r="C11" s="3276"/>
      <c r="D11" s="3277" t="e">
        <f>结果表!D125</f>
        <v>#VALUE!</v>
      </c>
      <c r="E11" s="3277"/>
      <c r="F11" s="3277"/>
      <c r="G11" s="3277"/>
      <c r="H11" s="3277"/>
      <c r="I11" s="3277"/>
    </row>
    <row r="12" spans="1:9" ht="15.75">
      <c r="A12" s="3278" t="str">
        <f>结果表!A126</f>
        <v/>
      </c>
      <c r="B12" s="3278"/>
      <c r="C12" s="3278"/>
      <c r="D12" s="3278" t="str">
        <f>结果表!D126</f>
        <v>——</v>
      </c>
      <c r="E12" s="3278"/>
      <c r="F12" s="3278"/>
      <c r="G12" s="3278"/>
      <c r="H12" s="3278"/>
      <c r="I12" s="3278"/>
    </row>
    <row r="13" spans="1:9" ht="15.75" thickBot="1">
      <c r="A13" s="3282" t="s">
        <v>1545</v>
      </c>
      <c r="B13" s="3282"/>
      <c r="C13" s="3282"/>
      <c r="D13" s="3283" t="e">
        <f>结果表!D127</f>
        <v>#VALUE!</v>
      </c>
      <c r="E13" s="3283"/>
      <c r="F13" s="3283"/>
      <c r="G13" s="3283"/>
      <c r="H13" s="3283"/>
      <c r="I13" s="3283"/>
    </row>
    <row r="14" spans="1:9" ht="15" thickTop="1">
      <c r="A14" s="3284" t="s">
        <v>1550</v>
      </c>
      <c r="B14" s="3284"/>
      <c r="C14" s="3284"/>
      <c r="D14" s="3284"/>
      <c r="E14" s="3284"/>
      <c r="F14" s="3284"/>
      <c r="G14" s="3284"/>
      <c r="H14" s="3284"/>
      <c r="I14" s="328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4"/>
  <sheetViews>
    <sheetView tabSelected="1" topLeftCell="A870" workbookViewId="0">
      <selection sqref="A1:G904"/>
    </sheetView>
  </sheetViews>
  <sheetFormatPr defaultRowHeight="14.25"/>
  <cols>
    <col min="1" max="16384" width="9" style="3256"/>
  </cols>
  <sheetData>
    <row r="1" spans="1:7">
      <c r="A1" s="3254" t="s">
        <v>5049</v>
      </c>
      <c r="B1" s="3254" t="s">
        <v>5050</v>
      </c>
      <c r="C1" s="3612" t="s">
        <v>5051</v>
      </c>
      <c r="D1" s="3612"/>
      <c r="E1" s="3254" t="s">
        <v>5052</v>
      </c>
      <c r="F1" s="3254" t="s">
        <v>5053</v>
      </c>
      <c r="G1" s="3254" t="s">
        <v>5054</v>
      </c>
    </row>
    <row r="2" spans="1:7" ht="14.25" customHeight="1">
      <c r="A2" s="3254">
        <v>1</v>
      </c>
      <c r="B2" s="3613" t="s">
        <v>4438</v>
      </c>
      <c r="C2" s="3616" t="s">
        <v>5055</v>
      </c>
      <c r="D2" s="3617"/>
      <c r="E2" s="3257" t="s">
        <v>4146</v>
      </c>
      <c r="F2" s="3257">
        <v>33.93</v>
      </c>
      <c r="G2" s="3255" t="s">
        <v>5056</v>
      </c>
    </row>
    <row r="3" spans="1:7">
      <c r="A3" s="3254">
        <v>2</v>
      </c>
      <c r="B3" s="3614"/>
      <c r="C3" s="3611" t="s">
        <v>5055</v>
      </c>
      <c r="D3" s="3611"/>
      <c r="E3" s="3257" t="s">
        <v>4147</v>
      </c>
      <c r="F3" s="3257">
        <v>33.93</v>
      </c>
      <c r="G3" s="3255" t="s">
        <v>5056</v>
      </c>
    </row>
    <row r="4" spans="1:7">
      <c r="A4" s="3254">
        <v>3</v>
      </c>
      <c r="B4" s="3614"/>
      <c r="C4" s="3611" t="s">
        <v>5055</v>
      </c>
      <c r="D4" s="3611"/>
      <c r="E4" s="3257" t="s">
        <v>4148</v>
      </c>
      <c r="F4" s="3257">
        <v>33.93</v>
      </c>
      <c r="G4" s="3255" t="s">
        <v>5056</v>
      </c>
    </row>
    <row r="5" spans="1:7">
      <c r="A5" s="3254">
        <v>4</v>
      </c>
      <c r="B5" s="3614"/>
      <c r="C5" s="3611" t="s">
        <v>5055</v>
      </c>
      <c r="D5" s="3611"/>
      <c r="E5" s="3257" t="s">
        <v>4149</v>
      </c>
      <c r="F5" s="3257">
        <v>33.93</v>
      </c>
      <c r="G5" s="3255" t="s">
        <v>5056</v>
      </c>
    </row>
    <row r="6" spans="1:7">
      <c r="A6" s="3254">
        <v>5</v>
      </c>
      <c r="B6" s="3614"/>
      <c r="C6" s="3611" t="s">
        <v>5055</v>
      </c>
      <c r="D6" s="3611"/>
      <c r="E6" s="3257" t="s">
        <v>4150</v>
      </c>
      <c r="F6" s="3257">
        <v>33.93</v>
      </c>
      <c r="G6" s="3255" t="s">
        <v>5056</v>
      </c>
    </row>
    <row r="7" spans="1:7">
      <c r="A7" s="3254">
        <v>6</v>
      </c>
      <c r="B7" s="3614"/>
      <c r="C7" s="3611" t="s">
        <v>5055</v>
      </c>
      <c r="D7" s="3611"/>
      <c r="E7" s="3257" t="s">
        <v>4151</v>
      </c>
      <c r="F7" s="3257">
        <v>33.93</v>
      </c>
      <c r="G7" s="3255" t="s">
        <v>5056</v>
      </c>
    </row>
    <row r="8" spans="1:7">
      <c r="A8" s="3254">
        <v>7</v>
      </c>
      <c r="B8" s="3614"/>
      <c r="C8" s="3611" t="s">
        <v>5055</v>
      </c>
      <c r="D8" s="3611"/>
      <c r="E8" s="3257" t="s">
        <v>4152</v>
      </c>
      <c r="F8" s="3257">
        <v>33.93</v>
      </c>
      <c r="G8" s="3255" t="s">
        <v>5056</v>
      </c>
    </row>
    <row r="9" spans="1:7">
      <c r="A9" s="3254">
        <v>8</v>
      </c>
      <c r="B9" s="3614"/>
      <c r="C9" s="3611" t="s">
        <v>5055</v>
      </c>
      <c r="D9" s="3611"/>
      <c r="E9" s="3257" t="s">
        <v>4153</v>
      </c>
      <c r="F9" s="3257">
        <v>33.93</v>
      </c>
      <c r="G9" s="3255" t="s">
        <v>5056</v>
      </c>
    </row>
    <row r="10" spans="1:7">
      <c r="A10" s="3254">
        <v>9</v>
      </c>
      <c r="B10" s="3614"/>
      <c r="C10" s="3611" t="s">
        <v>5055</v>
      </c>
      <c r="D10" s="3611"/>
      <c r="E10" s="3257" t="s">
        <v>4154</v>
      </c>
      <c r="F10" s="3257">
        <v>33.93</v>
      </c>
      <c r="G10" s="3255" t="s">
        <v>5056</v>
      </c>
    </row>
    <row r="11" spans="1:7">
      <c r="A11" s="3254">
        <v>10</v>
      </c>
      <c r="B11" s="3614"/>
      <c r="C11" s="3611" t="s">
        <v>5055</v>
      </c>
      <c r="D11" s="3611"/>
      <c r="E11" s="3257" t="s">
        <v>4155</v>
      </c>
      <c r="F11" s="3257">
        <v>33.93</v>
      </c>
      <c r="G11" s="3255" t="s">
        <v>5056</v>
      </c>
    </row>
    <row r="12" spans="1:7">
      <c r="A12" s="3254">
        <v>11</v>
      </c>
      <c r="B12" s="3614"/>
      <c r="C12" s="3611" t="s">
        <v>5055</v>
      </c>
      <c r="D12" s="3611"/>
      <c r="E12" s="3257" t="s">
        <v>4156</v>
      </c>
      <c r="F12" s="3257">
        <v>33.93</v>
      </c>
      <c r="G12" s="3255" t="s">
        <v>5056</v>
      </c>
    </row>
    <row r="13" spans="1:7">
      <c r="A13" s="3254">
        <v>12</v>
      </c>
      <c r="B13" s="3614"/>
      <c r="C13" s="3611" t="s">
        <v>5055</v>
      </c>
      <c r="D13" s="3611"/>
      <c r="E13" s="3257" t="s">
        <v>4157</v>
      </c>
      <c r="F13" s="3257">
        <v>33.93</v>
      </c>
      <c r="G13" s="3255" t="s">
        <v>5056</v>
      </c>
    </row>
    <row r="14" spans="1:7">
      <c r="A14" s="3254">
        <v>13</v>
      </c>
      <c r="B14" s="3614"/>
      <c r="C14" s="3611" t="s">
        <v>5055</v>
      </c>
      <c r="D14" s="3611"/>
      <c r="E14" s="3257" t="s">
        <v>4158</v>
      </c>
      <c r="F14" s="3257">
        <v>33.93</v>
      </c>
      <c r="G14" s="3255" t="s">
        <v>5056</v>
      </c>
    </row>
    <row r="15" spans="1:7">
      <c r="A15" s="3254">
        <v>14</v>
      </c>
      <c r="B15" s="3614"/>
      <c r="C15" s="3611" t="s">
        <v>5055</v>
      </c>
      <c r="D15" s="3611"/>
      <c r="E15" s="3257" t="s">
        <v>4159</v>
      </c>
      <c r="F15" s="3257">
        <v>33.93</v>
      </c>
      <c r="G15" s="3255" t="s">
        <v>5056</v>
      </c>
    </row>
    <row r="16" spans="1:7">
      <c r="A16" s="3254">
        <v>15</v>
      </c>
      <c r="B16" s="3614"/>
      <c r="C16" s="3611" t="s">
        <v>5055</v>
      </c>
      <c r="D16" s="3611"/>
      <c r="E16" s="3257" t="s">
        <v>4160</v>
      </c>
      <c r="F16" s="3257">
        <v>32.58</v>
      </c>
      <c r="G16" s="3255" t="s">
        <v>5056</v>
      </c>
    </row>
    <row r="17" spans="1:7">
      <c r="A17" s="3254">
        <v>16</v>
      </c>
      <c r="B17" s="3614"/>
      <c r="C17" s="3611" t="s">
        <v>5055</v>
      </c>
      <c r="D17" s="3611"/>
      <c r="E17" s="3257" t="s">
        <v>4161</v>
      </c>
      <c r="F17" s="3257">
        <v>33.93</v>
      </c>
      <c r="G17" s="3255" t="s">
        <v>5056</v>
      </c>
    </row>
    <row r="18" spans="1:7">
      <c r="A18" s="3254">
        <v>17</v>
      </c>
      <c r="B18" s="3614"/>
      <c r="C18" s="3611" t="s">
        <v>5055</v>
      </c>
      <c r="D18" s="3611"/>
      <c r="E18" s="3257" t="s">
        <v>4162</v>
      </c>
      <c r="F18" s="3257">
        <v>33.93</v>
      </c>
      <c r="G18" s="3255" t="s">
        <v>5056</v>
      </c>
    </row>
    <row r="19" spans="1:7">
      <c r="A19" s="3254">
        <v>18</v>
      </c>
      <c r="B19" s="3614"/>
      <c r="C19" s="3611" t="s">
        <v>5055</v>
      </c>
      <c r="D19" s="3611"/>
      <c r="E19" s="3257" t="s">
        <v>4163</v>
      </c>
      <c r="F19" s="3257">
        <v>33.93</v>
      </c>
      <c r="G19" s="3255" t="s">
        <v>5056</v>
      </c>
    </row>
    <row r="20" spans="1:7">
      <c r="A20" s="3254">
        <v>19</v>
      </c>
      <c r="B20" s="3614"/>
      <c r="C20" s="3611" t="s">
        <v>5055</v>
      </c>
      <c r="D20" s="3611"/>
      <c r="E20" s="3257" t="s">
        <v>4164</v>
      </c>
      <c r="F20" s="3257">
        <v>33.93</v>
      </c>
      <c r="G20" s="3255" t="s">
        <v>5056</v>
      </c>
    </row>
    <row r="21" spans="1:7">
      <c r="A21" s="3254">
        <v>20</v>
      </c>
      <c r="B21" s="3614"/>
      <c r="C21" s="3611" t="s">
        <v>5055</v>
      </c>
      <c r="D21" s="3611"/>
      <c r="E21" s="3257" t="s">
        <v>4165</v>
      </c>
      <c r="F21" s="3257">
        <v>33.93</v>
      </c>
      <c r="G21" s="3255" t="s">
        <v>5056</v>
      </c>
    </row>
    <row r="22" spans="1:7">
      <c r="A22" s="3254">
        <v>21</v>
      </c>
      <c r="B22" s="3614"/>
      <c r="C22" s="3611" t="s">
        <v>5055</v>
      </c>
      <c r="D22" s="3611"/>
      <c r="E22" s="3257" t="s">
        <v>4166</v>
      </c>
      <c r="F22" s="3257">
        <v>32.58</v>
      </c>
      <c r="G22" s="3255" t="s">
        <v>5056</v>
      </c>
    </row>
    <row r="23" spans="1:7">
      <c r="A23" s="3254">
        <v>22</v>
      </c>
      <c r="B23" s="3614"/>
      <c r="C23" s="3611" t="s">
        <v>5055</v>
      </c>
      <c r="D23" s="3611"/>
      <c r="E23" s="3257" t="s">
        <v>4167</v>
      </c>
      <c r="F23" s="3257">
        <v>33.93</v>
      </c>
      <c r="G23" s="3255" t="s">
        <v>5056</v>
      </c>
    </row>
    <row r="24" spans="1:7">
      <c r="A24" s="3254">
        <v>23</v>
      </c>
      <c r="B24" s="3614"/>
      <c r="C24" s="3611" t="s">
        <v>5055</v>
      </c>
      <c r="D24" s="3611"/>
      <c r="E24" s="3257" t="s">
        <v>4168</v>
      </c>
      <c r="F24" s="3257">
        <v>33.93</v>
      </c>
      <c r="G24" s="3255" t="s">
        <v>5056</v>
      </c>
    </row>
    <row r="25" spans="1:7">
      <c r="A25" s="3254">
        <v>24</v>
      </c>
      <c r="B25" s="3614"/>
      <c r="C25" s="3611" t="s">
        <v>5055</v>
      </c>
      <c r="D25" s="3611"/>
      <c r="E25" s="3257" t="s">
        <v>4169</v>
      </c>
      <c r="F25" s="3257">
        <v>33.93</v>
      </c>
      <c r="G25" s="3255" t="s">
        <v>5056</v>
      </c>
    </row>
    <row r="26" spans="1:7">
      <c r="A26" s="3254">
        <v>25</v>
      </c>
      <c r="B26" s="3614"/>
      <c r="C26" s="3611" t="s">
        <v>5055</v>
      </c>
      <c r="D26" s="3611"/>
      <c r="E26" s="3257" t="s">
        <v>4170</v>
      </c>
      <c r="F26" s="3257">
        <v>32.58</v>
      </c>
      <c r="G26" s="3255" t="s">
        <v>5056</v>
      </c>
    </row>
    <row r="27" spans="1:7">
      <c r="A27" s="3254">
        <v>26</v>
      </c>
      <c r="B27" s="3614"/>
      <c r="C27" s="3611" t="s">
        <v>5055</v>
      </c>
      <c r="D27" s="3611"/>
      <c r="E27" s="3257" t="s">
        <v>4171</v>
      </c>
      <c r="F27" s="3257">
        <v>32.58</v>
      </c>
      <c r="G27" s="3255" t="s">
        <v>5056</v>
      </c>
    </row>
    <row r="28" spans="1:7">
      <c r="A28" s="3254">
        <v>27</v>
      </c>
      <c r="B28" s="3614"/>
      <c r="C28" s="3611" t="s">
        <v>5055</v>
      </c>
      <c r="D28" s="3611"/>
      <c r="E28" s="3257" t="s">
        <v>4172</v>
      </c>
      <c r="F28" s="3257">
        <v>32.58</v>
      </c>
      <c r="G28" s="3255" t="s">
        <v>5056</v>
      </c>
    </row>
    <row r="29" spans="1:7">
      <c r="A29" s="3254">
        <v>28</v>
      </c>
      <c r="B29" s="3614"/>
      <c r="C29" s="3611" t="s">
        <v>5055</v>
      </c>
      <c r="D29" s="3611"/>
      <c r="E29" s="3257" t="s">
        <v>4173</v>
      </c>
      <c r="F29" s="3257">
        <v>32.58</v>
      </c>
      <c r="G29" s="3255" t="s">
        <v>5056</v>
      </c>
    </row>
    <row r="30" spans="1:7">
      <c r="A30" s="3254">
        <v>29</v>
      </c>
      <c r="B30" s="3614"/>
      <c r="C30" s="3611" t="s">
        <v>5055</v>
      </c>
      <c r="D30" s="3611"/>
      <c r="E30" s="3257" t="s">
        <v>4174</v>
      </c>
      <c r="F30" s="3257">
        <v>32.58</v>
      </c>
      <c r="G30" s="3255" t="s">
        <v>5056</v>
      </c>
    </row>
    <row r="31" spans="1:7">
      <c r="A31" s="3254">
        <v>30</v>
      </c>
      <c r="B31" s="3614"/>
      <c r="C31" s="3611" t="s">
        <v>5055</v>
      </c>
      <c r="D31" s="3611"/>
      <c r="E31" s="3257" t="s">
        <v>4175</v>
      </c>
      <c r="F31" s="3257">
        <v>32.58</v>
      </c>
      <c r="G31" s="3255" t="s">
        <v>5056</v>
      </c>
    </row>
    <row r="32" spans="1:7">
      <c r="A32" s="3254">
        <v>31</v>
      </c>
      <c r="B32" s="3614"/>
      <c r="C32" s="3611" t="s">
        <v>5055</v>
      </c>
      <c r="D32" s="3611"/>
      <c r="E32" s="3257" t="s">
        <v>4176</v>
      </c>
      <c r="F32" s="3257">
        <v>32.58</v>
      </c>
      <c r="G32" s="3255" t="s">
        <v>5056</v>
      </c>
    </row>
    <row r="33" spans="1:7">
      <c r="A33" s="3254">
        <v>32</v>
      </c>
      <c r="B33" s="3614"/>
      <c r="C33" s="3611" t="s">
        <v>5055</v>
      </c>
      <c r="D33" s="3611"/>
      <c r="E33" s="3257" t="s">
        <v>4177</v>
      </c>
      <c r="F33" s="3257">
        <v>32.58</v>
      </c>
      <c r="G33" s="3255" t="s">
        <v>5056</v>
      </c>
    </row>
    <row r="34" spans="1:7">
      <c r="A34" s="3254">
        <v>33</v>
      </c>
      <c r="B34" s="3614"/>
      <c r="C34" s="3611" t="s">
        <v>5055</v>
      </c>
      <c r="D34" s="3611"/>
      <c r="E34" s="3257" t="s">
        <v>4178</v>
      </c>
      <c r="F34" s="3257">
        <v>32.58</v>
      </c>
      <c r="G34" s="3255" t="s">
        <v>5056</v>
      </c>
    </row>
    <row r="35" spans="1:7">
      <c r="A35" s="3254">
        <v>34</v>
      </c>
      <c r="B35" s="3614"/>
      <c r="C35" s="3611" t="s">
        <v>5055</v>
      </c>
      <c r="D35" s="3611"/>
      <c r="E35" s="3257" t="s">
        <v>4179</v>
      </c>
      <c r="F35" s="3257">
        <v>32.58</v>
      </c>
      <c r="G35" s="3255" t="s">
        <v>5056</v>
      </c>
    </row>
    <row r="36" spans="1:7">
      <c r="A36" s="3254">
        <v>35</v>
      </c>
      <c r="B36" s="3614"/>
      <c r="C36" s="3611" t="s">
        <v>5055</v>
      </c>
      <c r="D36" s="3611"/>
      <c r="E36" s="3257" t="s">
        <v>4180</v>
      </c>
      <c r="F36" s="3257">
        <v>32.58</v>
      </c>
      <c r="G36" s="3255" t="s">
        <v>5056</v>
      </c>
    </row>
    <row r="37" spans="1:7">
      <c r="A37" s="3254">
        <v>36</v>
      </c>
      <c r="B37" s="3614"/>
      <c r="C37" s="3611" t="s">
        <v>5055</v>
      </c>
      <c r="D37" s="3611"/>
      <c r="E37" s="3257" t="s">
        <v>4181</v>
      </c>
      <c r="F37" s="3257">
        <v>32.58</v>
      </c>
      <c r="G37" s="3255" t="s">
        <v>5056</v>
      </c>
    </row>
    <row r="38" spans="1:7">
      <c r="A38" s="3254">
        <v>37</v>
      </c>
      <c r="B38" s="3614"/>
      <c r="C38" s="3611" t="s">
        <v>5055</v>
      </c>
      <c r="D38" s="3611"/>
      <c r="E38" s="3257" t="s">
        <v>4182</v>
      </c>
      <c r="F38" s="3257">
        <v>32.58</v>
      </c>
      <c r="G38" s="3255" t="s">
        <v>5056</v>
      </c>
    </row>
    <row r="39" spans="1:7">
      <c r="A39" s="3254">
        <v>38</v>
      </c>
      <c r="B39" s="3614"/>
      <c r="C39" s="3611" t="s">
        <v>5055</v>
      </c>
      <c r="D39" s="3611"/>
      <c r="E39" s="3257" t="s">
        <v>4183</v>
      </c>
      <c r="F39" s="3257">
        <v>32.58</v>
      </c>
      <c r="G39" s="3255" t="s">
        <v>5056</v>
      </c>
    </row>
    <row r="40" spans="1:7">
      <c r="A40" s="3254">
        <v>39</v>
      </c>
      <c r="B40" s="3614"/>
      <c r="C40" s="3611" t="s">
        <v>5055</v>
      </c>
      <c r="D40" s="3611"/>
      <c r="E40" s="3257" t="s">
        <v>4184</v>
      </c>
      <c r="F40" s="3257">
        <v>32.58</v>
      </c>
      <c r="G40" s="3255" t="s">
        <v>5056</v>
      </c>
    </row>
    <row r="41" spans="1:7">
      <c r="A41" s="3254">
        <v>40</v>
      </c>
      <c r="B41" s="3614"/>
      <c r="C41" s="3611" t="s">
        <v>5055</v>
      </c>
      <c r="D41" s="3611"/>
      <c r="E41" s="3257" t="s">
        <v>4185</v>
      </c>
      <c r="F41" s="3257">
        <v>32.58</v>
      </c>
      <c r="G41" s="3255" t="s">
        <v>5056</v>
      </c>
    </row>
    <row r="42" spans="1:7">
      <c r="A42" s="3254">
        <v>41</v>
      </c>
      <c r="B42" s="3614"/>
      <c r="C42" s="3611" t="s">
        <v>5055</v>
      </c>
      <c r="D42" s="3611"/>
      <c r="E42" s="3257" t="s">
        <v>4186</v>
      </c>
      <c r="F42" s="3257">
        <v>32.58</v>
      </c>
      <c r="G42" s="3255" t="s">
        <v>5056</v>
      </c>
    </row>
    <row r="43" spans="1:7">
      <c r="A43" s="3254">
        <v>42</v>
      </c>
      <c r="B43" s="3614"/>
      <c r="C43" s="3611" t="s">
        <v>5055</v>
      </c>
      <c r="D43" s="3611"/>
      <c r="E43" s="3257" t="s">
        <v>4187</v>
      </c>
      <c r="F43" s="3257">
        <v>32.58</v>
      </c>
      <c r="G43" s="3255" t="s">
        <v>5056</v>
      </c>
    </row>
    <row r="44" spans="1:7">
      <c r="A44" s="3254">
        <v>43</v>
      </c>
      <c r="B44" s="3614"/>
      <c r="C44" s="3611" t="s">
        <v>5055</v>
      </c>
      <c r="D44" s="3611"/>
      <c r="E44" s="3257" t="s">
        <v>4188</v>
      </c>
      <c r="F44" s="3257">
        <v>32.58</v>
      </c>
      <c r="G44" s="3255" t="s">
        <v>5056</v>
      </c>
    </row>
    <row r="45" spans="1:7">
      <c r="A45" s="3254">
        <v>44</v>
      </c>
      <c r="B45" s="3614"/>
      <c r="C45" s="3611" t="s">
        <v>5055</v>
      </c>
      <c r="D45" s="3611"/>
      <c r="E45" s="3257" t="s">
        <v>4189</v>
      </c>
      <c r="F45" s="3257">
        <v>32.58</v>
      </c>
      <c r="G45" s="3255" t="s">
        <v>5056</v>
      </c>
    </row>
    <row r="46" spans="1:7">
      <c r="A46" s="3254">
        <v>45</v>
      </c>
      <c r="B46" s="3614"/>
      <c r="C46" s="3611" t="s">
        <v>5055</v>
      </c>
      <c r="D46" s="3611"/>
      <c r="E46" s="3257" t="s">
        <v>4190</v>
      </c>
      <c r="F46" s="3257">
        <v>32.58</v>
      </c>
      <c r="G46" s="3255" t="s">
        <v>5056</v>
      </c>
    </row>
    <row r="47" spans="1:7">
      <c r="A47" s="3254">
        <v>46</v>
      </c>
      <c r="B47" s="3614"/>
      <c r="C47" s="3611" t="s">
        <v>5055</v>
      </c>
      <c r="D47" s="3611"/>
      <c r="E47" s="3257" t="s">
        <v>4191</v>
      </c>
      <c r="F47" s="3257">
        <v>32.58</v>
      </c>
      <c r="G47" s="3255" t="s">
        <v>5056</v>
      </c>
    </row>
    <row r="48" spans="1:7">
      <c r="A48" s="3254">
        <v>47</v>
      </c>
      <c r="B48" s="3614"/>
      <c r="C48" s="3611" t="s">
        <v>5055</v>
      </c>
      <c r="D48" s="3611"/>
      <c r="E48" s="3257" t="s">
        <v>4192</v>
      </c>
      <c r="F48" s="3257">
        <v>32.58</v>
      </c>
      <c r="G48" s="3255" t="s">
        <v>5056</v>
      </c>
    </row>
    <row r="49" spans="1:7">
      <c r="A49" s="3254">
        <v>48</v>
      </c>
      <c r="B49" s="3614"/>
      <c r="C49" s="3611" t="s">
        <v>5055</v>
      </c>
      <c r="D49" s="3611"/>
      <c r="E49" s="3257" t="s">
        <v>4193</v>
      </c>
      <c r="F49" s="3257">
        <v>32.58</v>
      </c>
      <c r="G49" s="3255" t="s">
        <v>5056</v>
      </c>
    </row>
    <row r="50" spans="1:7">
      <c r="A50" s="3254">
        <v>49</v>
      </c>
      <c r="B50" s="3614"/>
      <c r="C50" s="3611" t="s">
        <v>5055</v>
      </c>
      <c r="D50" s="3611"/>
      <c r="E50" s="3257" t="s">
        <v>4194</v>
      </c>
      <c r="F50" s="3257">
        <v>32.58</v>
      </c>
      <c r="G50" s="3255" t="s">
        <v>5056</v>
      </c>
    </row>
    <row r="51" spans="1:7">
      <c r="A51" s="3254">
        <v>50</v>
      </c>
      <c r="B51" s="3614"/>
      <c r="C51" s="3611" t="s">
        <v>5055</v>
      </c>
      <c r="D51" s="3611"/>
      <c r="E51" s="3257" t="s">
        <v>4195</v>
      </c>
      <c r="F51" s="3257">
        <v>32.58</v>
      </c>
      <c r="G51" s="3255" t="s">
        <v>5056</v>
      </c>
    </row>
    <row r="52" spans="1:7">
      <c r="A52" s="3254">
        <v>51</v>
      </c>
      <c r="B52" s="3614"/>
      <c r="C52" s="3611" t="s">
        <v>5055</v>
      </c>
      <c r="D52" s="3611"/>
      <c r="E52" s="3257" t="s">
        <v>4196</v>
      </c>
      <c r="F52" s="3257">
        <v>32.58</v>
      </c>
      <c r="G52" s="3255" t="s">
        <v>5056</v>
      </c>
    </row>
    <row r="53" spans="1:7">
      <c r="A53" s="3254">
        <v>52</v>
      </c>
      <c r="B53" s="3614"/>
      <c r="C53" s="3611" t="s">
        <v>5055</v>
      </c>
      <c r="D53" s="3611"/>
      <c r="E53" s="3257" t="s">
        <v>4197</v>
      </c>
      <c r="F53" s="3257">
        <v>32.58</v>
      </c>
      <c r="G53" s="3255" t="s">
        <v>5056</v>
      </c>
    </row>
    <row r="54" spans="1:7">
      <c r="A54" s="3254">
        <v>53</v>
      </c>
      <c r="B54" s="3614"/>
      <c r="C54" s="3611" t="s">
        <v>5055</v>
      </c>
      <c r="D54" s="3611"/>
      <c r="E54" s="3257" t="s">
        <v>4198</v>
      </c>
      <c r="F54" s="3257">
        <v>32.58</v>
      </c>
      <c r="G54" s="3255" t="s">
        <v>5056</v>
      </c>
    </row>
    <row r="55" spans="1:7">
      <c r="A55" s="3254">
        <v>54</v>
      </c>
      <c r="B55" s="3614"/>
      <c r="C55" s="3611" t="s">
        <v>5055</v>
      </c>
      <c r="D55" s="3611"/>
      <c r="E55" s="3257" t="s">
        <v>4199</v>
      </c>
      <c r="F55" s="3257">
        <v>32.58</v>
      </c>
      <c r="G55" s="3255" t="s">
        <v>5056</v>
      </c>
    </row>
    <row r="56" spans="1:7">
      <c r="A56" s="3254">
        <v>55</v>
      </c>
      <c r="B56" s="3614"/>
      <c r="C56" s="3611" t="s">
        <v>5055</v>
      </c>
      <c r="D56" s="3611"/>
      <c r="E56" s="3257" t="s">
        <v>4200</v>
      </c>
      <c r="F56" s="3257">
        <v>32.58</v>
      </c>
      <c r="G56" s="3255" t="s">
        <v>5056</v>
      </c>
    </row>
    <row r="57" spans="1:7">
      <c r="A57" s="3254">
        <v>56</v>
      </c>
      <c r="B57" s="3614"/>
      <c r="C57" s="3611" t="s">
        <v>5055</v>
      </c>
      <c r="D57" s="3611"/>
      <c r="E57" s="3257" t="s">
        <v>4201</v>
      </c>
      <c r="F57" s="3257">
        <v>32.58</v>
      </c>
      <c r="G57" s="3255" t="s">
        <v>5056</v>
      </c>
    </row>
    <row r="58" spans="1:7">
      <c r="A58" s="3254">
        <v>57</v>
      </c>
      <c r="B58" s="3614"/>
      <c r="C58" s="3611" t="s">
        <v>5055</v>
      </c>
      <c r="D58" s="3611"/>
      <c r="E58" s="3257" t="s">
        <v>4202</v>
      </c>
      <c r="F58" s="3257">
        <v>32.58</v>
      </c>
      <c r="G58" s="3255" t="s">
        <v>5056</v>
      </c>
    </row>
    <row r="59" spans="1:7">
      <c r="A59" s="3254">
        <v>58</v>
      </c>
      <c r="B59" s="3614"/>
      <c r="C59" s="3611" t="s">
        <v>5055</v>
      </c>
      <c r="D59" s="3611"/>
      <c r="E59" s="3257" t="s">
        <v>4203</v>
      </c>
      <c r="F59" s="3257">
        <v>32.58</v>
      </c>
      <c r="G59" s="3255" t="s">
        <v>5056</v>
      </c>
    </row>
    <row r="60" spans="1:7">
      <c r="A60" s="3254">
        <v>59</v>
      </c>
      <c r="B60" s="3614"/>
      <c r="C60" s="3611" t="s">
        <v>5055</v>
      </c>
      <c r="D60" s="3611"/>
      <c r="E60" s="3257" t="s">
        <v>4204</v>
      </c>
      <c r="F60" s="3257">
        <v>32.58</v>
      </c>
      <c r="G60" s="3255" t="s">
        <v>5056</v>
      </c>
    </row>
    <row r="61" spans="1:7">
      <c r="A61" s="3254">
        <v>60</v>
      </c>
      <c r="B61" s="3614"/>
      <c r="C61" s="3611" t="s">
        <v>5055</v>
      </c>
      <c r="D61" s="3611"/>
      <c r="E61" s="3257" t="s">
        <v>4205</v>
      </c>
      <c r="F61" s="3257">
        <v>32.58</v>
      </c>
      <c r="G61" s="3255" t="s">
        <v>5056</v>
      </c>
    </row>
    <row r="62" spans="1:7">
      <c r="A62" s="3254">
        <v>61</v>
      </c>
      <c r="B62" s="3614"/>
      <c r="C62" s="3611" t="s">
        <v>5055</v>
      </c>
      <c r="D62" s="3611"/>
      <c r="E62" s="3257" t="s">
        <v>4206</v>
      </c>
      <c r="F62" s="3257">
        <v>32.58</v>
      </c>
      <c r="G62" s="3255" t="s">
        <v>5056</v>
      </c>
    </row>
    <row r="63" spans="1:7">
      <c r="A63" s="3254">
        <v>62</v>
      </c>
      <c r="B63" s="3614"/>
      <c r="C63" s="3611" t="s">
        <v>5055</v>
      </c>
      <c r="D63" s="3611"/>
      <c r="E63" s="3257" t="s">
        <v>4207</v>
      </c>
      <c r="F63" s="3257">
        <v>32.58</v>
      </c>
      <c r="G63" s="3255" t="s">
        <v>5056</v>
      </c>
    </row>
    <row r="64" spans="1:7">
      <c r="A64" s="3254">
        <v>63</v>
      </c>
      <c r="B64" s="3614"/>
      <c r="C64" s="3611" t="s">
        <v>5055</v>
      </c>
      <c r="D64" s="3611"/>
      <c r="E64" s="3257" t="s">
        <v>4208</v>
      </c>
      <c r="F64" s="3257">
        <v>32.58</v>
      </c>
      <c r="G64" s="3255" t="s">
        <v>5056</v>
      </c>
    </row>
    <row r="65" spans="1:7">
      <c r="A65" s="3254">
        <v>64</v>
      </c>
      <c r="B65" s="3614"/>
      <c r="C65" s="3611" t="s">
        <v>5055</v>
      </c>
      <c r="D65" s="3611"/>
      <c r="E65" s="3257" t="s">
        <v>4209</v>
      </c>
      <c r="F65" s="3257">
        <v>32.58</v>
      </c>
      <c r="G65" s="3255" t="s">
        <v>5056</v>
      </c>
    </row>
    <row r="66" spans="1:7">
      <c r="A66" s="3254">
        <v>65</v>
      </c>
      <c r="B66" s="3614"/>
      <c r="C66" s="3611" t="s">
        <v>5055</v>
      </c>
      <c r="D66" s="3611"/>
      <c r="E66" s="3257" t="s">
        <v>4210</v>
      </c>
      <c r="F66" s="3257">
        <v>32.58</v>
      </c>
      <c r="G66" s="3255" t="s">
        <v>5056</v>
      </c>
    </row>
    <row r="67" spans="1:7">
      <c r="A67" s="3254">
        <v>66</v>
      </c>
      <c r="B67" s="3614"/>
      <c r="C67" s="3611" t="s">
        <v>5055</v>
      </c>
      <c r="D67" s="3611"/>
      <c r="E67" s="3257" t="s">
        <v>4211</v>
      </c>
      <c r="F67" s="3257">
        <v>32.58</v>
      </c>
      <c r="G67" s="3255" t="s">
        <v>5056</v>
      </c>
    </row>
    <row r="68" spans="1:7">
      <c r="A68" s="3254">
        <v>67</v>
      </c>
      <c r="B68" s="3614"/>
      <c r="C68" s="3611" t="s">
        <v>5055</v>
      </c>
      <c r="D68" s="3611"/>
      <c r="E68" s="3257" t="s">
        <v>4212</v>
      </c>
      <c r="F68" s="3257">
        <v>32.58</v>
      </c>
      <c r="G68" s="3255" t="s">
        <v>5056</v>
      </c>
    </row>
    <row r="69" spans="1:7">
      <c r="A69" s="3254">
        <v>68</v>
      </c>
      <c r="B69" s="3614"/>
      <c r="C69" s="3611" t="s">
        <v>5055</v>
      </c>
      <c r="D69" s="3611"/>
      <c r="E69" s="3257" t="s">
        <v>4213</v>
      </c>
      <c r="F69" s="3257">
        <v>32.58</v>
      </c>
      <c r="G69" s="3255" t="s">
        <v>5056</v>
      </c>
    </row>
    <row r="70" spans="1:7">
      <c r="A70" s="3254">
        <v>69</v>
      </c>
      <c r="B70" s="3614"/>
      <c r="C70" s="3611" t="s">
        <v>5055</v>
      </c>
      <c r="D70" s="3611"/>
      <c r="E70" s="3257" t="s">
        <v>4214</v>
      </c>
      <c r="F70" s="3257">
        <v>32.58</v>
      </c>
      <c r="G70" s="3255" t="s">
        <v>5056</v>
      </c>
    </row>
    <row r="71" spans="1:7">
      <c r="A71" s="3254">
        <v>70</v>
      </c>
      <c r="B71" s="3614"/>
      <c r="C71" s="3611" t="s">
        <v>5055</v>
      </c>
      <c r="D71" s="3611"/>
      <c r="E71" s="3257" t="s">
        <v>4215</v>
      </c>
      <c r="F71" s="3257">
        <v>32.58</v>
      </c>
      <c r="G71" s="3255" t="s">
        <v>5056</v>
      </c>
    </row>
    <row r="72" spans="1:7">
      <c r="A72" s="3254">
        <v>71</v>
      </c>
      <c r="B72" s="3614"/>
      <c r="C72" s="3611" t="s">
        <v>5055</v>
      </c>
      <c r="D72" s="3611"/>
      <c r="E72" s="3257" t="s">
        <v>4216</v>
      </c>
      <c r="F72" s="3257">
        <v>32.58</v>
      </c>
      <c r="G72" s="3255" t="s">
        <v>5056</v>
      </c>
    </row>
    <row r="73" spans="1:7">
      <c r="A73" s="3254">
        <v>72</v>
      </c>
      <c r="B73" s="3614"/>
      <c r="C73" s="3611" t="s">
        <v>5055</v>
      </c>
      <c r="D73" s="3611"/>
      <c r="E73" s="3257" t="s">
        <v>4217</v>
      </c>
      <c r="F73" s="3257">
        <v>32.58</v>
      </c>
      <c r="G73" s="3255" t="s">
        <v>5056</v>
      </c>
    </row>
    <row r="74" spans="1:7">
      <c r="A74" s="3254">
        <v>73</v>
      </c>
      <c r="B74" s="3614"/>
      <c r="C74" s="3611" t="s">
        <v>5055</v>
      </c>
      <c r="D74" s="3611"/>
      <c r="E74" s="3257" t="s">
        <v>4218</v>
      </c>
      <c r="F74" s="3257">
        <v>32.58</v>
      </c>
      <c r="G74" s="3255" t="s">
        <v>5056</v>
      </c>
    </row>
    <row r="75" spans="1:7">
      <c r="A75" s="3254">
        <v>74</v>
      </c>
      <c r="B75" s="3614"/>
      <c r="C75" s="3611" t="s">
        <v>5055</v>
      </c>
      <c r="D75" s="3611"/>
      <c r="E75" s="3257" t="s">
        <v>4219</v>
      </c>
      <c r="F75" s="3257">
        <v>32.58</v>
      </c>
      <c r="G75" s="3255" t="s">
        <v>5056</v>
      </c>
    </row>
    <row r="76" spans="1:7">
      <c r="A76" s="3254">
        <v>75</v>
      </c>
      <c r="B76" s="3614"/>
      <c r="C76" s="3611" t="s">
        <v>5055</v>
      </c>
      <c r="D76" s="3611"/>
      <c r="E76" s="3257" t="s">
        <v>4220</v>
      </c>
      <c r="F76" s="3257">
        <v>33.93</v>
      </c>
      <c r="G76" s="3255" t="s">
        <v>5056</v>
      </c>
    </row>
    <row r="77" spans="1:7">
      <c r="A77" s="3254">
        <v>76</v>
      </c>
      <c r="B77" s="3614"/>
      <c r="C77" s="3611" t="s">
        <v>5055</v>
      </c>
      <c r="D77" s="3611"/>
      <c r="E77" s="3257" t="s">
        <v>4221</v>
      </c>
      <c r="F77" s="3257">
        <v>33.93</v>
      </c>
      <c r="G77" s="3255" t="s">
        <v>5056</v>
      </c>
    </row>
    <row r="78" spans="1:7">
      <c r="A78" s="3254">
        <v>77</v>
      </c>
      <c r="B78" s="3614"/>
      <c r="C78" s="3611" t="s">
        <v>5055</v>
      </c>
      <c r="D78" s="3611"/>
      <c r="E78" s="3257" t="s">
        <v>4222</v>
      </c>
      <c r="F78" s="3257">
        <v>33.93</v>
      </c>
      <c r="G78" s="3255" t="s">
        <v>5056</v>
      </c>
    </row>
    <row r="79" spans="1:7">
      <c r="A79" s="3254">
        <v>78</v>
      </c>
      <c r="B79" s="3614"/>
      <c r="C79" s="3611" t="s">
        <v>5055</v>
      </c>
      <c r="D79" s="3611"/>
      <c r="E79" s="3257" t="s">
        <v>4223</v>
      </c>
      <c r="F79" s="3257">
        <v>33.93</v>
      </c>
      <c r="G79" s="3255" t="s">
        <v>5056</v>
      </c>
    </row>
    <row r="80" spans="1:7">
      <c r="A80" s="3254">
        <v>79</v>
      </c>
      <c r="B80" s="3614"/>
      <c r="C80" s="3611" t="s">
        <v>5055</v>
      </c>
      <c r="D80" s="3611"/>
      <c r="E80" s="3257" t="s">
        <v>4224</v>
      </c>
      <c r="F80" s="3257">
        <v>33.93</v>
      </c>
      <c r="G80" s="3255" t="s">
        <v>5056</v>
      </c>
    </row>
    <row r="81" spans="1:7">
      <c r="A81" s="3254">
        <v>80</v>
      </c>
      <c r="B81" s="3614"/>
      <c r="C81" s="3611" t="s">
        <v>5055</v>
      </c>
      <c r="D81" s="3611"/>
      <c r="E81" s="3257" t="s">
        <v>4225</v>
      </c>
      <c r="F81" s="3257">
        <v>33.93</v>
      </c>
      <c r="G81" s="3255" t="s">
        <v>5056</v>
      </c>
    </row>
    <row r="82" spans="1:7">
      <c r="A82" s="3254">
        <v>81</v>
      </c>
      <c r="B82" s="3614"/>
      <c r="C82" s="3611" t="s">
        <v>5055</v>
      </c>
      <c r="D82" s="3611"/>
      <c r="E82" s="3257" t="s">
        <v>4226</v>
      </c>
      <c r="F82" s="3257">
        <v>33.93</v>
      </c>
      <c r="G82" s="3255" t="s">
        <v>5056</v>
      </c>
    </row>
    <row r="83" spans="1:7">
      <c r="A83" s="3254">
        <v>82</v>
      </c>
      <c r="B83" s="3614"/>
      <c r="C83" s="3611" t="s">
        <v>5055</v>
      </c>
      <c r="D83" s="3611"/>
      <c r="E83" s="3257" t="s">
        <v>4227</v>
      </c>
      <c r="F83" s="3257">
        <v>33.93</v>
      </c>
      <c r="G83" s="3255" t="s">
        <v>5056</v>
      </c>
    </row>
    <row r="84" spans="1:7">
      <c r="A84" s="3254">
        <v>83</v>
      </c>
      <c r="B84" s="3614"/>
      <c r="C84" s="3611" t="s">
        <v>5055</v>
      </c>
      <c r="D84" s="3611"/>
      <c r="E84" s="3257" t="s">
        <v>4228</v>
      </c>
      <c r="F84" s="3257">
        <v>33.93</v>
      </c>
      <c r="G84" s="3255" t="s">
        <v>5056</v>
      </c>
    </row>
    <row r="85" spans="1:7">
      <c r="A85" s="3254">
        <v>84</v>
      </c>
      <c r="B85" s="3614"/>
      <c r="C85" s="3611" t="s">
        <v>5055</v>
      </c>
      <c r="D85" s="3611"/>
      <c r="E85" s="3257" t="s">
        <v>4229</v>
      </c>
      <c r="F85" s="3257">
        <v>33.93</v>
      </c>
      <c r="G85" s="3255" t="s">
        <v>5056</v>
      </c>
    </row>
    <row r="86" spans="1:7">
      <c r="A86" s="3254">
        <v>85</v>
      </c>
      <c r="B86" s="3614"/>
      <c r="C86" s="3611" t="s">
        <v>5055</v>
      </c>
      <c r="D86" s="3611"/>
      <c r="E86" s="3257" t="s">
        <v>4230</v>
      </c>
      <c r="F86" s="3257">
        <v>33.93</v>
      </c>
      <c r="G86" s="3255" t="s">
        <v>5056</v>
      </c>
    </row>
    <row r="87" spans="1:7">
      <c r="A87" s="3254">
        <v>86</v>
      </c>
      <c r="B87" s="3614"/>
      <c r="C87" s="3611" t="s">
        <v>5055</v>
      </c>
      <c r="D87" s="3611"/>
      <c r="E87" s="3257" t="s">
        <v>4231</v>
      </c>
      <c r="F87" s="3257">
        <v>33.93</v>
      </c>
      <c r="G87" s="3255" t="s">
        <v>5056</v>
      </c>
    </row>
    <row r="88" spans="1:7">
      <c r="A88" s="3254">
        <v>87</v>
      </c>
      <c r="B88" s="3614"/>
      <c r="C88" s="3611" t="s">
        <v>5055</v>
      </c>
      <c r="D88" s="3611"/>
      <c r="E88" s="3257" t="s">
        <v>4232</v>
      </c>
      <c r="F88" s="3257">
        <v>33.36</v>
      </c>
      <c r="G88" s="3255" t="s">
        <v>5056</v>
      </c>
    </row>
    <row r="89" spans="1:7">
      <c r="A89" s="3254">
        <v>88</v>
      </c>
      <c r="B89" s="3614"/>
      <c r="C89" s="3611" t="s">
        <v>5055</v>
      </c>
      <c r="D89" s="3611"/>
      <c r="E89" s="3257" t="s">
        <v>4233</v>
      </c>
      <c r="F89" s="3257">
        <v>33.36</v>
      </c>
      <c r="G89" s="3255" t="s">
        <v>5056</v>
      </c>
    </row>
    <row r="90" spans="1:7">
      <c r="A90" s="3254">
        <v>89</v>
      </c>
      <c r="B90" s="3614"/>
      <c r="C90" s="3611" t="s">
        <v>5055</v>
      </c>
      <c r="D90" s="3611"/>
      <c r="E90" s="3257" t="s">
        <v>4234</v>
      </c>
      <c r="F90" s="3257">
        <v>32.020000000000003</v>
      </c>
      <c r="G90" s="3255" t="s">
        <v>5056</v>
      </c>
    </row>
    <row r="91" spans="1:7">
      <c r="A91" s="3254">
        <v>90</v>
      </c>
      <c r="B91" s="3614"/>
      <c r="C91" s="3611" t="s">
        <v>5055</v>
      </c>
      <c r="D91" s="3611"/>
      <c r="E91" s="3257" t="s">
        <v>4235</v>
      </c>
      <c r="F91" s="3257">
        <v>32.020000000000003</v>
      </c>
      <c r="G91" s="3255" t="s">
        <v>5056</v>
      </c>
    </row>
    <row r="92" spans="1:7">
      <c r="A92" s="3254">
        <v>91</v>
      </c>
      <c r="B92" s="3614"/>
      <c r="C92" s="3611" t="s">
        <v>5055</v>
      </c>
      <c r="D92" s="3611"/>
      <c r="E92" s="3257" t="s">
        <v>4236</v>
      </c>
      <c r="F92" s="3257">
        <v>32.020000000000003</v>
      </c>
      <c r="G92" s="3255" t="s">
        <v>5056</v>
      </c>
    </row>
    <row r="93" spans="1:7">
      <c r="A93" s="3254">
        <v>92</v>
      </c>
      <c r="B93" s="3614"/>
      <c r="C93" s="3611" t="s">
        <v>5055</v>
      </c>
      <c r="D93" s="3611"/>
      <c r="E93" s="3257" t="s">
        <v>4237</v>
      </c>
      <c r="F93" s="3257">
        <v>32.020000000000003</v>
      </c>
      <c r="G93" s="3255" t="s">
        <v>5056</v>
      </c>
    </row>
    <row r="94" spans="1:7">
      <c r="A94" s="3254">
        <v>93</v>
      </c>
      <c r="B94" s="3614"/>
      <c r="C94" s="3611" t="s">
        <v>5055</v>
      </c>
      <c r="D94" s="3611"/>
      <c r="E94" s="3257" t="s">
        <v>4238</v>
      </c>
      <c r="F94" s="3257">
        <v>32.020000000000003</v>
      </c>
      <c r="G94" s="3255" t="s">
        <v>5056</v>
      </c>
    </row>
    <row r="95" spans="1:7">
      <c r="A95" s="3254">
        <v>94</v>
      </c>
      <c r="B95" s="3614"/>
      <c r="C95" s="3611" t="s">
        <v>5055</v>
      </c>
      <c r="D95" s="3611"/>
      <c r="E95" s="3257" t="s">
        <v>4239</v>
      </c>
      <c r="F95" s="3257">
        <v>32.020000000000003</v>
      </c>
      <c r="G95" s="3255" t="s">
        <v>5056</v>
      </c>
    </row>
    <row r="96" spans="1:7">
      <c r="A96" s="3254">
        <v>95</v>
      </c>
      <c r="B96" s="3614"/>
      <c r="C96" s="3611" t="s">
        <v>5055</v>
      </c>
      <c r="D96" s="3611"/>
      <c r="E96" s="3257" t="s">
        <v>4240</v>
      </c>
      <c r="F96" s="3257">
        <v>32.020000000000003</v>
      </c>
      <c r="G96" s="3255" t="s">
        <v>5056</v>
      </c>
    </row>
    <row r="97" spans="1:7">
      <c r="A97" s="3254">
        <v>96</v>
      </c>
      <c r="B97" s="3614"/>
      <c r="C97" s="3611" t="s">
        <v>5055</v>
      </c>
      <c r="D97" s="3611"/>
      <c r="E97" s="3257" t="s">
        <v>4241</v>
      </c>
      <c r="F97" s="3257">
        <v>32.020000000000003</v>
      </c>
      <c r="G97" s="3255" t="s">
        <v>5056</v>
      </c>
    </row>
    <row r="98" spans="1:7">
      <c r="A98" s="3254">
        <v>97</v>
      </c>
      <c r="B98" s="3614"/>
      <c r="C98" s="3611" t="s">
        <v>5055</v>
      </c>
      <c r="D98" s="3611"/>
      <c r="E98" s="3257" t="s">
        <v>4242</v>
      </c>
      <c r="F98" s="3257">
        <v>32.020000000000003</v>
      </c>
      <c r="G98" s="3255" t="s">
        <v>5056</v>
      </c>
    </row>
    <row r="99" spans="1:7">
      <c r="A99" s="3254">
        <v>98</v>
      </c>
      <c r="B99" s="3614"/>
      <c r="C99" s="3611" t="s">
        <v>5055</v>
      </c>
      <c r="D99" s="3611"/>
      <c r="E99" s="3257" t="s">
        <v>4243</v>
      </c>
      <c r="F99" s="3257">
        <v>33.36</v>
      </c>
      <c r="G99" s="3255" t="s">
        <v>5056</v>
      </c>
    </row>
    <row r="100" spans="1:7">
      <c r="A100" s="3254">
        <v>99</v>
      </c>
      <c r="B100" s="3614"/>
      <c r="C100" s="3611" t="s">
        <v>5055</v>
      </c>
      <c r="D100" s="3611"/>
      <c r="E100" s="3257" t="s">
        <v>4244</v>
      </c>
      <c r="F100" s="3257">
        <v>33.36</v>
      </c>
      <c r="G100" s="3255" t="s">
        <v>5056</v>
      </c>
    </row>
    <row r="101" spans="1:7">
      <c r="A101" s="3254">
        <v>100</v>
      </c>
      <c r="B101" s="3614"/>
      <c r="C101" s="3611" t="s">
        <v>5055</v>
      </c>
      <c r="D101" s="3611"/>
      <c r="E101" s="3257" t="s">
        <v>4245</v>
      </c>
      <c r="F101" s="3257">
        <v>33.36</v>
      </c>
      <c r="G101" s="3255" t="s">
        <v>5056</v>
      </c>
    </row>
    <row r="102" spans="1:7">
      <c r="A102" s="3254">
        <v>101</v>
      </c>
      <c r="B102" s="3614"/>
      <c r="C102" s="3611" t="s">
        <v>5055</v>
      </c>
      <c r="D102" s="3611"/>
      <c r="E102" s="3257" t="s">
        <v>4246</v>
      </c>
      <c r="F102" s="3257">
        <v>32.020000000000003</v>
      </c>
      <c r="G102" s="3255" t="s">
        <v>5056</v>
      </c>
    </row>
    <row r="103" spans="1:7">
      <c r="A103" s="3254">
        <v>102</v>
      </c>
      <c r="B103" s="3614"/>
      <c r="C103" s="3611" t="s">
        <v>5055</v>
      </c>
      <c r="D103" s="3611"/>
      <c r="E103" s="3257" t="s">
        <v>4247</v>
      </c>
      <c r="F103" s="3257">
        <v>32.020000000000003</v>
      </c>
      <c r="G103" s="3255" t="s">
        <v>5056</v>
      </c>
    </row>
    <row r="104" spans="1:7">
      <c r="A104" s="3254">
        <v>103</v>
      </c>
      <c r="B104" s="3614"/>
      <c r="C104" s="3611" t="s">
        <v>5055</v>
      </c>
      <c r="D104" s="3611"/>
      <c r="E104" s="3257" t="s">
        <v>4248</v>
      </c>
      <c r="F104" s="3257">
        <v>32.020000000000003</v>
      </c>
      <c r="G104" s="3255" t="s">
        <v>5056</v>
      </c>
    </row>
    <row r="105" spans="1:7">
      <c r="A105" s="3254">
        <v>104</v>
      </c>
      <c r="B105" s="3614"/>
      <c r="C105" s="3611" t="s">
        <v>5055</v>
      </c>
      <c r="D105" s="3611"/>
      <c r="E105" s="3257" t="s">
        <v>4249</v>
      </c>
      <c r="F105" s="3257">
        <v>32.020000000000003</v>
      </c>
      <c r="G105" s="3255" t="s">
        <v>5056</v>
      </c>
    </row>
    <row r="106" spans="1:7">
      <c r="A106" s="3254">
        <v>105</v>
      </c>
      <c r="B106" s="3614"/>
      <c r="C106" s="3611" t="s">
        <v>5055</v>
      </c>
      <c r="D106" s="3611"/>
      <c r="E106" s="3257" t="s">
        <v>4250</v>
      </c>
      <c r="F106" s="3257">
        <v>32.020000000000003</v>
      </c>
      <c r="G106" s="3255" t="s">
        <v>5056</v>
      </c>
    </row>
    <row r="107" spans="1:7">
      <c r="A107" s="3254">
        <v>106</v>
      </c>
      <c r="B107" s="3614"/>
      <c r="C107" s="3611" t="s">
        <v>5055</v>
      </c>
      <c r="D107" s="3611"/>
      <c r="E107" s="3257" t="s">
        <v>4251</v>
      </c>
      <c r="F107" s="3257">
        <v>32.020000000000003</v>
      </c>
      <c r="G107" s="3255" t="s">
        <v>5056</v>
      </c>
    </row>
    <row r="108" spans="1:7">
      <c r="A108" s="3254">
        <v>107</v>
      </c>
      <c r="B108" s="3614"/>
      <c r="C108" s="3611" t="s">
        <v>5055</v>
      </c>
      <c r="D108" s="3611"/>
      <c r="E108" s="3257" t="s">
        <v>4252</v>
      </c>
      <c r="F108" s="3257">
        <v>32.020000000000003</v>
      </c>
      <c r="G108" s="3255" t="s">
        <v>5056</v>
      </c>
    </row>
    <row r="109" spans="1:7">
      <c r="A109" s="3254">
        <v>108</v>
      </c>
      <c r="B109" s="3614"/>
      <c r="C109" s="3611" t="s">
        <v>5055</v>
      </c>
      <c r="D109" s="3611"/>
      <c r="E109" s="3257" t="s">
        <v>4253</v>
      </c>
      <c r="F109" s="3257">
        <v>32.020000000000003</v>
      </c>
      <c r="G109" s="3255" t="s">
        <v>5056</v>
      </c>
    </row>
    <row r="110" spans="1:7">
      <c r="A110" s="3254">
        <v>109</v>
      </c>
      <c r="B110" s="3614"/>
      <c r="C110" s="3611" t="s">
        <v>5055</v>
      </c>
      <c r="D110" s="3611"/>
      <c r="E110" s="3257" t="s">
        <v>4254</v>
      </c>
      <c r="F110" s="3257">
        <v>32.020000000000003</v>
      </c>
      <c r="G110" s="3255" t="s">
        <v>5056</v>
      </c>
    </row>
    <row r="111" spans="1:7">
      <c r="A111" s="3254">
        <v>110</v>
      </c>
      <c r="B111" s="3614"/>
      <c r="C111" s="3611" t="s">
        <v>5055</v>
      </c>
      <c r="D111" s="3611"/>
      <c r="E111" s="3257" t="s">
        <v>4255</v>
      </c>
      <c r="F111" s="3257">
        <v>32.020000000000003</v>
      </c>
      <c r="G111" s="3255" t="s">
        <v>5056</v>
      </c>
    </row>
    <row r="112" spans="1:7">
      <c r="A112" s="3254">
        <v>111</v>
      </c>
      <c r="B112" s="3614"/>
      <c r="C112" s="3611" t="s">
        <v>5055</v>
      </c>
      <c r="D112" s="3611"/>
      <c r="E112" s="3257" t="s">
        <v>4256</v>
      </c>
      <c r="F112" s="3257">
        <v>32.020000000000003</v>
      </c>
      <c r="G112" s="3255" t="s">
        <v>5056</v>
      </c>
    </row>
    <row r="113" spans="1:7">
      <c r="A113" s="3254">
        <v>112</v>
      </c>
      <c r="B113" s="3614"/>
      <c r="C113" s="3611" t="s">
        <v>5055</v>
      </c>
      <c r="D113" s="3611"/>
      <c r="E113" s="3257" t="s">
        <v>4257</v>
      </c>
      <c r="F113" s="3257">
        <v>32.020000000000003</v>
      </c>
      <c r="G113" s="3255" t="s">
        <v>5056</v>
      </c>
    </row>
    <row r="114" spans="1:7">
      <c r="A114" s="3254">
        <v>113</v>
      </c>
      <c r="B114" s="3614"/>
      <c r="C114" s="3611" t="s">
        <v>5055</v>
      </c>
      <c r="D114" s="3611"/>
      <c r="E114" s="3257" t="s">
        <v>4258</v>
      </c>
      <c r="F114" s="3257">
        <v>32.020000000000003</v>
      </c>
      <c r="G114" s="3255" t="s">
        <v>5056</v>
      </c>
    </row>
    <row r="115" spans="1:7">
      <c r="A115" s="3254">
        <v>114</v>
      </c>
      <c r="B115" s="3614"/>
      <c r="C115" s="3611" t="s">
        <v>5055</v>
      </c>
      <c r="D115" s="3611"/>
      <c r="E115" s="3257" t="s">
        <v>4259</v>
      </c>
      <c r="F115" s="3257">
        <v>32.020000000000003</v>
      </c>
      <c r="G115" s="3255" t="s">
        <v>5056</v>
      </c>
    </row>
    <row r="116" spans="1:7">
      <c r="A116" s="3254">
        <v>115</v>
      </c>
      <c r="B116" s="3614"/>
      <c r="C116" s="3611" t="s">
        <v>5055</v>
      </c>
      <c r="D116" s="3611"/>
      <c r="E116" s="3257" t="s">
        <v>4260</v>
      </c>
      <c r="F116" s="3257">
        <v>32.020000000000003</v>
      </c>
      <c r="G116" s="3255" t="s">
        <v>5056</v>
      </c>
    </row>
    <row r="117" spans="1:7">
      <c r="A117" s="3254">
        <v>116</v>
      </c>
      <c r="B117" s="3614"/>
      <c r="C117" s="3611" t="s">
        <v>5055</v>
      </c>
      <c r="D117" s="3611"/>
      <c r="E117" s="3257" t="s">
        <v>4261</v>
      </c>
      <c r="F117" s="3257">
        <v>32.020000000000003</v>
      </c>
      <c r="G117" s="3255" t="s">
        <v>5056</v>
      </c>
    </row>
    <row r="118" spans="1:7">
      <c r="A118" s="3254">
        <v>117</v>
      </c>
      <c r="B118" s="3614"/>
      <c r="C118" s="3611" t="s">
        <v>5055</v>
      </c>
      <c r="D118" s="3611"/>
      <c r="E118" s="3257" t="s">
        <v>4262</v>
      </c>
      <c r="F118" s="3257">
        <v>32.020000000000003</v>
      </c>
      <c r="G118" s="3255" t="s">
        <v>5056</v>
      </c>
    </row>
    <row r="119" spans="1:7">
      <c r="A119" s="3254">
        <v>118</v>
      </c>
      <c r="B119" s="3614"/>
      <c r="C119" s="3611" t="s">
        <v>5055</v>
      </c>
      <c r="D119" s="3611"/>
      <c r="E119" s="3257" t="s">
        <v>4263</v>
      </c>
      <c r="F119" s="3257">
        <v>32.020000000000003</v>
      </c>
      <c r="G119" s="3255" t="s">
        <v>5056</v>
      </c>
    </row>
    <row r="120" spans="1:7">
      <c r="A120" s="3254">
        <v>119</v>
      </c>
      <c r="B120" s="3614"/>
      <c r="C120" s="3611" t="s">
        <v>5055</v>
      </c>
      <c r="D120" s="3611"/>
      <c r="E120" s="3257" t="s">
        <v>4264</v>
      </c>
      <c r="F120" s="3257">
        <v>32.020000000000003</v>
      </c>
      <c r="G120" s="3255" t="s">
        <v>5056</v>
      </c>
    </row>
    <row r="121" spans="1:7">
      <c r="A121" s="3254">
        <v>120</v>
      </c>
      <c r="B121" s="3614"/>
      <c r="C121" s="3611" t="s">
        <v>5055</v>
      </c>
      <c r="D121" s="3611"/>
      <c r="E121" s="3257" t="s">
        <v>4265</v>
      </c>
      <c r="F121" s="3257">
        <v>32.020000000000003</v>
      </c>
      <c r="G121" s="3255" t="s">
        <v>5056</v>
      </c>
    </row>
    <row r="122" spans="1:7">
      <c r="A122" s="3254">
        <v>121</v>
      </c>
      <c r="B122" s="3614"/>
      <c r="C122" s="3611" t="s">
        <v>5055</v>
      </c>
      <c r="D122" s="3611"/>
      <c r="E122" s="3257" t="s">
        <v>4266</v>
      </c>
      <c r="F122" s="3257">
        <v>32.020000000000003</v>
      </c>
      <c r="G122" s="3255" t="s">
        <v>5056</v>
      </c>
    </row>
    <row r="123" spans="1:7">
      <c r="A123" s="3254">
        <v>122</v>
      </c>
      <c r="B123" s="3614"/>
      <c r="C123" s="3611" t="s">
        <v>5055</v>
      </c>
      <c r="D123" s="3611"/>
      <c r="E123" s="3257" t="s">
        <v>4267</v>
      </c>
      <c r="F123" s="3257">
        <v>32.020000000000003</v>
      </c>
      <c r="G123" s="3255" t="s">
        <v>5056</v>
      </c>
    </row>
    <row r="124" spans="1:7">
      <c r="A124" s="3254">
        <v>123</v>
      </c>
      <c r="B124" s="3614"/>
      <c r="C124" s="3611" t="s">
        <v>5055</v>
      </c>
      <c r="D124" s="3611"/>
      <c r="E124" s="3257" t="s">
        <v>4268</v>
      </c>
      <c r="F124" s="3257">
        <v>32.020000000000003</v>
      </c>
      <c r="G124" s="3255" t="s">
        <v>5056</v>
      </c>
    </row>
    <row r="125" spans="1:7">
      <c r="A125" s="3254">
        <v>124</v>
      </c>
      <c r="B125" s="3614"/>
      <c r="C125" s="3611" t="s">
        <v>5055</v>
      </c>
      <c r="D125" s="3611"/>
      <c r="E125" s="3257" t="s">
        <v>4269</v>
      </c>
      <c r="F125" s="3257">
        <v>32.020000000000003</v>
      </c>
      <c r="G125" s="3255" t="s">
        <v>5056</v>
      </c>
    </row>
    <row r="126" spans="1:7">
      <c r="A126" s="3254">
        <v>125</v>
      </c>
      <c r="B126" s="3614"/>
      <c r="C126" s="3611" t="s">
        <v>5055</v>
      </c>
      <c r="D126" s="3611"/>
      <c r="E126" s="3257" t="s">
        <v>4270</v>
      </c>
      <c r="F126" s="3257">
        <v>32.020000000000003</v>
      </c>
      <c r="G126" s="3255" t="s">
        <v>5056</v>
      </c>
    </row>
    <row r="127" spans="1:7">
      <c r="A127" s="3254">
        <v>126</v>
      </c>
      <c r="B127" s="3614"/>
      <c r="C127" s="3611" t="s">
        <v>5055</v>
      </c>
      <c r="D127" s="3611"/>
      <c r="E127" s="3257" t="s">
        <v>4271</v>
      </c>
      <c r="F127" s="3257">
        <v>32.020000000000003</v>
      </c>
      <c r="G127" s="3255" t="s">
        <v>5056</v>
      </c>
    </row>
    <row r="128" spans="1:7">
      <c r="A128" s="3254">
        <v>127</v>
      </c>
      <c r="B128" s="3614"/>
      <c r="C128" s="3611" t="s">
        <v>5055</v>
      </c>
      <c r="D128" s="3611"/>
      <c r="E128" s="3257" t="s">
        <v>4272</v>
      </c>
      <c r="F128" s="3257">
        <v>32.020000000000003</v>
      </c>
      <c r="G128" s="3255" t="s">
        <v>5056</v>
      </c>
    </row>
    <row r="129" spans="1:7">
      <c r="A129" s="3254">
        <v>128</v>
      </c>
      <c r="B129" s="3614"/>
      <c r="C129" s="3611" t="s">
        <v>5055</v>
      </c>
      <c r="D129" s="3611"/>
      <c r="E129" s="3257" t="s">
        <v>4273</v>
      </c>
      <c r="F129" s="3257">
        <v>32.020000000000003</v>
      </c>
      <c r="G129" s="3255" t="s">
        <v>5056</v>
      </c>
    </row>
    <row r="130" spans="1:7">
      <c r="A130" s="3254">
        <v>129</v>
      </c>
      <c r="B130" s="3614"/>
      <c r="C130" s="3611" t="s">
        <v>5055</v>
      </c>
      <c r="D130" s="3611"/>
      <c r="E130" s="3257" t="s">
        <v>4274</v>
      </c>
      <c r="F130" s="3257">
        <v>32.020000000000003</v>
      </c>
      <c r="G130" s="3255" t="s">
        <v>5056</v>
      </c>
    </row>
    <row r="131" spans="1:7">
      <c r="A131" s="3254">
        <v>130</v>
      </c>
      <c r="B131" s="3614"/>
      <c r="C131" s="3611" t="s">
        <v>5055</v>
      </c>
      <c r="D131" s="3611"/>
      <c r="E131" s="3257" t="s">
        <v>4275</v>
      </c>
      <c r="F131" s="3257">
        <v>32.020000000000003</v>
      </c>
      <c r="G131" s="3255" t="s">
        <v>5056</v>
      </c>
    </row>
    <row r="132" spans="1:7">
      <c r="A132" s="3254">
        <v>131</v>
      </c>
      <c r="B132" s="3614"/>
      <c r="C132" s="3611" t="s">
        <v>5055</v>
      </c>
      <c r="D132" s="3611"/>
      <c r="E132" s="3257" t="s">
        <v>4276</v>
      </c>
      <c r="F132" s="3257">
        <v>32.020000000000003</v>
      </c>
      <c r="G132" s="3255" t="s">
        <v>5056</v>
      </c>
    </row>
    <row r="133" spans="1:7">
      <c r="A133" s="3254">
        <v>132</v>
      </c>
      <c r="B133" s="3614"/>
      <c r="C133" s="3611" t="s">
        <v>5055</v>
      </c>
      <c r="D133" s="3611"/>
      <c r="E133" s="3257" t="s">
        <v>4277</v>
      </c>
      <c r="F133" s="3257">
        <v>32.020000000000003</v>
      </c>
      <c r="G133" s="3255" t="s">
        <v>5056</v>
      </c>
    </row>
    <row r="134" spans="1:7">
      <c r="A134" s="3254">
        <v>133</v>
      </c>
      <c r="B134" s="3614"/>
      <c r="C134" s="3611" t="s">
        <v>5055</v>
      </c>
      <c r="D134" s="3611"/>
      <c r="E134" s="3257" t="s">
        <v>4278</v>
      </c>
      <c r="F134" s="3257">
        <v>32.020000000000003</v>
      </c>
      <c r="G134" s="3255" t="s">
        <v>5056</v>
      </c>
    </row>
    <row r="135" spans="1:7">
      <c r="A135" s="3254">
        <v>134</v>
      </c>
      <c r="B135" s="3614"/>
      <c r="C135" s="3611" t="s">
        <v>5055</v>
      </c>
      <c r="D135" s="3611"/>
      <c r="E135" s="3257" t="s">
        <v>4279</v>
      </c>
      <c r="F135" s="3257">
        <v>32.020000000000003</v>
      </c>
      <c r="G135" s="3255" t="s">
        <v>5056</v>
      </c>
    </row>
    <row r="136" spans="1:7">
      <c r="A136" s="3254">
        <v>135</v>
      </c>
      <c r="B136" s="3614"/>
      <c r="C136" s="3611" t="s">
        <v>5055</v>
      </c>
      <c r="D136" s="3611"/>
      <c r="E136" s="3257" t="s">
        <v>4280</v>
      </c>
      <c r="F136" s="3257">
        <v>32.020000000000003</v>
      </c>
      <c r="G136" s="3255" t="s">
        <v>5056</v>
      </c>
    </row>
    <row r="137" spans="1:7">
      <c r="A137" s="3254">
        <v>136</v>
      </c>
      <c r="B137" s="3614"/>
      <c r="C137" s="3611" t="s">
        <v>5055</v>
      </c>
      <c r="D137" s="3611"/>
      <c r="E137" s="3257" t="s">
        <v>4281</v>
      </c>
      <c r="F137" s="3257">
        <v>32.020000000000003</v>
      </c>
      <c r="G137" s="3255" t="s">
        <v>5056</v>
      </c>
    </row>
    <row r="138" spans="1:7">
      <c r="A138" s="3254">
        <v>137</v>
      </c>
      <c r="B138" s="3614"/>
      <c r="C138" s="3611" t="s">
        <v>5055</v>
      </c>
      <c r="D138" s="3611"/>
      <c r="E138" s="3257" t="s">
        <v>4282</v>
      </c>
      <c r="F138" s="3257">
        <v>32.020000000000003</v>
      </c>
      <c r="G138" s="3255" t="s">
        <v>5056</v>
      </c>
    </row>
    <row r="139" spans="1:7">
      <c r="A139" s="3254">
        <v>138</v>
      </c>
      <c r="B139" s="3614"/>
      <c r="C139" s="3611" t="s">
        <v>5055</v>
      </c>
      <c r="D139" s="3611"/>
      <c r="E139" s="3257" t="s">
        <v>4283</v>
      </c>
      <c r="F139" s="3257">
        <v>32.020000000000003</v>
      </c>
      <c r="G139" s="3255" t="s">
        <v>5056</v>
      </c>
    </row>
    <row r="140" spans="1:7">
      <c r="A140" s="3254">
        <v>139</v>
      </c>
      <c r="B140" s="3614"/>
      <c r="C140" s="3611" t="s">
        <v>5055</v>
      </c>
      <c r="D140" s="3611"/>
      <c r="E140" s="3257" t="s">
        <v>4284</v>
      </c>
      <c r="F140" s="3257">
        <v>32.020000000000003</v>
      </c>
      <c r="G140" s="3255" t="s">
        <v>5056</v>
      </c>
    </row>
    <row r="141" spans="1:7">
      <c r="A141" s="3254">
        <v>140</v>
      </c>
      <c r="B141" s="3614"/>
      <c r="C141" s="3611" t="s">
        <v>5055</v>
      </c>
      <c r="D141" s="3611"/>
      <c r="E141" s="3257" t="s">
        <v>4285</v>
      </c>
      <c r="F141" s="3257">
        <v>32.020000000000003</v>
      </c>
      <c r="G141" s="3255" t="s">
        <v>5056</v>
      </c>
    </row>
    <row r="142" spans="1:7">
      <c r="A142" s="3254">
        <v>141</v>
      </c>
      <c r="B142" s="3614"/>
      <c r="C142" s="3611" t="s">
        <v>5055</v>
      </c>
      <c r="D142" s="3611"/>
      <c r="E142" s="3257" t="s">
        <v>4286</v>
      </c>
      <c r="F142" s="3257">
        <v>32.020000000000003</v>
      </c>
      <c r="G142" s="3255" t="s">
        <v>5056</v>
      </c>
    </row>
    <row r="143" spans="1:7">
      <c r="A143" s="3254">
        <v>142</v>
      </c>
      <c r="B143" s="3614"/>
      <c r="C143" s="3611" t="s">
        <v>5055</v>
      </c>
      <c r="D143" s="3611"/>
      <c r="E143" s="3257" t="s">
        <v>4287</v>
      </c>
      <c r="F143" s="3257">
        <v>32.020000000000003</v>
      </c>
      <c r="G143" s="3255" t="s">
        <v>5056</v>
      </c>
    </row>
    <row r="144" spans="1:7">
      <c r="A144" s="3254">
        <v>143</v>
      </c>
      <c r="B144" s="3614"/>
      <c r="C144" s="3611" t="s">
        <v>5055</v>
      </c>
      <c r="D144" s="3611"/>
      <c r="E144" s="3257" t="s">
        <v>4288</v>
      </c>
      <c r="F144" s="3257">
        <v>32.020000000000003</v>
      </c>
      <c r="G144" s="3255" t="s">
        <v>5056</v>
      </c>
    </row>
    <row r="145" spans="1:7">
      <c r="A145" s="3254">
        <v>144</v>
      </c>
      <c r="B145" s="3614"/>
      <c r="C145" s="3611" t="s">
        <v>5055</v>
      </c>
      <c r="D145" s="3611"/>
      <c r="E145" s="3257" t="s">
        <v>4289</v>
      </c>
      <c r="F145" s="3257">
        <v>32.020000000000003</v>
      </c>
      <c r="G145" s="3255" t="s">
        <v>5056</v>
      </c>
    </row>
    <row r="146" spans="1:7">
      <c r="A146" s="3254">
        <v>145</v>
      </c>
      <c r="B146" s="3614"/>
      <c r="C146" s="3611" t="s">
        <v>5055</v>
      </c>
      <c r="D146" s="3611"/>
      <c r="E146" s="3257" t="s">
        <v>4290</v>
      </c>
      <c r="F146" s="3257">
        <v>32.020000000000003</v>
      </c>
      <c r="G146" s="3255" t="s">
        <v>5056</v>
      </c>
    </row>
    <row r="147" spans="1:7">
      <c r="A147" s="3254">
        <v>146</v>
      </c>
      <c r="B147" s="3614"/>
      <c r="C147" s="3611" t="s">
        <v>5055</v>
      </c>
      <c r="D147" s="3611"/>
      <c r="E147" s="3257" t="s">
        <v>4291</v>
      </c>
      <c r="F147" s="3257">
        <v>32.020000000000003</v>
      </c>
      <c r="G147" s="3255" t="s">
        <v>5056</v>
      </c>
    </row>
    <row r="148" spans="1:7">
      <c r="A148" s="3254">
        <v>147</v>
      </c>
      <c r="B148" s="3614"/>
      <c r="C148" s="3611" t="s">
        <v>5055</v>
      </c>
      <c r="D148" s="3611"/>
      <c r="E148" s="3257" t="s">
        <v>4292</v>
      </c>
      <c r="F148" s="3257">
        <v>32.020000000000003</v>
      </c>
      <c r="G148" s="3255" t="s">
        <v>5056</v>
      </c>
    </row>
    <row r="149" spans="1:7">
      <c r="A149" s="3254">
        <v>148</v>
      </c>
      <c r="B149" s="3614"/>
      <c r="C149" s="3611" t="s">
        <v>5055</v>
      </c>
      <c r="D149" s="3611"/>
      <c r="E149" s="3257" t="s">
        <v>4293</v>
      </c>
      <c r="F149" s="3257">
        <v>32.020000000000003</v>
      </c>
      <c r="G149" s="3255" t="s">
        <v>5056</v>
      </c>
    </row>
    <row r="150" spans="1:7">
      <c r="A150" s="3254">
        <v>149</v>
      </c>
      <c r="B150" s="3614"/>
      <c r="C150" s="3611" t="s">
        <v>5055</v>
      </c>
      <c r="D150" s="3611"/>
      <c r="E150" s="3257" t="s">
        <v>4294</v>
      </c>
      <c r="F150" s="3257">
        <v>32.020000000000003</v>
      </c>
      <c r="G150" s="3255" t="s">
        <v>5056</v>
      </c>
    </row>
    <row r="151" spans="1:7">
      <c r="A151" s="3254">
        <v>150</v>
      </c>
      <c r="B151" s="3614"/>
      <c r="C151" s="3611" t="s">
        <v>5055</v>
      </c>
      <c r="D151" s="3611"/>
      <c r="E151" s="3257" t="s">
        <v>4295</v>
      </c>
      <c r="F151" s="3257">
        <v>33.36</v>
      </c>
      <c r="G151" s="3255" t="s">
        <v>5056</v>
      </c>
    </row>
    <row r="152" spans="1:7">
      <c r="A152" s="3254">
        <v>151</v>
      </c>
      <c r="B152" s="3614"/>
      <c r="C152" s="3611" t="s">
        <v>5055</v>
      </c>
      <c r="D152" s="3611"/>
      <c r="E152" s="3257" t="s">
        <v>4296</v>
      </c>
      <c r="F152" s="3257">
        <v>33.36</v>
      </c>
      <c r="G152" s="3255" t="s">
        <v>5056</v>
      </c>
    </row>
    <row r="153" spans="1:7">
      <c r="A153" s="3254">
        <v>152</v>
      </c>
      <c r="B153" s="3614"/>
      <c r="C153" s="3611" t="s">
        <v>5055</v>
      </c>
      <c r="D153" s="3611"/>
      <c r="E153" s="3257" t="s">
        <v>4297</v>
      </c>
      <c r="F153" s="3257">
        <v>33.36</v>
      </c>
      <c r="G153" s="3255" t="s">
        <v>5056</v>
      </c>
    </row>
    <row r="154" spans="1:7">
      <c r="A154" s="3254">
        <v>153</v>
      </c>
      <c r="B154" s="3614"/>
      <c r="C154" s="3611" t="s">
        <v>5055</v>
      </c>
      <c r="D154" s="3611"/>
      <c r="E154" s="3257" t="s">
        <v>4298</v>
      </c>
      <c r="F154" s="3257">
        <v>32.020000000000003</v>
      </c>
      <c r="G154" s="3255" t="s">
        <v>5056</v>
      </c>
    </row>
    <row r="155" spans="1:7">
      <c r="A155" s="3254">
        <v>154</v>
      </c>
      <c r="B155" s="3614"/>
      <c r="C155" s="3611" t="s">
        <v>5055</v>
      </c>
      <c r="D155" s="3611"/>
      <c r="E155" s="3257" t="s">
        <v>4299</v>
      </c>
      <c r="F155" s="3257">
        <v>32.020000000000003</v>
      </c>
      <c r="G155" s="3255" t="s">
        <v>5056</v>
      </c>
    </row>
    <row r="156" spans="1:7">
      <c r="A156" s="3254">
        <v>155</v>
      </c>
      <c r="B156" s="3614"/>
      <c r="C156" s="3611" t="s">
        <v>5055</v>
      </c>
      <c r="D156" s="3611"/>
      <c r="E156" s="3257" t="s">
        <v>4300</v>
      </c>
      <c r="F156" s="3257">
        <v>32.020000000000003</v>
      </c>
      <c r="G156" s="3255" t="s">
        <v>5056</v>
      </c>
    </row>
    <row r="157" spans="1:7">
      <c r="A157" s="3254">
        <v>156</v>
      </c>
      <c r="B157" s="3614"/>
      <c r="C157" s="3611" t="s">
        <v>5055</v>
      </c>
      <c r="D157" s="3611"/>
      <c r="E157" s="3257" t="s">
        <v>4301</v>
      </c>
      <c r="F157" s="3257">
        <v>32.020000000000003</v>
      </c>
      <c r="G157" s="3255" t="s">
        <v>5056</v>
      </c>
    </row>
    <row r="158" spans="1:7">
      <c r="A158" s="3254">
        <v>157</v>
      </c>
      <c r="B158" s="3614"/>
      <c r="C158" s="3611" t="s">
        <v>5055</v>
      </c>
      <c r="D158" s="3611"/>
      <c r="E158" s="3257" t="s">
        <v>4302</v>
      </c>
      <c r="F158" s="3257">
        <v>32.020000000000003</v>
      </c>
      <c r="G158" s="3255" t="s">
        <v>5056</v>
      </c>
    </row>
    <row r="159" spans="1:7">
      <c r="A159" s="3254">
        <v>158</v>
      </c>
      <c r="B159" s="3614"/>
      <c r="C159" s="3611" t="s">
        <v>5055</v>
      </c>
      <c r="D159" s="3611"/>
      <c r="E159" s="3257" t="s">
        <v>4303</v>
      </c>
      <c r="F159" s="3257">
        <v>32.020000000000003</v>
      </c>
      <c r="G159" s="3255" t="s">
        <v>5056</v>
      </c>
    </row>
    <row r="160" spans="1:7">
      <c r="A160" s="3254">
        <v>159</v>
      </c>
      <c r="B160" s="3614"/>
      <c r="C160" s="3611" t="s">
        <v>5055</v>
      </c>
      <c r="D160" s="3611"/>
      <c r="E160" s="3257" t="s">
        <v>4304</v>
      </c>
      <c r="F160" s="3257">
        <v>32.020000000000003</v>
      </c>
      <c r="G160" s="3255" t="s">
        <v>5056</v>
      </c>
    </row>
    <row r="161" spans="1:7">
      <c r="A161" s="3254">
        <v>160</v>
      </c>
      <c r="B161" s="3614"/>
      <c r="C161" s="3611" t="s">
        <v>5055</v>
      </c>
      <c r="D161" s="3611"/>
      <c r="E161" s="3257" t="s">
        <v>4305</v>
      </c>
      <c r="F161" s="3257">
        <v>32.020000000000003</v>
      </c>
      <c r="G161" s="3255" t="s">
        <v>5056</v>
      </c>
    </row>
    <row r="162" spans="1:7">
      <c r="A162" s="3254">
        <v>161</v>
      </c>
      <c r="B162" s="3614"/>
      <c r="C162" s="3611" t="s">
        <v>5055</v>
      </c>
      <c r="D162" s="3611"/>
      <c r="E162" s="3257" t="s">
        <v>4306</v>
      </c>
      <c r="F162" s="3257">
        <v>32.020000000000003</v>
      </c>
      <c r="G162" s="3255" t="s">
        <v>5056</v>
      </c>
    </row>
    <row r="163" spans="1:7">
      <c r="A163" s="3254">
        <v>162</v>
      </c>
      <c r="B163" s="3614"/>
      <c r="C163" s="3611" t="s">
        <v>5055</v>
      </c>
      <c r="D163" s="3611"/>
      <c r="E163" s="3257" t="s">
        <v>4307</v>
      </c>
      <c r="F163" s="3257">
        <v>32.020000000000003</v>
      </c>
      <c r="G163" s="3255" t="s">
        <v>5056</v>
      </c>
    </row>
    <row r="164" spans="1:7">
      <c r="A164" s="3254">
        <v>163</v>
      </c>
      <c r="B164" s="3614"/>
      <c r="C164" s="3611" t="s">
        <v>5055</v>
      </c>
      <c r="D164" s="3611"/>
      <c r="E164" s="3257" t="s">
        <v>4308</v>
      </c>
      <c r="F164" s="3257">
        <v>32.020000000000003</v>
      </c>
      <c r="G164" s="3255" t="s">
        <v>5056</v>
      </c>
    </row>
    <row r="165" spans="1:7">
      <c r="A165" s="3254">
        <v>164</v>
      </c>
      <c r="B165" s="3614"/>
      <c r="C165" s="3611" t="s">
        <v>5055</v>
      </c>
      <c r="D165" s="3611"/>
      <c r="E165" s="3257" t="s">
        <v>4309</v>
      </c>
      <c r="F165" s="3257">
        <v>32.020000000000003</v>
      </c>
      <c r="G165" s="3255" t="s">
        <v>5056</v>
      </c>
    </row>
    <row r="166" spans="1:7">
      <c r="A166" s="3254">
        <v>165</v>
      </c>
      <c r="B166" s="3614"/>
      <c r="C166" s="3611" t="s">
        <v>5055</v>
      </c>
      <c r="D166" s="3611"/>
      <c r="E166" s="3257" t="s">
        <v>4310</v>
      </c>
      <c r="F166" s="3257">
        <v>32.020000000000003</v>
      </c>
      <c r="G166" s="3255" t="s">
        <v>5056</v>
      </c>
    </row>
    <row r="167" spans="1:7">
      <c r="A167" s="3254">
        <v>166</v>
      </c>
      <c r="B167" s="3614"/>
      <c r="C167" s="3611" t="s">
        <v>5055</v>
      </c>
      <c r="D167" s="3611"/>
      <c r="E167" s="3257" t="s">
        <v>4311</v>
      </c>
      <c r="F167" s="3257">
        <v>32.020000000000003</v>
      </c>
      <c r="G167" s="3255" t="s">
        <v>5056</v>
      </c>
    </row>
    <row r="168" spans="1:7">
      <c r="A168" s="3254">
        <v>167</v>
      </c>
      <c r="B168" s="3614"/>
      <c r="C168" s="3611" t="s">
        <v>5055</v>
      </c>
      <c r="D168" s="3611"/>
      <c r="E168" s="3257" t="s">
        <v>4312</v>
      </c>
      <c r="F168" s="3257">
        <v>32.020000000000003</v>
      </c>
      <c r="G168" s="3255" t="s">
        <v>5056</v>
      </c>
    </row>
    <row r="169" spans="1:7">
      <c r="A169" s="3254">
        <v>168</v>
      </c>
      <c r="B169" s="3614"/>
      <c r="C169" s="3611" t="s">
        <v>5055</v>
      </c>
      <c r="D169" s="3611"/>
      <c r="E169" s="3257" t="s">
        <v>4313</v>
      </c>
      <c r="F169" s="3257">
        <v>32.020000000000003</v>
      </c>
      <c r="G169" s="3255" t="s">
        <v>5056</v>
      </c>
    </row>
    <row r="170" spans="1:7">
      <c r="A170" s="3254">
        <v>169</v>
      </c>
      <c r="B170" s="3614"/>
      <c r="C170" s="3611" t="s">
        <v>5055</v>
      </c>
      <c r="D170" s="3611"/>
      <c r="E170" s="3257" t="s">
        <v>4314</v>
      </c>
      <c r="F170" s="3257">
        <v>32.020000000000003</v>
      </c>
      <c r="G170" s="3255" t="s">
        <v>5056</v>
      </c>
    </row>
    <row r="171" spans="1:7">
      <c r="A171" s="3254">
        <v>170</v>
      </c>
      <c r="B171" s="3614"/>
      <c r="C171" s="3611" t="s">
        <v>5055</v>
      </c>
      <c r="D171" s="3611"/>
      <c r="E171" s="3257" t="s">
        <v>4315</v>
      </c>
      <c r="F171" s="3257">
        <v>32.020000000000003</v>
      </c>
      <c r="G171" s="3255" t="s">
        <v>5056</v>
      </c>
    </row>
    <row r="172" spans="1:7">
      <c r="A172" s="3254">
        <v>171</v>
      </c>
      <c r="B172" s="3614"/>
      <c r="C172" s="3611" t="s">
        <v>5055</v>
      </c>
      <c r="D172" s="3611"/>
      <c r="E172" s="3257" t="s">
        <v>4316</v>
      </c>
      <c r="F172" s="3257">
        <v>32.020000000000003</v>
      </c>
      <c r="G172" s="3255" t="s">
        <v>5056</v>
      </c>
    </row>
    <row r="173" spans="1:7">
      <c r="A173" s="3254">
        <v>172</v>
      </c>
      <c r="B173" s="3614"/>
      <c r="C173" s="3611" t="s">
        <v>5055</v>
      </c>
      <c r="D173" s="3611"/>
      <c r="E173" s="3257" t="s">
        <v>4317</v>
      </c>
      <c r="F173" s="3257">
        <v>33.36</v>
      </c>
      <c r="G173" s="3255" t="s">
        <v>5056</v>
      </c>
    </row>
    <row r="174" spans="1:7">
      <c r="A174" s="3254">
        <v>173</v>
      </c>
      <c r="B174" s="3614"/>
      <c r="C174" s="3611" t="s">
        <v>5055</v>
      </c>
      <c r="D174" s="3611"/>
      <c r="E174" s="3257" t="s">
        <v>4318</v>
      </c>
      <c r="F174" s="3257">
        <v>33.36</v>
      </c>
      <c r="G174" s="3255" t="s">
        <v>5056</v>
      </c>
    </row>
    <row r="175" spans="1:7">
      <c r="A175" s="3254">
        <v>174</v>
      </c>
      <c r="B175" s="3614"/>
      <c r="C175" s="3611" t="s">
        <v>5055</v>
      </c>
      <c r="D175" s="3611"/>
      <c r="E175" s="3257" t="s">
        <v>4319</v>
      </c>
      <c r="F175" s="3257">
        <v>33.36</v>
      </c>
      <c r="G175" s="3255" t="s">
        <v>5056</v>
      </c>
    </row>
    <row r="176" spans="1:7">
      <c r="A176" s="3254">
        <v>175</v>
      </c>
      <c r="B176" s="3614"/>
      <c r="C176" s="3611" t="s">
        <v>5055</v>
      </c>
      <c r="D176" s="3611"/>
      <c r="E176" s="3257" t="s">
        <v>4320</v>
      </c>
      <c r="F176" s="3257">
        <v>33.36</v>
      </c>
      <c r="G176" s="3255" t="s">
        <v>5056</v>
      </c>
    </row>
    <row r="177" spans="1:7">
      <c r="A177" s="3254">
        <v>176</v>
      </c>
      <c r="B177" s="3614"/>
      <c r="C177" s="3611" t="s">
        <v>5055</v>
      </c>
      <c r="D177" s="3611"/>
      <c r="E177" s="3257" t="s">
        <v>4321</v>
      </c>
      <c r="F177" s="3257">
        <v>32.020000000000003</v>
      </c>
      <c r="G177" s="3255" t="s">
        <v>5056</v>
      </c>
    </row>
    <row r="178" spans="1:7">
      <c r="A178" s="3254">
        <v>177</v>
      </c>
      <c r="B178" s="3614"/>
      <c r="C178" s="3611" t="s">
        <v>5055</v>
      </c>
      <c r="D178" s="3611"/>
      <c r="E178" s="3257" t="s">
        <v>4322</v>
      </c>
      <c r="F178" s="3257">
        <v>32.020000000000003</v>
      </c>
      <c r="G178" s="3255" t="s">
        <v>5056</v>
      </c>
    </row>
    <row r="179" spans="1:7">
      <c r="A179" s="3254">
        <v>178</v>
      </c>
      <c r="B179" s="3614"/>
      <c r="C179" s="3611" t="s">
        <v>5055</v>
      </c>
      <c r="D179" s="3611"/>
      <c r="E179" s="3257" t="s">
        <v>4323</v>
      </c>
      <c r="F179" s="3257">
        <v>32.020000000000003</v>
      </c>
      <c r="G179" s="3255" t="s">
        <v>5056</v>
      </c>
    </row>
    <row r="180" spans="1:7">
      <c r="A180" s="3254">
        <v>179</v>
      </c>
      <c r="B180" s="3614"/>
      <c r="C180" s="3611" t="s">
        <v>5055</v>
      </c>
      <c r="D180" s="3611"/>
      <c r="E180" s="3257" t="s">
        <v>4324</v>
      </c>
      <c r="F180" s="3257">
        <v>32.020000000000003</v>
      </c>
      <c r="G180" s="3255" t="s">
        <v>5056</v>
      </c>
    </row>
    <row r="181" spans="1:7">
      <c r="A181" s="3254">
        <v>180</v>
      </c>
      <c r="B181" s="3614"/>
      <c r="C181" s="3611" t="s">
        <v>5055</v>
      </c>
      <c r="D181" s="3611"/>
      <c r="E181" s="3257" t="s">
        <v>4325</v>
      </c>
      <c r="F181" s="3257">
        <v>32.020000000000003</v>
      </c>
      <c r="G181" s="3255" t="s">
        <v>5056</v>
      </c>
    </row>
    <row r="182" spans="1:7">
      <c r="A182" s="3254">
        <v>181</v>
      </c>
      <c r="B182" s="3614"/>
      <c r="C182" s="3611" t="s">
        <v>5055</v>
      </c>
      <c r="D182" s="3611"/>
      <c r="E182" s="3257" t="s">
        <v>4326</v>
      </c>
      <c r="F182" s="3257">
        <v>32.020000000000003</v>
      </c>
      <c r="G182" s="3255" t="s">
        <v>5056</v>
      </c>
    </row>
    <row r="183" spans="1:7">
      <c r="A183" s="3254">
        <v>182</v>
      </c>
      <c r="B183" s="3614"/>
      <c r="C183" s="3611" t="s">
        <v>5055</v>
      </c>
      <c r="D183" s="3611"/>
      <c r="E183" s="3257" t="s">
        <v>4327</v>
      </c>
      <c r="F183" s="3257">
        <v>32.020000000000003</v>
      </c>
      <c r="G183" s="3255" t="s">
        <v>5056</v>
      </c>
    </row>
    <row r="184" spans="1:7">
      <c r="A184" s="3254">
        <v>183</v>
      </c>
      <c r="B184" s="3614"/>
      <c r="C184" s="3611" t="s">
        <v>5055</v>
      </c>
      <c r="D184" s="3611"/>
      <c r="E184" s="3257" t="s">
        <v>4328</v>
      </c>
      <c r="F184" s="3257">
        <v>32.020000000000003</v>
      </c>
      <c r="G184" s="3255" t="s">
        <v>5056</v>
      </c>
    </row>
    <row r="185" spans="1:7">
      <c r="A185" s="3254">
        <v>184</v>
      </c>
      <c r="B185" s="3614"/>
      <c r="C185" s="3611" t="s">
        <v>5055</v>
      </c>
      <c r="D185" s="3611"/>
      <c r="E185" s="3257" t="s">
        <v>4329</v>
      </c>
      <c r="F185" s="3257">
        <v>32.020000000000003</v>
      </c>
      <c r="G185" s="3255" t="s">
        <v>5056</v>
      </c>
    </row>
    <row r="186" spans="1:7">
      <c r="A186" s="3254">
        <v>185</v>
      </c>
      <c r="B186" s="3614"/>
      <c r="C186" s="3611" t="s">
        <v>5055</v>
      </c>
      <c r="D186" s="3611"/>
      <c r="E186" s="3257" t="s">
        <v>4330</v>
      </c>
      <c r="F186" s="3257">
        <v>32.020000000000003</v>
      </c>
      <c r="G186" s="3255" t="s">
        <v>5056</v>
      </c>
    </row>
    <row r="187" spans="1:7">
      <c r="A187" s="3254">
        <v>186</v>
      </c>
      <c r="B187" s="3614"/>
      <c r="C187" s="3611" t="s">
        <v>5055</v>
      </c>
      <c r="D187" s="3611"/>
      <c r="E187" s="3257" t="s">
        <v>4331</v>
      </c>
      <c r="F187" s="3257">
        <v>32.020000000000003</v>
      </c>
      <c r="G187" s="3255" t="s">
        <v>5056</v>
      </c>
    </row>
    <row r="188" spans="1:7">
      <c r="A188" s="3254">
        <v>187</v>
      </c>
      <c r="B188" s="3614"/>
      <c r="C188" s="3611" t="s">
        <v>5055</v>
      </c>
      <c r="D188" s="3611"/>
      <c r="E188" s="3257" t="s">
        <v>4332</v>
      </c>
      <c r="F188" s="3257">
        <v>32.020000000000003</v>
      </c>
      <c r="G188" s="3255" t="s">
        <v>5056</v>
      </c>
    </row>
    <row r="189" spans="1:7">
      <c r="A189" s="3254">
        <v>188</v>
      </c>
      <c r="B189" s="3614"/>
      <c r="C189" s="3611" t="s">
        <v>5055</v>
      </c>
      <c r="D189" s="3611"/>
      <c r="E189" s="3257" t="s">
        <v>4333</v>
      </c>
      <c r="F189" s="3257">
        <v>32.020000000000003</v>
      </c>
      <c r="G189" s="3255" t="s">
        <v>5056</v>
      </c>
    </row>
    <row r="190" spans="1:7">
      <c r="A190" s="3254">
        <v>189</v>
      </c>
      <c r="B190" s="3614"/>
      <c r="C190" s="3611" t="s">
        <v>5055</v>
      </c>
      <c r="D190" s="3611"/>
      <c r="E190" s="3257" t="s">
        <v>4334</v>
      </c>
      <c r="F190" s="3257">
        <v>32.020000000000003</v>
      </c>
      <c r="G190" s="3255" t="s">
        <v>5056</v>
      </c>
    </row>
    <row r="191" spans="1:7">
      <c r="A191" s="3254">
        <v>190</v>
      </c>
      <c r="B191" s="3614"/>
      <c r="C191" s="3611" t="s">
        <v>5055</v>
      </c>
      <c r="D191" s="3611"/>
      <c r="E191" s="3257" t="s">
        <v>4335</v>
      </c>
      <c r="F191" s="3257">
        <v>32.020000000000003</v>
      </c>
      <c r="G191" s="3255" t="s">
        <v>5056</v>
      </c>
    </row>
    <row r="192" spans="1:7">
      <c r="A192" s="3254">
        <v>191</v>
      </c>
      <c r="B192" s="3614"/>
      <c r="C192" s="3611" t="s">
        <v>5055</v>
      </c>
      <c r="D192" s="3611"/>
      <c r="E192" s="3257" t="s">
        <v>4336</v>
      </c>
      <c r="F192" s="3257">
        <v>32.020000000000003</v>
      </c>
      <c r="G192" s="3255" t="s">
        <v>5056</v>
      </c>
    </row>
    <row r="193" spans="1:7">
      <c r="A193" s="3254">
        <v>192</v>
      </c>
      <c r="B193" s="3614"/>
      <c r="C193" s="3611" t="s">
        <v>5055</v>
      </c>
      <c r="D193" s="3611"/>
      <c r="E193" s="3257" t="s">
        <v>4337</v>
      </c>
      <c r="F193" s="3257">
        <v>32.020000000000003</v>
      </c>
      <c r="G193" s="3255" t="s">
        <v>5056</v>
      </c>
    </row>
    <row r="194" spans="1:7">
      <c r="A194" s="3254">
        <v>193</v>
      </c>
      <c r="B194" s="3614"/>
      <c r="C194" s="3611" t="s">
        <v>5055</v>
      </c>
      <c r="D194" s="3611"/>
      <c r="E194" s="3257" t="s">
        <v>4338</v>
      </c>
      <c r="F194" s="3257">
        <v>32.020000000000003</v>
      </c>
      <c r="G194" s="3255" t="s">
        <v>5056</v>
      </c>
    </row>
    <row r="195" spans="1:7">
      <c r="A195" s="3254">
        <v>194</v>
      </c>
      <c r="B195" s="3614"/>
      <c r="C195" s="3611" t="s">
        <v>5055</v>
      </c>
      <c r="D195" s="3611"/>
      <c r="E195" s="3257" t="s">
        <v>4339</v>
      </c>
      <c r="F195" s="3257">
        <v>32.020000000000003</v>
      </c>
      <c r="G195" s="3255" t="s">
        <v>5056</v>
      </c>
    </row>
    <row r="196" spans="1:7">
      <c r="A196" s="3254">
        <v>195</v>
      </c>
      <c r="B196" s="3614"/>
      <c r="C196" s="3611" t="s">
        <v>5055</v>
      </c>
      <c r="D196" s="3611"/>
      <c r="E196" s="3257" t="s">
        <v>4340</v>
      </c>
      <c r="F196" s="3257">
        <v>32.020000000000003</v>
      </c>
      <c r="G196" s="3255" t="s">
        <v>5056</v>
      </c>
    </row>
    <row r="197" spans="1:7">
      <c r="A197" s="3254">
        <v>196</v>
      </c>
      <c r="B197" s="3614"/>
      <c r="C197" s="3611" t="s">
        <v>5055</v>
      </c>
      <c r="D197" s="3611"/>
      <c r="E197" s="3257" t="s">
        <v>4341</v>
      </c>
      <c r="F197" s="3257">
        <v>32.020000000000003</v>
      </c>
      <c r="G197" s="3255" t="s">
        <v>5056</v>
      </c>
    </row>
    <row r="198" spans="1:7">
      <c r="A198" s="3254">
        <v>197</v>
      </c>
      <c r="B198" s="3614"/>
      <c r="C198" s="3611" t="s">
        <v>5055</v>
      </c>
      <c r="D198" s="3611"/>
      <c r="E198" s="3257" t="s">
        <v>4342</v>
      </c>
      <c r="F198" s="3257">
        <v>32.020000000000003</v>
      </c>
      <c r="G198" s="3255" t="s">
        <v>5056</v>
      </c>
    </row>
    <row r="199" spans="1:7">
      <c r="A199" s="3254">
        <v>198</v>
      </c>
      <c r="B199" s="3614"/>
      <c r="C199" s="3611" t="s">
        <v>5055</v>
      </c>
      <c r="D199" s="3611"/>
      <c r="E199" s="3257" t="s">
        <v>4343</v>
      </c>
      <c r="F199" s="3257">
        <v>32.020000000000003</v>
      </c>
      <c r="G199" s="3255" t="s">
        <v>5056</v>
      </c>
    </row>
    <row r="200" spans="1:7">
      <c r="A200" s="3254">
        <v>199</v>
      </c>
      <c r="B200" s="3614"/>
      <c r="C200" s="3611" t="s">
        <v>5055</v>
      </c>
      <c r="D200" s="3611"/>
      <c r="E200" s="3257" t="s">
        <v>4344</v>
      </c>
      <c r="F200" s="3257">
        <v>32.020000000000003</v>
      </c>
      <c r="G200" s="3255" t="s">
        <v>5056</v>
      </c>
    </row>
    <row r="201" spans="1:7">
      <c r="A201" s="3254">
        <v>200</v>
      </c>
      <c r="B201" s="3614"/>
      <c r="C201" s="3611" t="s">
        <v>5055</v>
      </c>
      <c r="D201" s="3611"/>
      <c r="E201" s="3257" t="s">
        <v>4345</v>
      </c>
      <c r="F201" s="3257">
        <v>32.020000000000003</v>
      </c>
      <c r="G201" s="3255" t="s">
        <v>5056</v>
      </c>
    </row>
    <row r="202" spans="1:7">
      <c r="A202" s="3254">
        <v>201</v>
      </c>
      <c r="B202" s="3614"/>
      <c r="C202" s="3611" t="s">
        <v>5055</v>
      </c>
      <c r="D202" s="3611"/>
      <c r="E202" s="3257" t="s">
        <v>4346</v>
      </c>
      <c r="F202" s="3257">
        <v>32.020000000000003</v>
      </c>
      <c r="G202" s="3255" t="s">
        <v>5056</v>
      </c>
    </row>
    <row r="203" spans="1:7">
      <c r="A203" s="3254">
        <v>202</v>
      </c>
      <c r="B203" s="3614"/>
      <c r="C203" s="3611" t="s">
        <v>5055</v>
      </c>
      <c r="D203" s="3611"/>
      <c r="E203" s="3257" t="s">
        <v>4347</v>
      </c>
      <c r="F203" s="3257">
        <v>32.020000000000003</v>
      </c>
      <c r="G203" s="3255" t="s">
        <v>5056</v>
      </c>
    </row>
    <row r="204" spans="1:7">
      <c r="A204" s="3254">
        <v>203</v>
      </c>
      <c r="B204" s="3614"/>
      <c r="C204" s="3611" t="s">
        <v>5055</v>
      </c>
      <c r="D204" s="3611"/>
      <c r="E204" s="3257" t="s">
        <v>4348</v>
      </c>
      <c r="F204" s="3257">
        <v>32.020000000000003</v>
      </c>
      <c r="G204" s="3255" t="s">
        <v>5056</v>
      </c>
    </row>
    <row r="205" spans="1:7">
      <c r="A205" s="3254">
        <v>204</v>
      </c>
      <c r="B205" s="3614"/>
      <c r="C205" s="3611" t="s">
        <v>5055</v>
      </c>
      <c r="D205" s="3611"/>
      <c r="E205" s="3257" t="s">
        <v>4349</v>
      </c>
      <c r="F205" s="3257">
        <v>32.020000000000003</v>
      </c>
      <c r="G205" s="3255" t="s">
        <v>5056</v>
      </c>
    </row>
    <row r="206" spans="1:7">
      <c r="A206" s="3254">
        <v>205</v>
      </c>
      <c r="B206" s="3614"/>
      <c r="C206" s="3611" t="s">
        <v>5055</v>
      </c>
      <c r="D206" s="3611"/>
      <c r="E206" s="3257" t="s">
        <v>4350</v>
      </c>
      <c r="F206" s="3257">
        <v>32.020000000000003</v>
      </c>
      <c r="G206" s="3255" t="s">
        <v>5056</v>
      </c>
    </row>
    <row r="207" spans="1:7">
      <c r="A207" s="3254">
        <v>206</v>
      </c>
      <c r="B207" s="3614"/>
      <c r="C207" s="3611" t="s">
        <v>5055</v>
      </c>
      <c r="D207" s="3611"/>
      <c r="E207" s="3257" t="s">
        <v>4351</v>
      </c>
      <c r="F207" s="3257">
        <v>32.020000000000003</v>
      </c>
      <c r="G207" s="3255" t="s">
        <v>5056</v>
      </c>
    </row>
    <row r="208" spans="1:7">
      <c r="A208" s="3254">
        <v>207</v>
      </c>
      <c r="B208" s="3614"/>
      <c r="C208" s="3611" t="s">
        <v>5055</v>
      </c>
      <c r="D208" s="3611"/>
      <c r="E208" s="3257" t="s">
        <v>4352</v>
      </c>
      <c r="F208" s="3257">
        <v>32.020000000000003</v>
      </c>
      <c r="G208" s="3255" t="s">
        <v>5056</v>
      </c>
    </row>
    <row r="209" spans="1:7">
      <c r="A209" s="3254">
        <v>208</v>
      </c>
      <c r="B209" s="3614"/>
      <c r="C209" s="3611" t="s">
        <v>5055</v>
      </c>
      <c r="D209" s="3611"/>
      <c r="E209" s="3257" t="s">
        <v>4353</v>
      </c>
      <c r="F209" s="3257">
        <v>32.020000000000003</v>
      </c>
      <c r="G209" s="3255" t="s">
        <v>5056</v>
      </c>
    </row>
    <row r="210" spans="1:7">
      <c r="A210" s="3254">
        <v>209</v>
      </c>
      <c r="B210" s="3614"/>
      <c r="C210" s="3611" t="s">
        <v>5055</v>
      </c>
      <c r="D210" s="3611"/>
      <c r="E210" s="3257" t="s">
        <v>4354</v>
      </c>
      <c r="F210" s="3257">
        <v>32.020000000000003</v>
      </c>
      <c r="G210" s="3255" t="s">
        <v>5056</v>
      </c>
    </row>
    <row r="211" spans="1:7">
      <c r="A211" s="3254">
        <v>210</v>
      </c>
      <c r="B211" s="3614"/>
      <c r="C211" s="3611" t="s">
        <v>5055</v>
      </c>
      <c r="D211" s="3611"/>
      <c r="E211" s="3257" t="s">
        <v>4355</v>
      </c>
      <c r="F211" s="3257">
        <v>32.020000000000003</v>
      </c>
      <c r="G211" s="3255" t="s">
        <v>5056</v>
      </c>
    </row>
    <row r="212" spans="1:7">
      <c r="A212" s="3254">
        <v>211</v>
      </c>
      <c r="B212" s="3614"/>
      <c r="C212" s="3611" t="s">
        <v>5055</v>
      </c>
      <c r="D212" s="3611"/>
      <c r="E212" s="3257" t="s">
        <v>4356</v>
      </c>
      <c r="F212" s="3257">
        <v>32.020000000000003</v>
      </c>
      <c r="G212" s="3255" t="s">
        <v>5056</v>
      </c>
    </row>
    <row r="213" spans="1:7">
      <c r="A213" s="3254">
        <v>212</v>
      </c>
      <c r="B213" s="3614"/>
      <c r="C213" s="3611" t="s">
        <v>5055</v>
      </c>
      <c r="D213" s="3611"/>
      <c r="E213" s="3257" t="s">
        <v>4357</v>
      </c>
      <c r="F213" s="3257">
        <v>32.020000000000003</v>
      </c>
      <c r="G213" s="3255" t="s">
        <v>5056</v>
      </c>
    </row>
    <row r="214" spans="1:7">
      <c r="A214" s="3254">
        <v>213</v>
      </c>
      <c r="B214" s="3614"/>
      <c r="C214" s="3611" t="s">
        <v>5055</v>
      </c>
      <c r="D214" s="3611"/>
      <c r="E214" s="3257" t="s">
        <v>4358</v>
      </c>
      <c r="F214" s="3257">
        <v>32.020000000000003</v>
      </c>
      <c r="G214" s="3255" t="s">
        <v>5056</v>
      </c>
    </row>
    <row r="215" spans="1:7">
      <c r="A215" s="3254">
        <v>214</v>
      </c>
      <c r="B215" s="3614"/>
      <c r="C215" s="3611" t="s">
        <v>5055</v>
      </c>
      <c r="D215" s="3611"/>
      <c r="E215" s="3257" t="s">
        <v>4359</v>
      </c>
      <c r="F215" s="3257">
        <v>32.020000000000003</v>
      </c>
      <c r="G215" s="3255" t="s">
        <v>5056</v>
      </c>
    </row>
    <row r="216" spans="1:7">
      <c r="A216" s="3254">
        <v>215</v>
      </c>
      <c r="B216" s="3614"/>
      <c r="C216" s="3611" t="s">
        <v>5055</v>
      </c>
      <c r="D216" s="3611"/>
      <c r="E216" s="3257" t="s">
        <v>4360</v>
      </c>
      <c r="F216" s="3257">
        <v>32.020000000000003</v>
      </c>
      <c r="G216" s="3255" t="s">
        <v>5056</v>
      </c>
    </row>
    <row r="217" spans="1:7">
      <c r="A217" s="3254">
        <v>216</v>
      </c>
      <c r="B217" s="3614"/>
      <c r="C217" s="3611" t="s">
        <v>5055</v>
      </c>
      <c r="D217" s="3611"/>
      <c r="E217" s="3257" t="s">
        <v>4361</v>
      </c>
      <c r="F217" s="3257">
        <v>32.020000000000003</v>
      </c>
      <c r="G217" s="3255" t="s">
        <v>5056</v>
      </c>
    </row>
    <row r="218" spans="1:7">
      <c r="A218" s="3254">
        <v>217</v>
      </c>
      <c r="B218" s="3614"/>
      <c r="C218" s="3611" t="s">
        <v>5055</v>
      </c>
      <c r="D218" s="3611"/>
      <c r="E218" s="3257" t="s">
        <v>4362</v>
      </c>
      <c r="F218" s="3257">
        <v>32.020000000000003</v>
      </c>
      <c r="G218" s="3255" t="s">
        <v>5056</v>
      </c>
    </row>
    <row r="219" spans="1:7">
      <c r="A219" s="3254">
        <v>218</v>
      </c>
      <c r="B219" s="3614"/>
      <c r="C219" s="3611" t="s">
        <v>5055</v>
      </c>
      <c r="D219" s="3611"/>
      <c r="E219" s="3257" t="s">
        <v>4363</v>
      </c>
      <c r="F219" s="3257">
        <v>32.020000000000003</v>
      </c>
      <c r="G219" s="3255" t="s">
        <v>5056</v>
      </c>
    </row>
    <row r="220" spans="1:7">
      <c r="A220" s="3254">
        <v>219</v>
      </c>
      <c r="B220" s="3614"/>
      <c r="C220" s="3611" t="s">
        <v>5055</v>
      </c>
      <c r="D220" s="3611"/>
      <c r="E220" s="3257" t="s">
        <v>4364</v>
      </c>
      <c r="F220" s="3257">
        <v>32.020000000000003</v>
      </c>
      <c r="G220" s="3255" t="s">
        <v>5056</v>
      </c>
    </row>
    <row r="221" spans="1:7">
      <c r="A221" s="3254">
        <v>220</v>
      </c>
      <c r="B221" s="3614"/>
      <c r="C221" s="3611" t="s">
        <v>5055</v>
      </c>
      <c r="D221" s="3611"/>
      <c r="E221" s="3257" t="s">
        <v>4365</v>
      </c>
      <c r="F221" s="3257">
        <v>32.020000000000003</v>
      </c>
      <c r="G221" s="3255" t="s">
        <v>5056</v>
      </c>
    </row>
    <row r="222" spans="1:7">
      <c r="A222" s="3254">
        <v>221</v>
      </c>
      <c r="B222" s="3614"/>
      <c r="C222" s="3611" t="s">
        <v>5055</v>
      </c>
      <c r="D222" s="3611"/>
      <c r="E222" s="3257" t="s">
        <v>4366</v>
      </c>
      <c r="F222" s="3257">
        <v>33.36</v>
      </c>
      <c r="G222" s="3255" t="s">
        <v>5056</v>
      </c>
    </row>
    <row r="223" spans="1:7">
      <c r="A223" s="3254">
        <v>222</v>
      </c>
      <c r="B223" s="3614"/>
      <c r="C223" s="3611" t="s">
        <v>5055</v>
      </c>
      <c r="D223" s="3611"/>
      <c r="E223" s="3257" t="s">
        <v>4367</v>
      </c>
      <c r="F223" s="3257">
        <v>32.020000000000003</v>
      </c>
      <c r="G223" s="3255" t="s">
        <v>5056</v>
      </c>
    </row>
    <row r="224" spans="1:7">
      <c r="A224" s="3254">
        <v>223</v>
      </c>
      <c r="B224" s="3614"/>
      <c r="C224" s="3611" t="s">
        <v>5055</v>
      </c>
      <c r="D224" s="3611"/>
      <c r="E224" s="3257" t="s">
        <v>4368</v>
      </c>
      <c r="F224" s="3257">
        <v>32.020000000000003</v>
      </c>
      <c r="G224" s="3255" t="s">
        <v>5056</v>
      </c>
    </row>
    <row r="225" spans="1:7">
      <c r="A225" s="3254">
        <v>224</v>
      </c>
      <c r="B225" s="3614"/>
      <c r="C225" s="3611" t="s">
        <v>5055</v>
      </c>
      <c r="D225" s="3611"/>
      <c r="E225" s="3257" t="s">
        <v>4369</v>
      </c>
      <c r="F225" s="3257">
        <v>32.020000000000003</v>
      </c>
      <c r="G225" s="3255" t="s">
        <v>5056</v>
      </c>
    </row>
    <row r="226" spans="1:7">
      <c r="A226" s="3254">
        <v>225</v>
      </c>
      <c r="B226" s="3614"/>
      <c r="C226" s="3611" t="s">
        <v>5055</v>
      </c>
      <c r="D226" s="3611"/>
      <c r="E226" s="3257" t="s">
        <v>4370</v>
      </c>
      <c r="F226" s="3257">
        <v>32.020000000000003</v>
      </c>
      <c r="G226" s="3255" t="s">
        <v>5056</v>
      </c>
    </row>
    <row r="227" spans="1:7">
      <c r="A227" s="3254">
        <v>226</v>
      </c>
      <c r="B227" s="3614"/>
      <c r="C227" s="3611" t="s">
        <v>5055</v>
      </c>
      <c r="D227" s="3611"/>
      <c r="E227" s="3257" t="s">
        <v>4371</v>
      </c>
      <c r="F227" s="3257">
        <v>32.020000000000003</v>
      </c>
      <c r="G227" s="3255" t="s">
        <v>5056</v>
      </c>
    </row>
    <row r="228" spans="1:7">
      <c r="A228" s="3254">
        <v>227</v>
      </c>
      <c r="B228" s="3614"/>
      <c r="C228" s="3611" t="s">
        <v>5055</v>
      </c>
      <c r="D228" s="3611"/>
      <c r="E228" s="3257" t="s">
        <v>4372</v>
      </c>
      <c r="F228" s="3257">
        <v>32.020000000000003</v>
      </c>
      <c r="G228" s="3255" t="s">
        <v>5056</v>
      </c>
    </row>
    <row r="229" spans="1:7">
      <c r="A229" s="3254">
        <v>228</v>
      </c>
      <c r="B229" s="3614"/>
      <c r="C229" s="3611" t="s">
        <v>5055</v>
      </c>
      <c r="D229" s="3611"/>
      <c r="E229" s="3257" t="s">
        <v>4373</v>
      </c>
      <c r="F229" s="3257">
        <v>32.020000000000003</v>
      </c>
      <c r="G229" s="3255" t="s">
        <v>5056</v>
      </c>
    </row>
    <row r="230" spans="1:7">
      <c r="A230" s="3254">
        <v>229</v>
      </c>
      <c r="B230" s="3614"/>
      <c r="C230" s="3611" t="s">
        <v>5055</v>
      </c>
      <c r="D230" s="3611"/>
      <c r="E230" s="3257" t="s">
        <v>4374</v>
      </c>
      <c r="F230" s="3257">
        <v>32.020000000000003</v>
      </c>
      <c r="G230" s="3255" t="s">
        <v>5056</v>
      </c>
    </row>
    <row r="231" spans="1:7">
      <c r="A231" s="3254">
        <v>230</v>
      </c>
      <c r="B231" s="3614"/>
      <c r="C231" s="3611" t="s">
        <v>5055</v>
      </c>
      <c r="D231" s="3611"/>
      <c r="E231" s="3257" t="s">
        <v>4375</v>
      </c>
      <c r="F231" s="3257">
        <v>32.020000000000003</v>
      </c>
      <c r="G231" s="3255" t="s">
        <v>5056</v>
      </c>
    </row>
    <row r="232" spans="1:7">
      <c r="A232" s="3254">
        <v>231</v>
      </c>
      <c r="B232" s="3614"/>
      <c r="C232" s="3611" t="s">
        <v>5055</v>
      </c>
      <c r="D232" s="3611"/>
      <c r="E232" s="3257" t="s">
        <v>4376</v>
      </c>
      <c r="F232" s="3257">
        <v>32.020000000000003</v>
      </c>
      <c r="G232" s="3255" t="s">
        <v>5056</v>
      </c>
    </row>
    <row r="233" spans="1:7">
      <c r="A233" s="3254">
        <v>232</v>
      </c>
      <c r="B233" s="3614"/>
      <c r="C233" s="3611" t="s">
        <v>5055</v>
      </c>
      <c r="D233" s="3611"/>
      <c r="E233" s="3257" t="s">
        <v>4377</v>
      </c>
      <c r="F233" s="3257">
        <v>32.020000000000003</v>
      </c>
      <c r="G233" s="3255" t="s">
        <v>5056</v>
      </c>
    </row>
    <row r="234" spans="1:7">
      <c r="A234" s="3254">
        <v>233</v>
      </c>
      <c r="B234" s="3614"/>
      <c r="C234" s="3611" t="s">
        <v>5055</v>
      </c>
      <c r="D234" s="3611"/>
      <c r="E234" s="3257" t="s">
        <v>4378</v>
      </c>
      <c r="F234" s="3257">
        <v>32.020000000000003</v>
      </c>
      <c r="G234" s="3255" t="s">
        <v>5056</v>
      </c>
    </row>
    <row r="235" spans="1:7">
      <c r="A235" s="3254">
        <v>234</v>
      </c>
      <c r="B235" s="3614"/>
      <c r="C235" s="3611" t="s">
        <v>5055</v>
      </c>
      <c r="D235" s="3611"/>
      <c r="E235" s="3257" t="s">
        <v>4379</v>
      </c>
      <c r="F235" s="3257">
        <v>32.020000000000003</v>
      </c>
      <c r="G235" s="3255" t="s">
        <v>5056</v>
      </c>
    </row>
    <row r="236" spans="1:7">
      <c r="A236" s="3254">
        <v>235</v>
      </c>
      <c r="B236" s="3614"/>
      <c r="C236" s="3611" t="s">
        <v>5055</v>
      </c>
      <c r="D236" s="3611"/>
      <c r="E236" s="3257" t="s">
        <v>4380</v>
      </c>
      <c r="F236" s="3257">
        <v>32.020000000000003</v>
      </c>
      <c r="G236" s="3255" t="s">
        <v>5056</v>
      </c>
    </row>
    <row r="237" spans="1:7">
      <c r="A237" s="3254">
        <v>236</v>
      </c>
      <c r="B237" s="3614"/>
      <c r="C237" s="3611" t="s">
        <v>5055</v>
      </c>
      <c r="D237" s="3611"/>
      <c r="E237" s="3257" t="s">
        <v>4381</v>
      </c>
      <c r="F237" s="3257">
        <v>32.020000000000003</v>
      </c>
      <c r="G237" s="3255" t="s">
        <v>5056</v>
      </c>
    </row>
    <row r="238" spans="1:7">
      <c r="A238" s="3254">
        <v>237</v>
      </c>
      <c r="B238" s="3614"/>
      <c r="C238" s="3611" t="s">
        <v>5055</v>
      </c>
      <c r="D238" s="3611"/>
      <c r="E238" s="3257" t="s">
        <v>4382</v>
      </c>
      <c r="F238" s="3257">
        <v>32.020000000000003</v>
      </c>
      <c r="G238" s="3255" t="s">
        <v>5056</v>
      </c>
    </row>
    <row r="239" spans="1:7">
      <c r="A239" s="3254">
        <v>238</v>
      </c>
      <c r="B239" s="3614"/>
      <c r="C239" s="3611" t="s">
        <v>5055</v>
      </c>
      <c r="D239" s="3611"/>
      <c r="E239" s="3257" t="s">
        <v>4383</v>
      </c>
      <c r="F239" s="3257">
        <v>33.36</v>
      </c>
      <c r="G239" s="3255" t="s">
        <v>5056</v>
      </c>
    </row>
    <row r="240" spans="1:7">
      <c r="A240" s="3254">
        <v>239</v>
      </c>
      <c r="B240" s="3614"/>
      <c r="C240" s="3611" t="s">
        <v>5055</v>
      </c>
      <c r="D240" s="3611"/>
      <c r="E240" s="3257" t="s">
        <v>4384</v>
      </c>
      <c r="F240" s="3257">
        <v>33.36</v>
      </c>
      <c r="G240" s="3255" t="s">
        <v>5056</v>
      </c>
    </row>
    <row r="241" spans="1:7">
      <c r="A241" s="3254">
        <v>240</v>
      </c>
      <c r="B241" s="3614"/>
      <c r="C241" s="3611" t="s">
        <v>5055</v>
      </c>
      <c r="D241" s="3611"/>
      <c r="E241" s="3257" t="s">
        <v>4385</v>
      </c>
      <c r="F241" s="3257">
        <v>33.36</v>
      </c>
      <c r="G241" s="3255" t="s">
        <v>5056</v>
      </c>
    </row>
    <row r="242" spans="1:7">
      <c r="A242" s="3254">
        <v>241</v>
      </c>
      <c r="B242" s="3614"/>
      <c r="C242" s="3611" t="s">
        <v>5055</v>
      </c>
      <c r="D242" s="3611"/>
      <c r="E242" s="3257" t="s">
        <v>4386</v>
      </c>
      <c r="F242" s="3257">
        <v>33.36</v>
      </c>
      <c r="G242" s="3255" t="s">
        <v>5056</v>
      </c>
    </row>
    <row r="243" spans="1:7">
      <c r="A243" s="3254">
        <v>242</v>
      </c>
      <c r="B243" s="3614"/>
      <c r="C243" s="3611" t="s">
        <v>5055</v>
      </c>
      <c r="D243" s="3611"/>
      <c r="E243" s="3257" t="s">
        <v>4387</v>
      </c>
      <c r="F243" s="3257">
        <v>33.36</v>
      </c>
      <c r="G243" s="3255" t="s">
        <v>5056</v>
      </c>
    </row>
    <row r="244" spans="1:7">
      <c r="A244" s="3254">
        <v>243</v>
      </c>
      <c r="B244" s="3614"/>
      <c r="C244" s="3611" t="s">
        <v>5055</v>
      </c>
      <c r="D244" s="3611"/>
      <c r="E244" s="3257" t="s">
        <v>4388</v>
      </c>
      <c r="F244" s="3257">
        <v>33.36</v>
      </c>
      <c r="G244" s="3255" t="s">
        <v>5056</v>
      </c>
    </row>
    <row r="245" spans="1:7">
      <c r="A245" s="3254">
        <v>244</v>
      </c>
      <c r="B245" s="3614"/>
      <c r="C245" s="3611" t="s">
        <v>5055</v>
      </c>
      <c r="D245" s="3611"/>
      <c r="E245" s="3257" t="s">
        <v>4389</v>
      </c>
      <c r="F245" s="3257">
        <v>32.020000000000003</v>
      </c>
      <c r="G245" s="3255" t="s">
        <v>5056</v>
      </c>
    </row>
    <row r="246" spans="1:7">
      <c r="A246" s="3254">
        <v>245</v>
      </c>
      <c r="B246" s="3614"/>
      <c r="C246" s="3611" t="s">
        <v>5055</v>
      </c>
      <c r="D246" s="3611"/>
      <c r="E246" s="3257" t="s">
        <v>4390</v>
      </c>
      <c r="F246" s="3257">
        <v>32.020000000000003</v>
      </c>
      <c r="G246" s="3255" t="s">
        <v>5056</v>
      </c>
    </row>
    <row r="247" spans="1:7">
      <c r="A247" s="3254">
        <v>246</v>
      </c>
      <c r="B247" s="3614"/>
      <c r="C247" s="3611" t="s">
        <v>5055</v>
      </c>
      <c r="D247" s="3611"/>
      <c r="E247" s="3257" t="s">
        <v>4391</v>
      </c>
      <c r="F247" s="3257">
        <v>32.020000000000003</v>
      </c>
      <c r="G247" s="3255" t="s">
        <v>5056</v>
      </c>
    </row>
    <row r="248" spans="1:7">
      <c r="A248" s="3254">
        <v>247</v>
      </c>
      <c r="B248" s="3614"/>
      <c r="C248" s="3611" t="s">
        <v>5055</v>
      </c>
      <c r="D248" s="3611"/>
      <c r="E248" s="3257" t="s">
        <v>4392</v>
      </c>
      <c r="F248" s="3257">
        <v>32.020000000000003</v>
      </c>
      <c r="G248" s="3255" t="s">
        <v>5056</v>
      </c>
    </row>
    <row r="249" spans="1:7">
      <c r="A249" s="3254">
        <v>248</v>
      </c>
      <c r="B249" s="3614"/>
      <c r="C249" s="3611" t="s">
        <v>5055</v>
      </c>
      <c r="D249" s="3611"/>
      <c r="E249" s="3257" t="s">
        <v>4393</v>
      </c>
      <c r="F249" s="3257">
        <v>32.020000000000003</v>
      </c>
      <c r="G249" s="3255" t="s">
        <v>5056</v>
      </c>
    </row>
    <row r="250" spans="1:7">
      <c r="A250" s="3254">
        <v>249</v>
      </c>
      <c r="B250" s="3614"/>
      <c r="C250" s="3611" t="s">
        <v>5055</v>
      </c>
      <c r="D250" s="3611"/>
      <c r="E250" s="3257" t="s">
        <v>4394</v>
      </c>
      <c r="F250" s="3257">
        <v>32.020000000000003</v>
      </c>
      <c r="G250" s="3255" t="s">
        <v>5056</v>
      </c>
    </row>
    <row r="251" spans="1:7">
      <c r="A251" s="3254">
        <v>250</v>
      </c>
      <c r="B251" s="3614"/>
      <c r="C251" s="3611" t="s">
        <v>5055</v>
      </c>
      <c r="D251" s="3611"/>
      <c r="E251" s="3257" t="s">
        <v>4395</v>
      </c>
      <c r="F251" s="3257">
        <v>32.020000000000003</v>
      </c>
      <c r="G251" s="3255" t="s">
        <v>5056</v>
      </c>
    </row>
    <row r="252" spans="1:7">
      <c r="A252" s="3254">
        <v>251</v>
      </c>
      <c r="B252" s="3614"/>
      <c r="C252" s="3611" t="s">
        <v>5055</v>
      </c>
      <c r="D252" s="3611"/>
      <c r="E252" s="3257" t="s">
        <v>4396</v>
      </c>
      <c r="F252" s="3257">
        <v>32.020000000000003</v>
      </c>
      <c r="G252" s="3255" t="s">
        <v>5056</v>
      </c>
    </row>
    <row r="253" spans="1:7">
      <c r="A253" s="3254">
        <v>252</v>
      </c>
      <c r="B253" s="3614"/>
      <c r="C253" s="3611" t="s">
        <v>5055</v>
      </c>
      <c r="D253" s="3611"/>
      <c r="E253" s="3257" t="s">
        <v>4397</v>
      </c>
      <c r="F253" s="3257">
        <v>32.020000000000003</v>
      </c>
      <c r="G253" s="3255" t="s">
        <v>5056</v>
      </c>
    </row>
    <row r="254" spans="1:7">
      <c r="A254" s="3254">
        <v>253</v>
      </c>
      <c r="B254" s="3614"/>
      <c r="C254" s="3611" t="s">
        <v>5055</v>
      </c>
      <c r="D254" s="3611"/>
      <c r="E254" s="3257" t="s">
        <v>4398</v>
      </c>
      <c r="F254" s="3257">
        <v>33.36</v>
      </c>
      <c r="G254" s="3255" t="s">
        <v>5056</v>
      </c>
    </row>
    <row r="255" spans="1:7">
      <c r="A255" s="3254">
        <v>254</v>
      </c>
      <c r="B255" s="3614"/>
      <c r="C255" s="3611" t="s">
        <v>5055</v>
      </c>
      <c r="D255" s="3611"/>
      <c r="E255" s="3257" t="s">
        <v>4399</v>
      </c>
      <c r="F255" s="3257">
        <v>33.36</v>
      </c>
      <c r="G255" s="3255" t="s">
        <v>5056</v>
      </c>
    </row>
    <row r="256" spans="1:7">
      <c r="A256" s="3254">
        <v>255</v>
      </c>
      <c r="B256" s="3614"/>
      <c r="C256" s="3611" t="s">
        <v>5055</v>
      </c>
      <c r="D256" s="3611"/>
      <c r="E256" s="3257" t="s">
        <v>4400</v>
      </c>
      <c r="F256" s="3257">
        <v>33.36</v>
      </c>
      <c r="G256" s="3255" t="s">
        <v>5056</v>
      </c>
    </row>
    <row r="257" spans="1:7">
      <c r="A257" s="3254">
        <v>256</v>
      </c>
      <c r="B257" s="3614"/>
      <c r="C257" s="3611" t="s">
        <v>5055</v>
      </c>
      <c r="D257" s="3611"/>
      <c r="E257" s="3257" t="s">
        <v>4401</v>
      </c>
      <c r="F257" s="3257">
        <v>33.36</v>
      </c>
      <c r="G257" s="3255" t="s">
        <v>5056</v>
      </c>
    </row>
    <row r="258" spans="1:7">
      <c r="A258" s="3254">
        <v>257</v>
      </c>
      <c r="B258" s="3614"/>
      <c r="C258" s="3611" t="s">
        <v>5055</v>
      </c>
      <c r="D258" s="3611"/>
      <c r="E258" s="3257" t="s">
        <v>4402</v>
      </c>
      <c r="F258" s="3257">
        <v>33.36</v>
      </c>
      <c r="G258" s="3255" t="s">
        <v>5056</v>
      </c>
    </row>
    <row r="259" spans="1:7">
      <c r="A259" s="3254">
        <v>258</v>
      </c>
      <c r="B259" s="3614"/>
      <c r="C259" s="3611" t="s">
        <v>5055</v>
      </c>
      <c r="D259" s="3611"/>
      <c r="E259" s="3257" t="s">
        <v>4403</v>
      </c>
      <c r="F259" s="3257">
        <v>33.36</v>
      </c>
      <c r="G259" s="3255" t="s">
        <v>5056</v>
      </c>
    </row>
    <row r="260" spans="1:7">
      <c r="A260" s="3254">
        <v>259</v>
      </c>
      <c r="B260" s="3614"/>
      <c r="C260" s="3611" t="s">
        <v>5055</v>
      </c>
      <c r="D260" s="3611"/>
      <c r="E260" s="3257" t="s">
        <v>4404</v>
      </c>
      <c r="F260" s="3257">
        <v>33.36</v>
      </c>
      <c r="G260" s="3255" t="s">
        <v>5056</v>
      </c>
    </row>
    <row r="261" spans="1:7">
      <c r="A261" s="3254">
        <v>260</v>
      </c>
      <c r="B261" s="3614"/>
      <c r="C261" s="3611" t="s">
        <v>5055</v>
      </c>
      <c r="D261" s="3611"/>
      <c r="E261" s="3257" t="s">
        <v>4405</v>
      </c>
      <c r="F261" s="3257">
        <v>33.36</v>
      </c>
      <c r="G261" s="3255" t="s">
        <v>5056</v>
      </c>
    </row>
    <row r="262" spans="1:7">
      <c r="A262" s="3254">
        <v>261</v>
      </c>
      <c r="B262" s="3614"/>
      <c r="C262" s="3611" t="s">
        <v>5055</v>
      </c>
      <c r="D262" s="3611"/>
      <c r="E262" s="3257" t="s">
        <v>4406</v>
      </c>
      <c r="F262" s="3257">
        <v>32.020000000000003</v>
      </c>
      <c r="G262" s="3255" t="s">
        <v>5056</v>
      </c>
    </row>
    <row r="263" spans="1:7">
      <c r="A263" s="3254">
        <v>262</v>
      </c>
      <c r="B263" s="3614"/>
      <c r="C263" s="3611" t="s">
        <v>5055</v>
      </c>
      <c r="D263" s="3611"/>
      <c r="E263" s="3257" t="s">
        <v>4407</v>
      </c>
      <c r="F263" s="3257">
        <v>32.020000000000003</v>
      </c>
      <c r="G263" s="3255" t="s">
        <v>5056</v>
      </c>
    </row>
    <row r="264" spans="1:7">
      <c r="A264" s="3254">
        <v>263</v>
      </c>
      <c r="B264" s="3614"/>
      <c r="C264" s="3611" t="s">
        <v>5055</v>
      </c>
      <c r="D264" s="3611"/>
      <c r="E264" s="3257" t="s">
        <v>4408</v>
      </c>
      <c r="F264" s="3257">
        <v>32.020000000000003</v>
      </c>
      <c r="G264" s="3255" t="s">
        <v>5056</v>
      </c>
    </row>
    <row r="265" spans="1:7">
      <c r="A265" s="3254">
        <v>264</v>
      </c>
      <c r="B265" s="3614"/>
      <c r="C265" s="3611" t="s">
        <v>5055</v>
      </c>
      <c r="D265" s="3611"/>
      <c r="E265" s="3257" t="s">
        <v>4409</v>
      </c>
      <c r="F265" s="3257">
        <v>32.020000000000003</v>
      </c>
      <c r="G265" s="3255" t="s">
        <v>5056</v>
      </c>
    </row>
    <row r="266" spans="1:7">
      <c r="A266" s="3254">
        <v>265</v>
      </c>
      <c r="B266" s="3614"/>
      <c r="C266" s="3611" t="s">
        <v>5055</v>
      </c>
      <c r="D266" s="3611"/>
      <c r="E266" s="3257" t="s">
        <v>4410</v>
      </c>
      <c r="F266" s="3257">
        <v>32.020000000000003</v>
      </c>
      <c r="G266" s="3255" t="s">
        <v>5056</v>
      </c>
    </row>
    <row r="267" spans="1:7">
      <c r="A267" s="3254">
        <v>266</v>
      </c>
      <c r="B267" s="3614"/>
      <c r="C267" s="3611" t="s">
        <v>5055</v>
      </c>
      <c r="D267" s="3611"/>
      <c r="E267" s="3257" t="s">
        <v>4411</v>
      </c>
      <c r="F267" s="3257">
        <v>32.020000000000003</v>
      </c>
      <c r="G267" s="3255" t="s">
        <v>5056</v>
      </c>
    </row>
    <row r="268" spans="1:7">
      <c r="A268" s="3254">
        <v>267</v>
      </c>
      <c r="B268" s="3614"/>
      <c r="C268" s="3611" t="s">
        <v>5055</v>
      </c>
      <c r="D268" s="3611"/>
      <c r="E268" s="3257" t="s">
        <v>4412</v>
      </c>
      <c r="F268" s="3257">
        <v>32.020000000000003</v>
      </c>
      <c r="G268" s="3255" t="s">
        <v>5056</v>
      </c>
    </row>
    <row r="269" spans="1:7">
      <c r="A269" s="3254">
        <v>268</v>
      </c>
      <c r="B269" s="3614"/>
      <c r="C269" s="3611" t="s">
        <v>5055</v>
      </c>
      <c r="D269" s="3611"/>
      <c r="E269" s="3257" t="s">
        <v>4413</v>
      </c>
      <c r="F269" s="3257">
        <v>32.020000000000003</v>
      </c>
      <c r="G269" s="3255" t="s">
        <v>5056</v>
      </c>
    </row>
    <row r="270" spans="1:7">
      <c r="A270" s="3254">
        <v>269</v>
      </c>
      <c r="B270" s="3614"/>
      <c r="C270" s="3611" t="s">
        <v>5055</v>
      </c>
      <c r="D270" s="3611"/>
      <c r="E270" s="3257" t="s">
        <v>4414</v>
      </c>
      <c r="F270" s="3257">
        <v>32.020000000000003</v>
      </c>
      <c r="G270" s="3255" t="s">
        <v>5056</v>
      </c>
    </row>
    <row r="271" spans="1:7">
      <c r="A271" s="3254">
        <v>270</v>
      </c>
      <c r="B271" s="3614"/>
      <c r="C271" s="3611" t="s">
        <v>5055</v>
      </c>
      <c r="D271" s="3611"/>
      <c r="E271" s="3257" t="s">
        <v>4415</v>
      </c>
      <c r="F271" s="3257">
        <v>32.020000000000003</v>
      </c>
      <c r="G271" s="3255" t="s">
        <v>5056</v>
      </c>
    </row>
    <row r="272" spans="1:7">
      <c r="A272" s="3254">
        <v>271</v>
      </c>
      <c r="B272" s="3614"/>
      <c r="C272" s="3611" t="s">
        <v>5055</v>
      </c>
      <c r="D272" s="3611"/>
      <c r="E272" s="3257" t="s">
        <v>4416</v>
      </c>
      <c r="F272" s="3257">
        <v>32.020000000000003</v>
      </c>
      <c r="G272" s="3255" t="s">
        <v>5056</v>
      </c>
    </row>
    <row r="273" spans="1:7">
      <c r="A273" s="3254">
        <v>272</v>
      </c>
      <c r="B273" s="3614"/>
      <c r="C273" s="3611" t="s">
        <v>5055</v>
      </c>
      <c r="D273" s="3611"/>
      <c r="E273" s="3257" t="s">
        <v>4417</v>
      </c>
      <c r="F273" s="3257">
        <v>32.020000000000003</v>
      </c>
      <c r="G273" s="3255" t="s">
        <v>5056</v>
      </c>
    </row>
    <row r="274" spans="1:7">
      <c r="A274" s="3254">
        <v>273</v>
      </c>
      <c r="B274" s="3614"/>
      <c r="C274" s="3611" t="s">
        <v>5055</v>
      </c>
      <c r="D274" s="3611"/>
      <c r="E274" s="3257" t="s">
        <v>4418</v>
      </c>
      <c r="F274" s="3257">
        <v>32.020000000000003</v>
      </c>
      <c r="G274" s="3255" t="s">
        <v>5056</v>
      </c>
    </row>
    <row r="275" spans="1:7">
      <c r="A275" s="3254">
        <v>274</v>
      </c>
      <c r="B275" s="3614"/>
      <c r="C275" s="3611" t="s">
        <v>5055</v>
      </c>
      <c r="D275" s="3611"/>
      <c r="E275" s="3257" t="s">
        <v>4419</v>
      </c>
      <c r="F275" s="3257">
        <v>32.020000000000003</v>
      </c>
      <c r="G275" s="3255" t="s">
        <v>5056</v>
      </c>
    </row>
    <row r="276" spans="1:7">
      <c r="A276" s="3254">
        <v>275</v>
      </c>
      <c r="B276" s="3614"/>
      <c r="C276" s="3611" t="s">
        <v>5055</v>
      </c>
      <c r="D276" s="3611"/>
      <c r="E276" s="3257" t="s">
        <v>4420</v>
      </c>
      <c r="F276" s="3257">
        <v>32.020000000000003</v>
      </c>
      <c r="G276" s="3255" t="s">
        <v>5056</v>
      </c>
    </row>
    <row r="277" spans="1:7">
      <c r="A277" s="3254">
        <v>276</v>
      </c>
      <c r="B277" s="3614"/>
      <c r="C277" s="3611" t="s">
        <v>5055</v>
      </c>
      <c r="D277" s="3611"/>
      <c r="E277" s="3257" t="s">
        <v>4421</v>
      </c>
      <c r="F277" s="3257">
        <v>32.020000000000003</v>
      </c>
      <c r="G277" s="3255" t="s">
        <v>5056</v>
      </c>
    </row>
    <row r="278" spans="1:7">
      <c r="A278" s="3254">
        <v>277</v>
      </c>
      <c r="B278" s="3614"/>
      <c r="C278" s="3611" t="s">
        <v>5055</v>
      </c>
      <c r="D278" s="3611"/>
      <c r="E278" s="3257" t="s">
        <v>4422</v>
      </c>
      <c r="F278" s="3257">
        <v>32.020000000000003</v>
      </c>
      <c r="G278" s="3255" t="s">
        <v>5056</v>
      </c>
    </row>
    <row r="279" spans="1:7">
      <c r="A279" s="3254">
        <v>278</v>
      </c>
      <c r="B279" s="3614"/>
      <c r="C279" s="3611" t="s">
        <v>5055</v>
      </c>
      <c r="D279" s="3611"/>
      <c r="E279" s="3257" t="s">
        <v>4423</v>
      </c>
      <c r="F279" s="3257">
        <v>32.020000000000003</v>
      </c>
      <c r="G279" s="3255" t="s">
        <v>5056</v>
      </c>
    </row>
    <row r="280" spans="1:7">
      <c r="A280" s="3254">
        <v>279</v>
      </c>
      <c r="B280" s="3614"/>
      <c r="C280" s="3611" t="s">
        <v>5055</v>
      </c>
      <c r="D280" s="3611"/>
      <c r="E280" s="3257" t="s">
        <v>4424</v>
      </c>
      <c r="F280" s="3257">
        <v>32.020000000000003</v>
      </c>
      <c r="G280" s="3255" t="s">
        <v>5056</v>
      </c>
    </row>
    <row r="281" spans="1:7">
      <c r="A281" s="3254">
        <v>280</v>
      </c>
      <c r="B281" s="3614"/>
      <c r="C281" s="3611" t="s">
        <v>5055</v>
      </c>
      <c r="D281" s="3611"/>
      <c r="E281" s="3257" t="s">
        <v>4425</v>
      </c>
      <c r="F281" s="3257">
        <v>32.020000000000003</v>
      </c>
      <c r="G281" s="3255" t="s">
        <v>5056</v>
      </c>
    </row>
    <row r="282" spans="1:7">
      <c r="A282" s="3254">
        <v>281</v>
      </c>
      <c r="B282" s="3614"/>
      <c r="C282" s="3611" t="s">
        <v>5055</v>
      </c>
      <c r="D282" s="3611"/>
      <c r="E282" s="3257" t="s">
        <v>4426</v>
      </c>
      <c r="F282" s="3257">
        <v>32.020000000000003</v>
      </c>
      <c r="G282" s="3255" t="s">
        <v>5056</v>
      </c>
    </row>
    <row r="283" spans="1:7">
      <c r="A283" s="3254">
        <v>282</v>
      </c>
      <c r="B283" s="3614"/>
      <c r="C283" s="3611" t="s">
        <v>5055</v>
      </c>
      <c r="D283" s="3611"/>
      <c r="E283" s="3257" t="s">
        <v>4427</v>
      </c>
      <c r="F283" s="3257">
        <v>32.020000000000003</v>
      </c>
      <c r="G283" s="3255" t="s">
        <v>5056</v>
      </c>
    </row>
    <row r="284" spans="1:7">
      <c r="A284" s="3254">
        <v>283</v>
      </c>
      <c r="B284" s="3614"/>
      <c r="C284" s="3611" t="s">
        <v>5055</v>
      </c>
      <c r="D284" s="3611"/>
      <c r="E284" s="3257" t="s">
        <v>4428</v>
      </c>
      <c r="F284" s="3257">
        <v>32.020000000000003</v>
      </c>
      <c r="G284" s="3255" t="s">
        <v>5056</v>
      </c>
    </row>
    <row r="285" spans="1:7">
      <c r="A285" s="3254">
        <v>284</v>
      </c>
      <c r="B285" s="3614"/>
      <c r="C285" s="3611" t="s">
        <v>5055</v>
      </c>
      <c r="D285" s="3611"/>
      <c r="E285" s="3257" t="s">
        <v>4429</v>
      </c>
      <c r="F285" s="3257">
        <v>32.020000000000003</v>
      </c>
      <c r="G285" s="3255" t="s">
        <v>5056</v>
      </c>
    </row>
    <row r="286" spans="1:7">
      <c r="A286" s="3254">
        <v>285</v>
      </c>
      <c r="B286" s="3614"/>
      <c r="C286" s="3611" t="s">
        <v>5055</v>
      </c>
      <c r="D286" s="3611"/>
      <c r="E286" s="3257" t="s">
        <v>4430</v>
      </c>
      <c r="F286" s="3257">
        <v>33.36</v>
      </c>
      <c r="G286" s="3255" t="s">
        <v>5056</v>
      </c>
    </row>
    <row r="287" spans="1:7">
      <c r="A287" s="3254">
        <v>286</v>
      </c>
      <c r="B287" s="3614"/>
      <c r="C287" s="3611" t="s">
        <v>5055</v>
      </c>
      <c r="D287" s="3611"/>
      <c r="E287" s="3257" t="s">
        <v>4431</v>
      </c>
      <c r="F287" s="3257">
        <v>32.020000000000003</v>
      </c>
      <c r="G287" s="3255" t="s">
        <v>5056</v>
      </c>
    </row>
    <row r="288" spans="1:7">
      <c r="A288" s="3254">
        <v>287</v>
      </c>
      <c r="B288" s="3614"/>
      <c r="C288" s="3611" t="s">
        <v>5055</v>
      </c>
      <c r="D288" s="3611"/>
      <c r="E288" s="3257" t="s">
        <v>4432</v>
      </c>
      <c r="F288" s="3257">
        <v>33.36</v>
      </c>
      <c r="G288" s="3255" t="s">
        <v>5056</v>
      </c>
    </row>
    <row r="289" spans="1:7">
      <c r="A289" s="3254">
        <v>288</v>
      </c>
      <c r="B289" s="3614"/>
      <c r="C289" s="3611" t="s">
        <v>5055</v>
      </c>
      <c r="D289" s="3611"/>
      <c r="E289" s="3257" t="s">
        <v>4433</v>
      </c>
      <c r="F289" s="3257">
        <v>27.57</v>
      </c>
      <c r="G289" s="3255" t="s">
        <v>5056</v>
      </c>
    </row>
    <row r="290" spans="1:7">
      <c r="A290" s="3254">
        <v>289</v>
      </c>
      <c r="B290" s="3614"/>
      <c r="C290" s="3611" t="s">
        <v>5055</v>
      </c>
      <c r="D290" s="3611"/>
      <c r="E290" s="3257" t="s">
        <v>4434</v>
      </c>
      <c r="F290" s="3257">
        <v>32.020000000000003</v>
      </c>
      <c r="G290" s="3255" t="s">
        <v>5056</v>
      </c>
    </row>
    <row r="291" spans="1:7">
      <c r="A291" s="3254">
        <v>290</v>
      </c>
      <c r="B291" s="3614"/>
      <c r="C291" s="3611" t="s">
        <v>5055</v>
      </c>
      <c r="D291" s="3611"/>
      <c r="E291" s="3257" t="s">
        <v>4435</v>
      </c>
      <c r="F291" s="3257">
        <v>32.020000000000003</v>
      </c>
      <c r="G291" s="3255" t="s">
        <v>5056</v>
      </c>
    </row>
    <row r="292" spans="1:7">
      <c r="A292" s="3254">
        <v>291</v>
      </c>
      <c r="B292" s="3614"/>
      <c r="C292" s="3611" t="s">
        <v>5055</v>
      </c>
      <c r="D292" s="3611"/>
      <c r="E292" s="3257" t="s">
        <v>4436</v>
      </c>
      <c r="F292" s="3257">
        <v>32.020000000000003</v>
      </c>
      <c r="G292" s="3255" t="s">
        <v>5056</v>
      </c>
    </row>
    <row r="293" spans="1:7">
      <c r="A293" s="3254">
        <v>292</v>
      </c>
      <c r="B293" s="3615"/>
      <c r="C293" s="3616" t="s">
        <v>5055</v>
      </c>
      <c r="D293" s="3617"/>
      <c r="E293" s="3257" t="s">
        <v>4437</v>
      </c>
      <c r="F293" s="3257">
        <v>32.020000000000003</v>
      </c>
      <c r="G293" s="3255" t="s">
        <v>5056</v>
      </c>
    </row>
    <row r="294" spans="1:7">
      <c r="A294" s="3612" t="s">
        <v>4439</v>
      </c>
      <c r="B294" s="3612"/>
      <c r="C294" s="3612"/>
      <c r="D294" s="3612"/>
      <c r="E294" s="3612"/>
      <c r="F294" s="3255">
        <f>SUM(F2:F293)</f>
        <v>9478.3100000000577</v>
      </c>
      <c r="G294" s="3255" t="s">
        <v>70</v>
      </c>
    </row>
    <row r="295" spans="1:7">
      <c r="A295" s="3254">
        <v>293</v>
      </c>
      <c r="B295" s="3618"/>
      <c r="C295" s="3611" t="s">
        <v>5057</v>
      </c>
      <c r="D295" s="3611"/>
      <c r="E295" s="3257" t="s">
        <v>4441</v>
      </c>
      <c r="F295" s="3257">
        <v>37.11</v>
      </c>
      <c r="G295" s="3255" t="s">
        <v>5056</v>
      </c>
    </row>
    <row r="296" spans="1:7">
      <c r="A296" s="3254">
        <v>294</v>
      </c>
      <c r="B296" s="3618"/>
      <c r="C296" s="3611" t="s">
        <v>5057</v>
      </c>
      <c r="D296" s="3611"/>
      <c r="E296" s="3257" t="s">
        <v>4442</v>
      </c>
      <c r="F296" s="3257">
        <v>37.11</v>
      </c>
      <c r="G296" s="3255" t="s">
        <v>5056</v>
      </c>
    </row>
    <row r="297" spans="1:7">
      <c r="A297" s="3254">
        <v>295</v>
      </c>
      <c r="B297" s="3618"/>
      <c r="C297" s="3611" t="s">
        <v>5057</v>
      </c>
      <c r="D297" s="3611"/>
      <c r="E297" s="3257" t="s">
        <v>4443</v>
      </c>
      <c r="F297" s="3257">
        <v>37.11</v>
      </c>
      <c r="G297" s="3255" t="s">
        <v>5056</v>
      </c>
    </row>
    <row r="298" spans="1:7">
      <c r="A298" s="3254">
        <v>296</v>
      </c>
      <c r="B298" s="3618"/>
      <c r="C298" s="3611" t="s">
        <v>5057</v>
      </c>
      <c r="D298" s="3611"/>
      <c r="E298" s="3257" t="s">
        <v>4444</v>
      </c>
      <c r="F298" s="3257">
        <v>37.11</v>
      </c>
      <c r="G298" s="3255" t="s">
        <v>5056</v>
      </c>
    </row>
    <row r="299" spans="1:7">
      <c r="A299" s="3254">
        <v>297</v>
      </c>
      <c r="B299" s="3618"/>
      <c r="C299" s="3611" t="s">
        <v>5057</v>
      </c>
      <c r="D299" s="3611"/>
      <c r="E299" s="3257" t="s">
        <v>4445</v>
      </c>
      <c r="F299" s="3257">
        <v>37.11</v>
      </c>
      <c r="G299" s="3255" t="s">
        <v>5056</v>
      </c>
    </row>
    <row r="300" spans="1:7">
      <c r="A300" s="3254">
        <v>298</v>
      </c>
      <c r="B300" s="3618"/>
      <c r="C300" s="3611" t="s">
        <v>5057</v>
      </c>
      <c r="D300" s="3611"/>
      <c r="E300" s="3257" t="s">
        <v>4446</v>
      </c>
      <c r="F300" s="3257">
        <v>37.11</v>
      </c>
      <c r="G300" s="3255" t="s">
        <v>5056</v>
      </c>
    </row>
    <row r="301" spans="1:7">
      <c r="A301" s="3254">
        <v>299</v>
      </c>
      <c r="B301" s="3618"/>
      <c r="C301" s="3611" t="s">
        <v>5057</v>
      </c>
      <c r="D301" s="3611"/>
      <c r="E301" s="3257" t="s">
        <v>4447</v>
      </c>
      <c r="F301" s="3257">
        <v>37.11</v>
      </c>
      <c r="G301" s="3255" t="s">
        <v>5056</v>
      </c>
    </row>
    <row r="302" spans="1:7">
      <c r="A302" s="3254">
        <v>300</v>
      </c>
      <c r="B302" s="3618"/>
      <c r="C302" s="3611" t="s">
        <v>5057</v>
      </c>
      <c r="D302" s="3611"/>
      <c r="E302" s="3257" t="s">
        <v>4448</v>
      </c>
      <c r="F302" s="3257">
        <v>37.11</v>
      </c>
      <c r="G302" s="3255" t="s">
        <v>5056</v>
      </c>
    </row>
    <row r="303" spans="1:7">
      <c r="A303" s="3254">
        <v>301</v>
      </c>
      <c r="B303" s="3618"/>
      <c r="C303" s="3611" t="s">
        <v>5057</v>
      </c>
      <c r="D303" s="3611"/>
      <c r="E303" s="3257" t="s">
        <v>4449</v>
      </c>
      <c r="F303" s="3257">
        <v>37.11</v>
      </c>
      <c r="G303" s="3255" t="s">
        <v>5056</v>
      </c>
    </row>
    <row r="304" spans="1:7">
      <c r="A304" s="3254">
        <v>302</v>
      </c>
      <c r="B304" s="3618"/>
      <c r="C304" s="3611" t="s">
        <v>5057</v>
      </c>
      <c r="D304" s="3611"/>
      <c r="E304" s="3257" t="s">
        <v>4450</v>
      </c>
      <c r="F304" s="3257">
        <v>38.659999999999997</v>
      </c>
      <c r="G304" s="3255" t="s">
        <v>5056</v>
      </c>
    </row>
    <row r="305" spans="1:7">
      <c r="A305" s="3254">
        <v>303</v>
      </c>
      <c r="B305" s="3618"/>
      <c r="C305" s="3611" t="s">
        <v>5057</v>
      </c>
      <c r="D305" s="3611"/>
      <c r="E305" s="3257" t="s">
        <v>4451</v>
      </c>
      <c r="F305" s="3257">
        <v>38.659999999999997</v>
      </c>
      <c r="G305" s="3255" t="s">
        <v>5056</v>
      </c>
    </row>
    <row r="306" spans="1:7">
      <c r="A306" s="3254">
        <v>304</v>
      </c>
      <c r="B306" s="3618"/>
      <c r="C306" s="3611" t="s">
        <v>5057</v>
      </c>
      <c r="D306" s="3611"/>
      <c r="E306" s="3257" t="s">
        <v>4452</v>
      </c>
      <c r="F306" s="3257">
        <v>37.11</v>
      </c>
      <c r="G306" s="3255" t="s">
        <v>5056</v>
      </c>
    </row>
    <row r="307" spans="1:7">
      <c r="A307" s="3254">
        <v>305</v>
      </c>
      <c r="B307" s="3618"/>
      <c r="C307" s="3611" t="s">
        <v>5057</v>
      </c>
      <c r="D307" s="3611"/>
      <c r="E307" s="3257" t="s">
        <v>4453</v>
      </c>
      <c r="F307" s="3257">
        <v>37.11</v>
      </c>
      <c r="G307" s="3255" t="s">
        <v>5056</v>
      </c>
    </row>
    <row r="308" spans="1:7">
      <c r="A308" s="3254">
        <v>306</v>
      </c>
      <c r="B308" s="3618"/>
      <c r="C308" s="3611" t="s">
        <v>5057</v>
      </c>
      <c r="D308" s="3611"/>
      <c r="E308" s="3257" t="s">
        <v>4454</v>
      </c>
      <c r="F308" s="3257">
        <v>36.369999999999997</v>
      </c>
      <c r="G308" s="3255" t="s">
        <v>5056</v>
      </c>
    </row>
    <row r="309" spans="1:7">
      <c r="A309" s="3254">
        <v>307</v>
      </c>
      <c r="B309" s="3618"/>
      <c r="C309" s="3611" t="s">
        <v>5057</v>
      </c>
      <c r="D309" s="3611"/>
      <c r="E309" s="3257" t="s">
        <v>4455</v>
      </c>
      <c r="F309" s="3257">
        <v>37.11</v>
      </c>
      <c r="G309" s="3255" t="s">
        <v>5056</v>
      </c>
    </row>
    <row r="310" spans="1:7">
      <c r="A310" s="3254">
        <v>308</v>
      </c>
      <c r="B310" s="3618"/>
      <c r="C310" s="3611" t="s">
        <v>5057</v>
      </c>
      <c r="D310" s="3611"/>
      <c r="E310" s="3257" t="s">
        <v>4456</v>
      </c>
      <c r="F310" s="3257">
        <v>40.200000000000003</v>
      </c>
      <c r="G310" s="3255" t="s">
        <v>5056</v>
      </c>
    </row>
    <row r="311" spans="1:7">
      <c r="A311" s="3254">
        <v>309</v>
      </c>
      <c r="B311" s="3618"/>
      <c r="C311" s="3611" t="s">
        <v>5057</v>
      </c>
      <c r="D311" s="3611"/>
      <c r="E311" s="3257" t="s">
        <v>4457</v>
      </c>
      <c r="F311" s="3257">
        <v>37.11</v>
      </c>
      <c r="G311" s="3255" t="s">
        <v>5056</v>
      </c>
    </row>
    <row r="312" spans="1:7">
      <c r="A312" s="3254">
        <v>310</v>
      </c>
      <c r="B312" s="3618"/>
      <c r="C312" s="3611" t="s">
        <v>5057</v>
      </c>
      <c r="D312" s="3611"/>
      <c r="E312" s="3257" t="s">
        <v>4458</v>
      </c>
      <c r="F312" s="3257">
        <v>37.11</v>
      </c>
      <c r="G312" s="3255" t="s">
        <v>5056</v>
      </c>
    </row>
    <row r="313" spans="1:7">
      <c r="A313" s="3254">
        <v>311</v>
      </c>
      <c r="B313" s="3618"/>
      <c r="C313" s="3611" t="s">
        <v>5057</v>
      </c>
      <c r="D313" s="3611"/>
      <c r="E313" s="3257" t="s">
        <v>4459</v>
      </c>
      <c r="F313" s="3257">
        <v>37.11</v>
      </c>
      <c r="G313" s="3255" t="s">
        <v>5056</v>
      </c>
    </row>
    <row r="314" spans="1:7">
      <c r="A314" s="3254">
        <v>312</v>
      </c>
      <c r="B314" s="3618"/>
      <c r="C314" s="3611" t="s">
        <v>5057</v>
      </c>
      <c r="D314" s="3611"/>
      <c r="E314" s="3257" t="s">
        <v>4460</v>
      </c>
      <c r="F314" s="3257">
        <v>37.49</v>
      </c>
      <c r="G314" s="3255" t="s">
        <v>5056</v>
      </c>
    </row>
    <row r="315" spans="1:7">
      <c r="A315" s="3254">
        <v>313</v>
      </c>
      <c r="B315" s="3618"/>
      <c r="C315" s="3611" t="s">
        <v>5057</v>
      </c>
      <c r="D315" s="3611"/>
      <c r="E315" s="3257" t="s">
        <v>4461</v>
      </c>
      <c r="F315" s="3257">
        <v>37.49</v>
      </c>
      <c r="G315" s="3255" t="s">
        <v>5056</v>
      </c>
    </row>
    <row r="316" spans="1:7">
      <c r="A316" s="3254">
        <v>314</v>
      </c>
      <c r="B316" s="3618"/>
      <c r="C316" s="3611" t="s">
        <v>5057</v>
      </c>
      <c r="D316" s="3611"/>
      <c r="E316" s="3257" t="s">
        <v>4462</v>
      </c>
      <c r="F316" s="3257">
        <v>37.49</v>
      </c>
      <c r="G316" s="3255" t="s">
        <v>5056</v>
      </c>
    </row>
    <row r="317" spans="1:7">
      <c r="A317" s="3254">
        <v>315</v>
      </c>
      <c r="B317" s="3618"/>
      <c r="C317" s="3611" t="s">
        <v>5057</v>
      </c>
      <c r="D317" s="3611"/>
      <c r="E317" s="3257" t="s">
        <v>4463</v>
      </c>
      <c r="F317" s="3257">
        <v>37.49</v>
      </c>
      <c r="G317" s="3255" t="s">
        <v>5056</v>
      </c>
    </row>
    <row r="318" spans="1:7">
      <c r="A318" s="3254">
        <v>316</v>
      </c>
      <c r="B318" s="3618"/>
      <c r="C318" s="3611" t="s">
        <v>5057</v>
      </c>
      <c r="D318" s="3611"/>
      <c r="E318" s="3257" t="s">
        <v>4464</v>
      </c>
      <c r="F318" s="3257">
        <v>37.49</v>
      </c>
      <c r="G318" s="3255" t="s">
        <v>5056</v>
      </c>
    </row>
    <row r="319" spans="1:7">
      <c r="A319" s="3254">
        <v>317</v>
      </c>
      <c r="B319" s="3618"/>
      <c r="C319" s="3611" t="s">
        <v>5057</v>
      </c>
      <c r="D319" s="3611"/>
      <c r="E319" s="3257" t="s">
        <v>4465</v>
      </c>
      <c r="F319" s="3257">
        <v>37.49</v>
      </c>
      <c r="G319" s="3255" t="s">
        <v>5056</v>
      </c>
    </row>
    <row r="320" spans="1:7">
      <c r="A320" s="3254">
        <v>318</v>
      </c>
      <c r="B320" s="3618"/>
      <c r="C320" s="3611" t="s">
        <v>5057</v>
      </c>
      <c r="D320" s="3611"/>
      <c r="E320" s="3257" t="s">
        <v>4466</v>
      </c>
      <c r="F320" s="3257">
        <v>37.49</v>
      </c>
      <c r="G320" s="3255" t="s">
        <v>5056</v>
      </c>
    </row>
    <row r="321" spans="1:7">
      <c r="A321" s="3254">
        <v>319</v>
      </c>
      <c r="B321" s="3618"/>
      <c r="C321" s="3611" t="s">
        <v>5057</v>
      </c>
      <c r="D321" s="3611"/>
      <c r="E321" s="3257" t="s">
        <v>4467</v>
      </c>
      <c r="F321" s="3257">
        <v>37.49</v>
      </c>
      <c r="G321" s="3255" t="s">
        <v>5056</v>
      </c>
    </row>
    <row r="322" spans="1:7">
      <c r="A322" s="3254">
        <v>320</v>
      </c>
      <c r="B322" s="3618"/>
      <c r="C322" s="3611" t="s">
        <v>5057</v>
      </c>
      <c r="D322" s="3611"/>
      <c r="E322" s="3257" t="s">
        <v>4468</v>
      </c>
      <c r="F322" s="3257">
        <v>37.49</v>
      </c>
      <c r="G322" s="3255" t="s">
        <v>5056</v>
      </c>
    </row>
    <row r="323" spans="1:7">
      <c r="A323" s="3254">
        <v>321</v>
      </c>
      <c r="B323" s="3618"/>
      <c r="C323" s="3611" t="s">
        <v>5057</v>
      </c>
      <c r="D323" s="3611"/>
      <c r="E323" s="3257" t="s">
        <v>4469</v>
      </c>
      <c r="F323" s="3257">
        <v>37.49</v>
      </c>
      <c r="G323" s="3255" t="s">
        <v>5056</v>
      </c>
    </row>
    <row r="324" spans="1:7">
      <c r="A324" s="3254">
        <v>322</v>
      </c>
      <c r="B324" s="3618"/>
      <c r="C324" s="3611" t="s">
        <v>5057</v>
      </c>
      <c r="D324" s="3611"/>
      <c r="E324" s="3257" t="s">
        <v>4470</v>
      </c>
      <c r="F324" s="3257">
        <v>37.49</v>
      </c>
      <c r="G324" s="3255" t="s">
        <v>5056</v>
      </c>
    </row>
    <row r="325" spans="1:7">
      <c r="A325" s="3254">
        <v>323</v>
      </c>
      <c r="B325" s="3618"/>
      <c r="C325" s="3611" t="s">
        <v>5057</v>
      </c>
      <c r="D325" s="3611"/>
      <c r="E325" s="3257" t="s">
        <v>4471</v>
      </c>
      <c r="F325" s="3257">
        <v>37.49</v>
      </c>
      <c r="G325" s="3255" t="s">
        <v>5056</v>
      </c>
    </row>
    <row r="326" spans="1:7">
      <c r="A326" s="3254">
        <v>324</v>
      </c>
      <c r="B326" s="3618"/>
      <c r="C326" s="3611" t="s">
        <v>5057</v>
      </c>
      <c r="D326" s="3611"/>
      <c r="E326" s="3257" t="s">
        <v>4472</v>
      </c>
      <c r="F326" s="3257">
        <v>37.49</v>
      </c>
      <c r="G326" s="3255" t="s">
        <v>5056</v>
      </c>
    </row>
    <row r="327" spans="1:7">
      <c r="A327" s="3254">
        <v>325</v>
      </c>
      <c r="B327" s="3618"/>
      <c r="C327" s="3611" t="s">
        <v>5057</v>
      </c>
      <c r="D327" s="3611"/>
      <c r="E327" s="3257" t="s">
        <v>4473</v>
      </c>
      <c r="F327" s="3257">
        <v>37.49</v>
      </c>
      <c r="G327" s="3255" t="s">
        <v>5056</v>
      </c>
    </row>
    <row r="328" spans="1:7">
      <c r="A328" s="3254">
        <v>326</v>
      </c>
      <c r="B328" s="3618"/>
      <c r="C328" s="3611" t="s">
        <v>5057</v>
      </c>
      <c r="D328" s="3611"/>
      <c r="E328" s="3257" t="s">
        <v>4474</v>
      </c>
      <c r="F328" s="3257">
        <v>37.49</v>
      </c>
      <c r="G328" s="3255" t="s">
        <v>5056</v>
      </c>
    </row>
    <row r="329" spans="1:7">
      <c r="A329" s="3254">
        <v>327</v>
      </c>
      <c r="B329" s="3618"/>
      <c r="C329" s="3611" t="s">
        <v>5057</v>
      </c>
      <c r="D329" s="3611"/>
      <c r="E329" s="3257" t="s">
        <v>4475</v>
      </c>
      <c r="F329" s="3257">
        <v>37.49</v>
      </c>
      <c r="G329" s="3255" t="s">
        <v>5056</v>
      </c>
    </row>
    <row r="330" spans="1:7">
      <c r="A330" s="3254">
        <v>328</v>
      </c>
      <c r="B330" s="3618"/>
      <c r="C330" s="3611" t="s">
        <v>5057</v>
      </c>
      <c r="D330" s="3611"/>
      <c r="E330" s="3257" t="s">
        <v>4476</v>
      </c>
      <c r="F330" s="3257">
        <v>37.49</v>
      </c>
      <c r="G330" s="3255" t="s">
        <v>5056</v>
      </c>
    </row>
    <row r="331" spans="1:7">
      <c r="A331" s="3254">
        <v>329</v>
      </c>
      <c r="B331" s="3618"/>
      <c r="C331" s="3611" t="s">
        <v>5057</v>
      </c>
      <c r="D331" s="3611"/>
      <c r="E331" s="3257" t="s">
        <v>4477</v>
      </c>
      <c r="F331" s="3257">
        <v>37.49</v>
      </c>
      <c r="G331" s="3255" t="s">
        <v>5056</v>
      </c>
    </row>
    <row r="332" spans="1:7">
      <c r="A332" s="3254">
        <v>330</v>
      </c>
      <c r="B332" s="3618"/>
      <c r="C332" s="3611" t="s">
        <v>5057</v>
      </c>
      <c r="D332" s="3611"/>
      <c r="E332" s="3257" t="s">
        <v>4478</v>
      </c>
      <c r="F332" s="3257">
        <v>37.49</v>
      </c>
      <c r="G332" s="3255" t="s">
        <v>5056</v>
      </c>
    </row>
    <row r="333" spans="1:7">
      <c r="A333" s="3254">
        <v>331</v>
      </c>
      <c r="B333" s="3618"/>
      <c r="C333" s="3611" t="s">
        <v>5057</v>
      </c>
      <c r="D333" s="3611"/>
      <c r="E333" s="3257" t="s">
        <v>4479</v>
      </c>
      <c r="F333" s="3257">
        <v>37.49</v>
      </c>
      <c r="G333" s="3255" t="s">
        <v>5056</v>
      </c>
    </row>
    <row r="334" spans="1:7">
      <c r="A334" s="3254">
        <v>332</v>
      </c>
      <c r="B334" s="3618"/>
      <c r="C334" s="3611" t="s">
        <v>5057</v>
      </c>
      <c r="D334" s="3611"/>
      <c r="E334" s="3257" t="s">
        <v>4480</v>
      </c>
      <c r="F334" s="3257">
        <v>37.49</v>
      </c>
      <c r="G334" s="3255" t="s">
        <v>5056</v>
      </c>
    </row>
    <row r="335" spans="1:7">
      <c r="A335" s="3254">
        <v>333</v>
      </c>
      <c r="B335" s="3618"/>
      <c r="C335" s="3611" t="s">
        <v>5057</v>
      </c>
      <c r="D335" s="3611"/>
      <c r="E335" s="3257" t="s">
        <v>4481</v>
      </c>
      <c r="F335" s="3257">
        <v>35.99</v>
      </c>
      <c r="G335" s="3255" t="s">
        <v>5056</v>
      </c>
    </row>
    <row r="336" spans="1:7">
      <c r="A336" s="3254">
        <v>334</v>
      </c>
      <c r="B336" s="3618"/>
      <c r="C336" s="3611" t="s">
        <v>5057</v>
      </c>
      <c r="D336" s="3611"/>
      <c r="E336" s="3257" t="s">
        <v>4482</v>
      </c>
      <c r="F336" s="3257">
        <v>35.99</v>
      </c>
      <c r="G336" s="3255" t="s">
        <v>5056</v>
      </c>
    </row>
    <row r="337" spans="1:7">
      <c r="A337" s="3254">
        <v>335</v>
      </c>
      <c r="B337" s="3618"/>
      <c r="C337" s="3611" t="s">
        <v>5057</v>
      </c>
      <c r="D337" s="3611"/>
      <c r="E337" s="3257" t="s">
        <v>4483</v>
      </c>
      <c r="F337" s="3257">
        <v>35.99</v>
      </c>
      <c r="G337" s="3255" t="s">
        <v>5056</v>
      </c>
    </row>
    <row r="338" spans="1:7">
      <c r="A338" s="3254">
        <v>336</v>
      </c>
      <c r="B338" s="3618"/>
      <c r="C338" s="3611" t="s">
        <v>5057</v>
      </c>
      <c r="D338" s="3611"/>
      <c r="E338" s="3257" t="s">
        <v>4484</v>
      </c>
      <c r="F338" s="3257">
        <v>35.99</v>
      </c>
      <c r="G338" s="3255" t="s">
        <v>5056</v>
      </c>
    </row>
    <row r="339" spans="1:7">
      <c r="A339" s="3254">
        <v>337</v>
      </c>
      <c r="B339" s="3618"/>
      <c r="C339" s="3611" t="s">
        <v>5057</v>
      </c>
      <c r="D339" s="3611"/>
      <c r="E339" s="3257" t="s">
        <v>4485</v>
      </c>
      <c r="F339" s="3257">
        <v>35.99</v>
      </c>
      <c r="G339" s="3255" t="s">
        <v>5056</v>
      </c>
    </row>
    <row r="340" spans="1:7">
      <c r="A340" s="3254">
        <v>338</v>
      </c>
      <c r="B340" s="3618"/>
      <c r="C340" s="3611" t="s">
        <v>5057</v>
      </c>
      <c r="D340" s="3611"/>
      <c r="E340" s="3257" t="s">
        <v>4486</v>
      </c>
      <c r="F340" s="3257">
        <v>35.99</v>
      </c>
      <c r="G340" s="3255" t="s">
        <v>5056</v>
      </c>
    </row>
    <row r="341" spans="1:7">
      <c r="A341" s="3254">
        <v>339</v>
      </c>
      <c r="B341" s="3618"/>
      <c r="C341" s="3611" t="s">
        <v>5057</v>
      </c>
      <c r="D341" s="3611"/>
      <c r="E341" s="3257" t="s">
        <v>4487</v>
      </c>
      <c r="F341" s="3257">
        <v>35.99</v>
      </c>
      <c r="G341" s="3255" t="s">
        <v>5056</v>
      </c>
    </row>
    <row r="342" spans="1:7">
      <c r="A342" s="3254">
        <v>340</v>
      </c>
      <c r="B342" s="3618"/>
      <c r="C342" s="3611" t="s">
        <v>5057</v>
      </c>
      <c r="D342" s="3611"/>
      <c r="E342" s="3257" t="s">
        <v>4488</v>
      </c>
      <c r="F342" s="3257">
        <v>35.99</v>
      </c>
      <c r="G342" s="3255" t="s">
        <v>5056</v>
      </c>
    </row>
    <row r="343" spans="1:7">
      <c r="A343" s="3254">
        <v>341</v>
      </c>
      <c r="B343" s="3618"/>
      <c r="C343" s="3611" t="s">
        <v>5057</v>
      </c>
      <c r="D343" s="3611"/>
      <c r="E343" s="3257" t="s">
        <v>4489</v>
      </c>
      <c r="F343" s="3257">
        <v>35.99</v>
      </c>
      <c r="G343" s="3255" t="s">
        <v>5056</v>
      </c>
    </row>
    <row r="344" spans="1:7">
      <c r="A344" s="3254">
        <v>342</v>
      </c>
      <c r="B344" s="3618"/>
      <c r="C344" s="3611" t="s">
        <v>5057</v>
      </c>
      <c r="D344" s="3611"/>
      <c r="E344" s="3257" t="s">
        <v>4490</v>
      </c>
      <c r="F344" s="3257">
        <v>35.99</v>
      </c>
      <c r="G344" s="3255" t="s">
        <v>5056</v>
      </c>
    </row>
    <row r="345" spans="1:7">
      <c r="A345" s="3254">
        <v>343</v>
      </c>
      <c r="B345" s="3618"/>
      <c r="C345" s="3611" t="s">
        <v>5057</v>
      </c>
      <c r="D345" s="3611"/>
      <c r="E345" s="3257" t="s">
        <v>4491</v>
      </c>
      <c r="F345" s="3257">
        <v>35.99</v>
      </c>
      <c r="G345" s="3255" t="s">
        <v>5056</v>
      </c>
    </row>
    <row r="346" spans="1:7">
      <c r="A346" s="3254">
        <v>344</v>
      </c>
      <c r="B346" s="3618"/>
      <c r="C346" s="3611" t="s">
        <v>5057</v>
      </c>
      <c r="D346" s="3611"/>
      <c r="E346" s="3257" t="s">
        <v>4492</v>
      </c>
      <c r="F346" s="3257">
        <v>35.99</v>
      </c>
      <c r="G346" s="3255" t="s">
        <v>5056</v>
      </c>
    </row>
    <row r="347" spans="1:7">
      <c r="A347" s="3254">
        <v>345</v>
      </c>
      <c r="B347" s="3618"/>
      <c r="C347" s="3611" t="s">
        <v>5057</v>
      </c>
      <c r="D347" s="3611"/>
      <c r="E347" s="3257" t="s">
        <v>4493</v>
      </c>
      <c r="F347" s="3257">
        <v>35.99</v>
      </c>
      <c r="G347" s="3255" t="s">
        <v>5056</v>
      </c>
    </row>
    <row r="348" spans="1:7">
      <c r="A348" s="3254">
        <v>346</v>
      </c>
      <c r="B348" s="3618"/>
      <c r="C348" s="3611" t="s">
        <v>5057</v>
      </c>
      <c r="D348" s="3611"/>
      <c r="E348" s="3257" t="s">
        <v>4494</v>
      </c>
      <c r="F348" s="3257">
        <v>35.99</v>
      </c>
      <c r="G348" s="3255" t="s">
        <v>5056</v>
      </c>
    </row>
    <row r="349" spans="1:7">
      <c r="A349" s="3254">
        <v>347</v>
      </c>
      <c r="B349" s="3618"/>
      <c r="C349" s="3611" t="s">
        <v>5057</v>
      </c>
      <c r="D349" s="3611"/>
      <c r="E349" s="3257" t="s">
        <v>4495</v>
      </c>
      <c r="F349" s="3257">
        <v>35.99</v>
      </c>
      <c r="G349" s="3255" t="s">
        <v>5056</v>
      </c>
    </row>
    <row r="350" spans="1:7">
      <c r="A350" s="3254">
        <v>348</v>
      </c>
      <c r="B350" s="3618"/>
      <c r="C350" s="3611" t="s">
        <v>5057</v>
      </c>
      <c r="D350" s="3611"/>
      <c r="E350" s="3257" t="s">
        <v>4496</v>
      </c>
      <c r="F350" s="3257">
        <v>35.99</v>
      </c>
      <c r="G350" s="3255" t="s">
        <v>5056</v>
      </c>
    </row>
    <row r="351" spans="1:7">
      <c r="A351" s="3254">
        <v>349</v>
      </c>
      <c r="B351" s="3618"/>
      <c r="C351" s="3611" t="s">
        <v>5057</v>
      </c>
      <c r="D351" s="3611"/>
      <c r="E351" s="3257" t="s">
        <v>4497</v>
      </c>
      <c r="F351" s="3257">
        <v>35.99</v>
      </c>
      <c r="G351" s="3255" t="s">
        <v>5056</v>
      </c>
    </row>
    <row r="352" spans="1:7">
      <c r="A352" s="3254">
        <v>350</v>
      </c>
      <c r="B352" s="3618"/>
      <c r="C352" s="3611" t="s">
        <v>5057</v>
      </c>
      <c r="D352" s="3611"/>
      <c r="E352" s="3257" t="s">
        <v>4498</v>
      </c>
      <c r="F352" s="3257">
        <v>35.99</v>
      </c>
      <c r="G352" s="3255" t="s">
        <v>5056</v>
      </c>
    </row>
    <row r="353" spans="1:7">
      <c r="A353" s="3254">
        <v>351</v>
      </c>
      <c r="B353" s="3618"/>
      <c r="C353" s="3611" t="s">
        <v>5057</v>
      </c>
      <c r="D353" s="3611"/>
      <c r="E353" s="3257" t="s">
        <v>4499</v>
      </c>
      <c r="F353" s="3257">
        <v>35.99</v>
      </c>
      <c r="G353" s="3255" t="s">
        <v>5056</v>
      </c>
    </row>
    <row r="354" spans="1:7">
      <c r="A354" s="3254">
        <v>352</v>
      </c>
      <c r="B354" s="3618"/>
      <c r="C354" s="3611" t="s">
        <v>5057</v>
      </c>
      <c r="D354" s="3611"/>
      <c r="E354" s="3257" t="s">
        <v>4500</v>
      </c>
      <c r="F354" s="3257">
        <v>35.99</v>
      </c>
      <c r="G354" s="3255" t="s">
        <v>5056</v>
      </c>
    </row>
    <row r="355" spans="1:7">
      <c r="A355" s="3254">
        <v>353</v>
      </c>
      <c r="B355" s="3618"/>
      <c r="C355" s="3611" t="s">
        <v>5057</v>
      </c>
      <c r="D355" s="3611"/>
      <c r="E355" s="3257" t="s">
        <v>4501</v>
      </c>
      <c r="F355" s="3257">
        <v>35.99</v>
      </c>
      <c r="G355" s="3255" t="s">
        <v>5056</v>
      </c>
    </row>
    <row r="356" spans="1:7">
      <c r="A356" s="3254">
        <v>354</v>
      </c>
      <c r="B356" s="3618"/>
      <c r="C356" s="3611" t="s">
        <v>5057</v>
      </c>
      <c r="D356" s="3611"/>
      <c r="E356" s="3257" t="s">
        <v>4502</v>
      </c>
      <c r="F356" s="3257">
        <v>35.99</v>
      </c>
      <c r="G356" s="3255" t="s">
        <v>5056</v>
      </c>
    </row>
    <row r="357" spans="1:7">
      <c r="A357" s="3254">
        <v>355</v>
      </c>
      <c r="B357" s="3618"/>
      <c r="C357" s="3611" t="s">
        <v>5057</v>
      </c>
      <c r="D357" s="3611"/>
      <c r="E357" s="3257" t="s">
        <v>4503</v>
      </c>
      <c r="F357" s="3257">
        <v>35.99</v>
      </c>
      <c r="G357" s="3255" t="s">
        <v>5056</v>
      </c>
    </row>
    <row r="358" spans="1:7">
      <c r="A358" s="3254">
        <v>356</v>
      </c>
      <c r="B358" s="3618"/>
      <c r="C358" s="3611" t="s">
        <v>5057</v>
      </c>
      <c r="D358" s="3611"/>
      <c r="E358" s="3257" t="s">
        <v>4504</v>
      </c>
      <c r="F358" s="3257">
        <v>35.99</v>
      </c>
      <c r="G358" s="3255" t="s">
        <v>5056</v>
      </c>
    </row>
    <row r="359" spans="1:7">
      <c r="A359" s="3254">
        <v>357</v>
      </c>
      <c r="B359" s="3618"/>
      <c r="C359" s="3611" t="s">
        <v>5057</v>
      </c>
      <c r="D359" s="3611"/>
      <c r="E359" s="3257" t="s">
        <v>4505</v>
      </c>
      <c r="F359" s="3257">
        <v>37.11</v>
      </c>
      <c r="G359" s="3255" t="s">
        <v>5056</v>
      </c>
    </row>
    <row r="360" spans="1:7">
      <c r="A360" s="3254">
        <v>358</v>
      </c>
      <c r="B360" s="3618"/>
      <c r="C360" s="3611" t="s">
        <v>5057</v>
      </c>
      <c r="D360" s="3611"/>
      <c r="E360" s="3257" t="s">
        <v>4506</v>
      </c>
      <c r="F360" s="3257">
        <v>37.11</v>
      </c>
      <c r="G360" s="3255" t="s">
        <v>5056</v>
      </c>
    </row>
    <row r="361" spans="1:7">
      <c r="A361" s="3254">
        <v>359</v>
      </c>
      <c r="B361" s="3618"/>
      <c r="C361" s="3611" t="s">
        <v>5057</v>
      </c>
      <c r="D361" s="3611"/>
      <c r="E361" s="3257" t="s">
        <v>4507</v>
      </c>
      <c r="F361" s="3257">
        <v>37.11</v>
      </c>
      <c r="G361" s="3255" t="s">
        <v>5056</v>
      </c>
    </row>
    <row r="362" spans="1:7">
      <c r="A362" s="3254">
        <v>360</v>
      </c>
      <c r="B362" s="3618"/>
      <c r="C362" s="3611" t="s">
        <v>5057</v>
      </c>
      <c r="D362" s="3611"/>
      <c r="E362" s="3257" t="s">
        <v>4508</v>
      </c>
      <c r="F362" s="3257">
        <v>37.11</v>
      </c>
      <c r="G362" s="3255" t="s">
        <v>5056</v>
      </c>
    </row>
    <row r="363" spans="1:7">
      <c r="A363" s="3254">
        <v>361</v>
      </c>
      <c r="B363" s="3618"/>
      <c r="C363" s="3611" t="s">
        <v>5057</v>
      </c>
      <c r="D363" s="3611"/>
      <c r="E363" s="3257" t="s">
        <v>4509</v>
      </c>
      <c r="F363" s="3257">
        <v>37.11</v>
      </c>
      <c r="G363" s="3255" t="s">
        <v>5056</v>
      </c>
    </row>
    <row r="364" spans="1:7">
      <c r="A364" s="3254">
        <v>362</v>
      </c>
      <c r="B364" s="3618"/>
      <c r="C364" s="3611" t="s">
        <v>5057</v>
      </c>
      <c r="D364" s="3611"/>
      <c r="E364" s="3257" t="s">
        <v>4510</v>
      </c>
      <c r="F364" s="3257">
        <v>37.11</v>
      </c>
      <c r="G364" s="3255" t="s">
        <v>5056</v>
      </c>
    </row>
    <row r="365" spans="1:7">
      <c r="A365" s="3254">
        <v>363</v>
      </c>
      <c r="B365" s="3618"/>
      <c r="C365" s="3611" t="s">
        <v>5057</v>
      </c>
      <c r="D365" s="3611"/>
      <c r="E365" s="3257" t="s">
        <v>4511</v>
      </c>
      <c r="F365" s="3257">
        <v>37.11</v>
      </c>
      <c r="G365" s="3255" t="s">
        <v>5056</v>
      </c>
    </row>
    <row r="366" spans="1:7">
      <c r="A366" s="3254">
        <v>364</v>
      </c>
      <c r="B366" s="3618"/>
      <c r="C366" s="3611" t="s">
        <v>5057</v>
      </c>
      <c r="D366" s="3611"/>
      <c r="E366" s="3257" t="s">
        <v>4512</v>
      </c>
      <c r="F366" s="3257">
        <v>37.11</v>
      </c>
      <c r="G366" s="3255" t="s">
        <v>5056</v>
      </c>
    </row>
    <row r="367" spans="1:7">
      <c r="A367" s="3254">
        <v>365</v>
      </c>
      <c r="B367" s="3618"/>
      <c r="C367" s="3611" t="s">
        <v>5057</v>
      </c>
      <c r="D367" s="3611"/>
      <c r="E367" s="3257" t="s">
        <v>4513</v>
      </c>
      <c r="F367" s="3257">
        <v>37.11</v>
      </c>
      <c r="G367" s="3255" t="s">
        <v>5056</v>
      </c>
    </row>
    <row r="368" spans="1:7">
      <c r="A368" s="3254">
        <v>366</v>
      </c>
      <c r="B368" s="3618"/>
      <c r="C368" s="3611" t="s">
        <v>5057</v>
      </c>
      <c r="D368" s="3611"/>
      <c r="E368" s="3257" t="s">
        <v>4514</v>
      </c>
      <c r="F368" s="3257">
        <v>37.11</v>
      </c>
      <c r="G368" s="3255" t="s">
        <v>5056</v>
      </c>
    </row>
    <row r="369" spans="1:7">
      <c r="A369" s="3254">
        <v>367</v>
      </c>
      <c r="B369" s="3618"/>
      <c r="C369" s="3611" t="s">
        <v>5057</v>
      </c>
      <c r="D369" s="3611"/>
      <c r="E369" s="3257" t="s">
        <v>4515</v>
      </c>
      <c r="F369" s="3257">
        <v>37.11</v>
      </c>
      <c r="G369" s="3255" t="s">
        <v>5056</v>
      </c>
    </row>
    <row r="370" spans="1:7">
      <c r="A370" s="3254">
        <v>368</v>
      </c>
      <c r="B370" s="3618"/>
      <c r="C370" s="3611" t="s">
        <v>5057</v>
      </c>
      <c r="D370" s="3611"/>
      <c r="E370" s="3257" t="s">
        <v>4516</v>
      </c>
      <c r="F370" s="3257">
        <v>37.11</v>
      </c>
      <c r="G370" s="3255" t="s">
        <v>5056</v>
      </c>
    </row>
    <row r="371" spans="1:7">
      <c r="A371" s="3254">
        <v>369</v>
      </c>
      <c r="B371" s="3618"/>
      <c r="C371" s="3611" t="s">
        <v>5057</v>
      </c>
      <c r="D371" s="3611"/>
      <c r="E371" s="3257" t="s">
        <v>4517</v>
      </c>
      <c r="F371" s="3257">
        <v>37.11</v>
      </c>
      <c r="G371" s="3255" t="s">
        <v>5056</v>
      </c>
    </row>
    <row r="372" spans="1:7">
      <c r="A372" s="3254">
        <v>370</v>
      </c>
      <c r="B372" s="3618"/>
      <c r="C372" s="3611" t="s">
        <v>5057</v>
      </c>
      <c r="D372" s="3611"/>
      <c r="E372" s="3257" t="s">
        <v>4518</v>
      </c>
      <c r="F372" s="3257">
        <v>37.11</v>
      </c>
      <c r="G372" s="3255" t="s">
        <v>5056</v>
      </c>
    </row>
    <row r="373" spans="1:7">
      <c r="A373" s="3254">
        <v>371</v>
      </c>
      <c r="B373" s="3618"/>
      <c r="C373" s="3611" t="s">
        <v>5057</v>
      </c>
      <c r="D373" s="3611"/>
      <c r="E373" s="3257" t="s">
        <v>4519</v>
      </c>
      <c r="F373" s="3257">
        <v>37.11</v>
      </c>
      <c r="G373" s="3255" t="s">
        <v>5056</v>
      </c>
    </row>
    <row r="374" spans="1:7">
      <c r="A374" s="3254">
        <v>372</v>
      </c>
      <c r="B374" s="3618"/>
      <c r="C374" s="3611" t="s">
        <v>5057</v>
      </c>
      <c r="D374" s="3611"/>
      <c r="E374" s="3257" t="s">
        <v>4520</v>
      </c>
      <c r="F374" s="3257">
        <v>37.11</v>
      </c>
      <c r="G374" s="3255" t="s">
        <v>5056</v>
      </c>
    </row>
    <row r="375" spans="1:7">
      <c r="A375" s="3254">
        <v>373</v>
      </c>
      <c r="B375" s="3618"/>
      <c r="C375" s="3611" t="s">
        <v>5057</v>
      </c>
      <c r="D375" s="3611"/>
      <c r="E375" s="3257" t="s">
        <v>4521</v>
      </c>
      <c r="F375" s="3257">
        <v>35.96</v>
      </c>
      <c r="G375" s="3255" t="s">
        <v>5056</v>
      </c>
    </row>
    <row r="376" spans="1:7">
      <c r="A376" s="3254">
        <v>374</v>
      </c>
      <c r="B376" s="3618"/>
      <c r="C376" s="3611" t="s">
        <v>5057</v>
      </c>
      <c r="D376" s="3611"/>
      <c r="E376" s="3257" t="s">
        <v>4522</v>
      </c>
      <c r="F376" s="3257">
        <v>35.96</v>
      </c>
      <c r="G376" s="3255" t="s">
        <v>5056</v>
      </c>
    </row>
    <row r="377" spans="1:7">
      <c r="A377" s="3254">
        <v>375</v>
      </c>
      <c r="B377" s="3618"/>
      <c r="C377" s="3611" t="s">
        <v>5057</v>
      </c>
      <c r="D377" s="3611"/>
      <c r="E377" s="3257" t="s">
        <v>4523</v>
      </c>
      <c r="F377" s="3257">
        <v>31.27</v>
      </c>
      <c r="G377" s="3255" t="s">
        <v>5056</v>
      </c>
    </row>
    <row r="378" spans="1:7">
      <c r="A378" s="3254">
        <v>376</v>
      </c>
      <c r="B378" s="3618"/>
      <c r="C378" s="3611" t="s">
        <v>5057</v>
      </c>
      <c r="D378" s="3611"/>
      <c r="E378" s="3257" t="s">
        <v>4524</v>
      </c>
      <c r="F378" s="3257">
        <v>39.090000000000003</v>
      </c>
      <c r="G378" s="3255" t="s">
        <v>5056</v>
      </c>
    </row>
    <row r="379" spans="1:7">
      <c r="A379" s="3254">
        <v>377</v>
      </c>
      <c r="B379" s="3618"/>
      <c r="C379" s="3611" t="s">
        <v>5057</v>
      </c>
      <c r="D379" s="3611"/>
      <c r="E379" s="3257" t="s">
        <v>4525</v>
      </c>
      <c r="F379" s="3257">
        <v>35.96</v>
      </c>
      <c r="G379" s="3255" t="s">
        <v>5056</v>
      </c>
    </row>
    <row r="380" spans="1:7">
      <c r="A380" s="3254">
        <v>378</v>
      </c>
      <c r="B380" s="3618"/>
      <c r="C380" s="3611" t="s">
        <v>5057</v>
      </c>
      <c r="D380" s="3611"/>
      <c r="E380" s="3257" t="s">
        <v>4526</v>
      </c>
      <c r="F380" s="3257">
        <v>35.96</v>
      </c>
      <c r="G380" s="3255" t="s">
        <v>5056</v>
      </c>
    </row>
    <row r="381" spans="1:7">
      <c r="A381" s="3254">
        <v>379</v>
      </c>
      <c r="B381" s="3618"/>
      <c r="C381" s="3611" t="s">
        <v>5057</v>
      </c>
      <c r="D381" s="3611"/>
      <c r="E381" s="3257" t="s">
        <v>4527</v>
      </c>
      <c r="F381" s="3257">
        <v>37.11</v>
      </c>
      <c r="G381" s="3255" t="s">
        <v>5056</v>
      </c>
    </row>
    <row r="382" spans="1:7">
      <c r="A382" s="3254">
        <v>380</v>
      </c>
      <c r="B382" s="3618"/>
      <c r="C382" s="3611" t="s">
        <v>5057</v>
      </c>
      <c r="D382" s="3611"/>
      <c r="E382" s="3257" t="s">
        <v>4528</v>
      </c>
      <c r="F382" s="3257">
        <v>36.340000000000003</v>
      </c>
      <c r="G382" s="3255" t="s">
        <v>5056</v>
      </c>
    </row>
    <row r="383" spans="1:7">
      <c r="A383" s="3254">
        <v>381</v>
      </c>
      <c r="B383" s="3618"/>
      <c r="C383" s="3611" t="s">
        <v>5057</v>
      </c>
      <c r="D383" s="3611"/>
      <c r="E383" s="3257" t="s">
        <v>4529</v>
      </c>
      <c r="F383" s="3257">
        <v>36.340000000000003</v>
      </c>
      <c r="G383" s="3255" t="s">
        <v>5056</v>
      </c>
    </row>
    <row r="384" spans="1:7">
      <c r="A384" s="3254">
        <v>382</v>
      </c>
      <c r="B384" s="3618"/>
      <c r="C384" s="3611" t="s">
        <v>5057</v>
      </c>
      <c r="D384" s="3611"/>
      <c r="E384" s="3257" t="s">
        <v>4530</v>
      </c>
      <c r="F384" s="3257">
        <v>36.340000000000003</v>
      </c>
      <c r="G384" s="3255" t="s">
        <v>5056</v>
      </c>
    </row>
    <row r="385" spans="1:7">
      <c r="A385" s="3254">
        <v>383</v>
      </c>
      <c r="B385" s="3618"/>
      <c r="C385" s="3611" t="s">
        <v>5057</v>
      </c>
      <c r="D385" s="3611"/>
      <c r="E385" s="3257" t="s">
        <v>4531</v>
      </c>
      <c r="F385" s="3257">
        <v>36.340000000000003</v>
      </c>
      <c r="G385" s="3255" t="s">
        <v>5056</v>
      </c>
    </row>
    <row r="386" spans="1:7">
      <c r="A386" s="3254">
        <v>384</v>
      </c>
      <c r="B386" s="3618"/>
      <c r="C386" s="3611" t="s">
        <v>5057</v>
      </c>
      <c r="D386" s="3611"/>
      <c r="E386" s="3257" t="s">
        <v>4532</v>
      </c>
      <c r="F386" s="3257">
        <v>36.340000000000003</v>
      </c>
      <c r="G386" s="3255" t="s">
        <v>5056</v>
      </c>
    </row>
    <row r="387" spans="1:7">
      <c r="A387" s="3254">
        <v>385</v>
      </c>
      <c r="B387" s="3618"/>
      <c r="C387" s="3611" t="s">
        <v>5057</v>
      </c>
      <c r="D387" s="3611"/>
      <c r="E387" s="3257" t="s">
        <v>4533</v>
      </c>
      <c r="F387" s="3257">
        <v>36.340000000000003</v>
      </c>
      <c r="G387" s="3255" t="s">
        <v>5056</v>
      </c>
    </row>
    <row r="388" spans="1:7">
      <c r="A388" s="3254">
        <v>386</v>
      </c>
      <c r="B388" s="3618"/>
      <c r="C388" s="3611" t="s">
        <v>5057</v>
      </c>
      <c r="D388" s="3611"/>
      <c r="E388" s="3257" t="s">
        <v>4534</v>
      </c>
      <c r="F388" s="3257">
        <v>36.340000000000003</v>
      </c>
      <c r="G388" s="3255" t="s">
        <v>5056</v>
      </c>
    </row>
    <row r="389" spans="1:7">
      <c r="A389" s="3254">
        <v>387</v>
      </c>
      <c r="B389" s="3618"/>
      <c r="C389" s="3611" t="s">
        <v>5057</v>
      </c>
      <c r="D389" s="3611"/>
      <c r="E389" s="3257" t="s">
        <v>4535</v>
      </c>
      <c r="F389" s="3257">
        <v>38.659999999999997</v>
      </c>
      <c r="G389" s="3255" t="s">
        <v>5056</v>
      </c>
    </row>
    <row r="390" spans="1:7">
      <c r="A390" s="3254">
        <v>388</v>
      </c>
      <c r="B390" s="3618"/>
      <c r="C390" s="3611" t="s">
        <v>5057</v>
      </c>
      <c r="D390" s="3611"/>
      <c r="E390" s="3257" t="s">
        <v>4536</v>
      </c>
      <c r="F390" s="3257">
        <v>38.659999999999997</v>
      </c>
      <c r="G390" s="3255" t="s">
        <v>5056</v>
      </c>
    </row>
    <row r="391" spans="1:7">
      <c r="A391" s="3254">
        <v>389</v>
      </c>
      <c r="B391" s="3618"/>
      <c r="C391" s="3611" t="s">
        <v>5057</v>
      </c>
      <c r="D391" s="3611"/>
      <c r="E391" s="3257" t="s">
        <v>4537</v>
      </c>
      <c r="F391" s="3257">
        <v>38.659999999999997</v>
      </c>
      <c r="G391" s="3255" t="s">
        <v>5056</v>
      </c>
    </row>
    <row r="392" spans="1:7">
      <c r="A392" s="3254">
        <v>390</v>
      </c>
      <c r="B392" s="3618"/>
      <c r="C392" s="3611" t="s">
        <v>5057</v>
      </c>
      <c r="D392" s="3611"/>
      <c r="E392" s="3257" t="s">
        <v>4538</v>
      </c>
      <c r="F392" s="3257">
        <v>38.659999999999997</v>
      </c>
      <c r="G392" s="3255" t="s">
        <v>5056</v>
      </c>
    </row>
    <row r="393" spans="1:7">
      <c r="A393" s="3254">
        <v>391</v>
      </c>
      <c r="B393" s="3618"/>
      <c r="C393" s="3611" t="s">
        <v>5057</v>
      </c>
      <c r="D393" s="3611"/>
      <c r="E393" s="3257" t="s">
        <v>4539</v>
      </c>
      <c r="F393" s="3257">
        <v>36.340000000000003</v>
      </c>
      <c r="G393" s="3255" t="s">
        <v>5056</v>
      </c>
    </row>
    <row r="394" spans="1:7">
      <c r="A394" s="3254">
        <v>392</v>
      </c>
      <c r="B394" s="3618"/>
      <c r="C394" s="3611" t="s">
        <v>5057</v>
      </c>
      <c r="D394" s="3611"/>
      <c r="E394" s="3257" t="s">
        <v>4540</v>
      </c>
      <c r="F394" s="3257">
        <v>36.340000000000003</v>
      </c>
      <c r="G394" s="3255" t="s">
        <v>5056</v>
      </c>
    </row>
    <row r="395" spans="1:7">
      <c r="A395" s="3254">
        <v>393</v>
      </c>
      <c r="B395" s="3618"/>
      <c r="C395" s="3611" t="s">
        <v>5057</v>
      </c>
      <c r="D395" s="3611"/>
      <c r="E395" s="3257" t="s">
        <v>4541</v>
      </c>
      <c r="F395" s="3257">
        <v>36.340000000000003</v>
      </c>
      <c r="G395" s="3255" t="s">
        <v>5056</v>
      </c>
    </row>
    <row r="396" spans="1:7">
      <c r="A396" s="3254">
        <v>394</v>
      </c>
      <c r="B396" s="3618"/>
      <c r="C396" s="3611" t="s">
        <v>5057</v>
      </c>
      <c r="D396" s="3611"/>
      <c r="E396" s="3257" t="s">
        <v>4542</v>
      </c>
      <c r="F396" s="3257">
        <v>36.340000000000003</v>
      </c>
      <c r="G396" s="3255" t="s">
        <v>5056</v>
      </c>
    </row>
    <row r="397" spans="1:7">
      <c r="A397" s="3254">
        <v>395</v>
      </c>
      <c r="B397" s="3618"/>
      <c r="C397" s="3611" t="s">
        <v>5057</v>
      </c>
      <c r="D397" s="3611"/>
      <c r="E397" s="3257" t="s">
        <v>4543</v>
      </c>
      <c r="F397" s="3257">
        <v>36.340000000000003</v>
      </c>
      <c r="G397" s="3255" t="s">
        <v>5056</v>
      </c>
    </row>
    <row r="398" spans="1:7">
      <c r="A398" s="3254">
        <v>396</v>
      </c>
      <c r="B398" s="3618"/>
      <c r="C398" s="3611" t="s">
        <v>5057</v>
      </c>
      <c r="D398" s="3611"/>
      <c r="E398" s="3257" t="s">
        <v>4544</v>
      </c>
      <c r="F398" s="3257">
        <v>36.340000000000003</v>
      </c>
      <c r="G398" s="3255" t="s">
        <v>5056</v>
      </c>
    </row>
    <row r="399" spans="1:7">
      <c r="A399" s="3254">
        <v>397</v>
      </c>
      <c r="B399" s="3618"/>
      <c r="C399" s="3611" t="s">
        <v>5057</v>
      </c>
      <c r="D399" s="3611"/>
      <c r="E399" s="3257" t="s">
        <v>4545</v>
      </c>
      <c r="F399" s="3257">
        <v>36.340000000000003</v>
      </c>
      <c r="G399" s="3255" t="s">
        <v>5056</v>
      </c>
    </row>
    <row r="400" spans="1:7">
      <c r="A400" s="3254">
        <v>398</v>
      </c>
      <c r="B400" s="3618"/>
      <c r="C400" s="3611" t="s">
        <v>5057</v>
      </c>
      <c r="D400" s="3611"/>
      <c r="E400" s="3257" t="s">
        <v>4546</v>
      </c>
      <c r="F400" s="3257">
        <v>36.340000000000003</v>
      </c>
      <c r="G400" s="3255" t="s">
        <v>5056</v>
      </c>
    </row>
    <row r="401" spans="1:7">
      <c r="A401" s="3254">
        <v>399</v>
      </c>
      <c r="B401" s="3618"/>
      <c r="C401" s="3611" t="s">
        <v>5057</v>
      </c>
      <c r="D401" s="3611"/>
      <c r="E401" s="3257" t="s">
        <v>4547</v>
      </c>
      <c r="F401" s="3257">
        <v>35.99</v>
      </c>
      <c r="G401" s="3255" t="s">
        <v>5056</v>
      </c>
    </row>
    <row r="402" spans="1:7">
      <c r="A402" s="3254">
        <v>400</v>
      </c>
      <c r="B402" s="3618"/>
      <c r="C402" s="3611" t="s">
        <v>5057</v>
      </c>
      <c r="D402" s="3611"/>
      <c r="E402" s="3257" t="s">
        <v>4548</v>
      </c>
      <c r="F402" s="3257">
        <v>37.49</v>
      </c>
      <c r="G402" s="3255" t="s">
        <v>5056</v>
      </c>
    </row>
    <row r="403" spans="1:7">
      <c r="A403" s="3254">
        <v>401</v>
      </c>
      <c r="B403" s="3618"/>
      <c r="C403" s="3611" t="s">
        <v>5057</v>
      </c>
      <c r="D403" s="3611"/>
      <c r="E403" s="3257" t="s">
        <v>4549</v>
      </c>
      <c r="F403" s="3257">
        <v>37.49</v>
      </c>
      <c r="G403" s="3255" t="s">
        <v>5056</v>
      </c>
    </row>
    <row r="404" spans="1:7">
      <c r="A404" s="3254">
        <v>402</v>
      </c>
      <c r="B404" s="3618"/>
      <c r="C404" s="3611" t="s">
        <v>5057</v>
      </c>
      <c r="D404" s="3611"/>
      <c r="E404" s="3257" t="s">
        <v>4550</v>
      </c>
      <c r="F404" s="3257">
        <v>35.99</v>
      </c>
      <c r="G404" s="3255" t="s">
        <v>5056</v>
      </c>
    </row>
    <row r="405" spans="1:7">
      <c r="A405" s="3254">
        <v>403</v>
      </c>
      <c r="B405" s="3618"/>
      <c r="C405" s="3611" t="s">
        <v>5057</v>
      </c>
      <c r="D405" s="3611"/>
      <c r="E405" s="3257" t="s">
        <v>4551</v>
      </c>
      <c r="F405" s="3257">
        <v>37.49</v>
      </c>
      <c r="G405" s="3255" t="s">
        <v>5056</v>
      </c>
    </row>
    <row r="406" spans="1:7">
      <c r="A406" s="3254">
        <v>404</v>
      </c>
      <c r="B406" s="3618"/>
      <c r="C406" s="3611" t="s">
        <v>5057</v>
      </c>
      <c r="D406" s="3611"/>
      <c r="E406" s="3257" t="s">
        <v>4552</v>
      </c>
      <c r="F406" s="3257">
        <v>37.49</v>
      </c>
      <c r="G406" s="3255" t="s">
        <v>5056</v>
      </c>
    </row>
    <row r="407" spans="1:7">
      <c r="A407" s="3254">
        <v>405</v>
      </c>
      <c r="B407" s="3618"/>
      <c r="C407" s="3611" t="s">
        <v>5057</v>
      </c>
      <c r="D407" s="3611"/>
      <c r="E407" s="3257" t="s">
        <v>4553</v>
      </c>
      <c r="F407" s="3257">
        <v>37.49</v>
      </c>
      <c r="G407" s="3255" t="s">
        <v>5056</v>
      </c>
    </row>
    <row r="408" spans="1:7">
      <c r="A408" s="3254">
        <v>406</v>
      </c>
      <c r="B408" s="3618"/>
      <c r="C408" s="3611" t="s">
        <v>5057</v>
      </c>
      <c r="D408" s="3611"/>
      <c r="E408" s="3257" t="s">
        <v>4554</v>
      </c>
      <c r="F408" s="3257">
        <v>37.49</v>
      </c>
      <c r="G408" s="3255" t="s">
        <v>5056</v>
      </c>
    </row>
    <row r="409" spans="1:7">
      <c r="A409" s="3254">
        <v>407</v>
      </c>
      <c r="B409" s="3618"/>
      <c r="C409" s="3611" t="s">
        <v>5057</v>
      </c>
      <c r="D409" s="3611"/>
      <c r="E409" s="3257" t="s">
        <v>4555</v>
      </c>
      <c r="F409" s="3257">
        <v>37.49</v>
      </c>
      <c r="G409" s="3255" t="s">
        <v>5056</v>
      </c>
    </row>
    <row r="410" spans="1:7">
      <c r="A410" s="3254">
        <v>408</v>
      </c>
      <c r="B410" s="3618"/>
      <c r="C410" s="3611" t="s">
        <v>5057</v>
      </c>
      <c r="D410" s="3611"/>
      <c r="E410" s="3257" t="s">
        <v>4556</v>
      </c>
      <c r="F410" s="3257">
        <v>37.49</v>
      </c>
      <c r="G410" s="3255" t="s">
        <v>5056</v>
      </c>
    </row>
    <row r="411" spans="1:7">
      <c r="A411" s="3254">
        <v>409</v>
      </c>
      <c r="B411" s="3618"/>
      <c r="C411" s="3611" t="s">
        <v>5057</v>
      </c>
      <c r="D411" s="3611"/>
      <c r="E411" s="3257" t="s">
        <v>4557</v>
      </c>
      <c r="F411" s="3257">
        <v>37.49</v>
      </c>
      <c r="G411" s="3255" t="s">
        <v>5056</v>
      </c>
    </row>
    <row r="412" spans="1:7">
      <c r="A412" s="3254">
        <v>410</v>
      </c>
      <c r="B412" s="3618"/>
      <c r="C412" s="3611" t="s">
        <v>5057</v>
      </c>
      <c r="D412" s="3611"/>
      <c r="E412" s="3257" t="s">
        <v>4558</v>
      </c>
      <c r="F412" s="3257">
        <v>35.99</v>
      </c>
      <c r="G412" s="3255" t="s">
        <v>5056</v>
      </c>
    </row>
    <row r="413" spans="1:7">
      <c r="A413" s="3254">
        <v>411</v>
      </c>
      <c r="B413" s="3618"/>
      <c r="C413" s="3611" t="s">
        <v>5057</v>
      </c>
      <c r="D413" s="3611"/>
      <c r="E413" s="3257" t="s">
        <v>4559</v>
      </c>
      <c r="F413" s="3257">
        <v>37.49</v>
      </c>
      <c r="G413" s="3255" t="s">
        <v>5056</v>
      </c>
    </row>
    <row r="414" spans="1:7">
      <c r="A414" s="3254">
        <v>412</v>
      </c>
      <c r="B414" s="3618"/>
      <c r="C414" s="3611" t="s">
        <v>5057</v>
      </c>
      <c r="D414" s="3611"/>
      <c r="E414" s="3257" t="s">
        <v>4560</v>
      </c>
      <c r="F414" s="3257">
        <v>37.49</v>
      </c>
      <c r="G414" s="3255" t="s">
        <v>5056</v>
      </c>
    </row>
    <row r="415" spans="1:7">
      <c r="A415" s="3254">
        <v>413</v>
      </c>
      <c r="B415" s="3618"/>
      <c r="C415" s="3611" t="s">
        <v>5057</v>
      </c>
      <c r="D415" s="3611"/>
      <c r="E415" s="3257" t="s">
        <v>4561</v>
      </c>
      <c r="F415" s="3257">
        <v>37.49</v>
      </c>
      <c r="G415" s="3255" t="s">
        <v>5056</v>
      </c>
    </row>
    <row r="416" spans="1:7">
      <c r="A416" s="3254">
        <v>414</v>
      </c>
      <c r="B416" s="3618"/>
      <c r="C416" s="3611" t="s">
        <v>5057</v>
      </c>
      <c r="D416" s="3611"/>
      <c r="E416" s="3257" t="s">
        <v>4562</v>
      </c>
      <c r="F416" s="3257">
        <v>35.24</v>
      </c>
      <c r="G416" s="3255" t="s">
        <v>5056</v>
      </c>
    </row>
    <row r="417" spans="1:7">
      <c r="A417" s="3254">
        <v>415</v>
      </c>
      <c r="B417" s="3618"/>
      <c r="C417" s="3611" t="s">
        <v>5057</v>
      </c>
      <c r="D417" s="3611"/>
      <c r="E417" s="3257" t="s">
        <v>4563</v>
      </c>
      <c r="F417" s="3257">
        <v>35.24</v>
      </c>
      <c r="G417" s="3255" t="s">
        <v>5056</v>
      </c>
    </row>
    <row r="418" spans="1:7">
      <c r="A418" s="3254">
        <v>416</v>
      </c>
      <c r="B418" s="3618"/>
      <c r="C418" s="3611" t="s">
        <v>5057</v>
      </c>
      <c r="D418" s="3611"/>
      <c r="E418" s="3257" t="s">
        <v>4564</v>
      </c>
      <c r="F418" s="3257">
        <v>35.24</v>
      </c>
      <c r="G418" s="3255" t="s">
        <v>5056</v>
      </c>
    </row>
    <row r="419" spans="1:7">
      <c r="A419" s="3254">
        <v>417</v>
      </c>
      <c r="B419" s="3618"/>
      <c r="C419" s="3611" t="s">
        <v>5057</v>
      </c>
      <c r="D419" s="3611"/>
      <c r="E419" s="3257" t="s">
        <v>4565</v>
      </c>
      <c r="F419" s="3257">
        <v>37.49</v>
      </c>
      <c r="G419" s="3255" t="s">
        <v>5056</v>
      </c>
    </row>
    <row r="420" spans="1:7">
      <c r="A420" s="3254">
        <v>418</v>
      </c>
      <c r="B420" s="3618"/>
      <c r="C420" s="3611" t="s">
        <v>5057</v>
      </c>
      <c r="D420" s="3611"/>
      <c r="E420" s="3257" t="s">
        <v>4566</v>
      </c>
      <c r="F420" s="3257">
        <v>37.49</v>
      </c>
      <c r="G420" s="3255" t="s">
        <v>5056</v>
      </c>
    </row>
    <row r="421" spans="1:7">
      <c r="A421" s="3254">
        <v>419</v>
      </c>
      <c r="B421" s="3618"/>
      <c r="C421" s="3611" t="s">
        <v>5057</v>
      </c>
      <c r="D421" s="3611"/>
      <c r="E421" s="3257" t="s">
        <v>4567</v>
      </c>
      <c r="F421" s="3257">
        <v>37.49</v>
      </c>
      <c r="G421" s="3255" t="s">
        <v>5056</v>
      </c>
    </row>
    <row r="422" spans="1:7">
      <c r="A422" s="3254">
        <v>420</v>
      </c>
      <c r="B422" s="3618"/>
      <c r="C422" s="3611" t="s">
        <v>5057</v>
      </c>
      <c r="D422" s="3611"/>
      <c r="E422" s="3257" t="s">
        <v>4568</v>
      </c>
      <c r="F422" s="3257">
        <v>37.49</v>
      </c>
      <c r="G422" s="3255" t="s">
        <v>5056</v>
      </c>
    </row>
    <row r="423" spans="1:7">
      <c r="A423" s="3254">
        <v>421</v>
      </c>
      <c r="B423" s="3618"/>
      <c r="C423" s="3611" t="s">
        <v>5057</v>
      </c>
      <c r="D423" s="3611"/>
      <c r="E423" s="3257" t="s">
        <v>4569</v>
      </c>
      <c r="F423" s="3257">
        <v>37.49</v>
      </c>
      <c r="G423" s="3255" t="s">
        <v>5056</v>
      </c>
    </row>
    <row r="424" spans="1:7">
      <c r="A424" s="3254">
        <v>422</v>
      </c>
      <c r="B424" s="3618"/>
      <c r="C424" s="3611" t="s">
        <v>5057</v>
      </c>
      <c r="D424" s="3611"/>
      <c r="E424" s="3257" t="s">
        <v>4570</v>
      </c>
      <c r="F424" s="3257">
        <v>37.49</v>
      </c>
      <c r="G424" s="3255" t="s">
        <v>5056</v>
      </c>
    </row>
    <row r="425" spans="1:7">
      <c r="A425" s="3254">
        <v>423</v>
      </c>
      <c r="B425" s="3618"/>
      <c r="C425" s="3611" t="s">
        <v>5057</v>
      </c>
      <c r="D425" s="3611"/>
      <c r="E425" s="3257" t="s">
        <v>4571</v>
      </c>
      <c r="F425" s="3257">
        <v>37.49</v>
      </c>
      <c r="G425" s="3255" t="s">
        <v>5056</v>
      </c>
    </row>
    <row r="426" spans="1:7">
      <c r="A426" s="3254">
        <v>424</v>
      </c>
      <c r="B426" s="3618"/>
      <c r="C426" s="3611" t="s">
        <v>5057</v>
      </c>
      <c r="D426" s="3611"/>
      <c r="E426" s="3257" t="s">
        <v>4572</v>
      </c>
      <c r="F426" s="3257">
        <v>37.49</v>
      </c>
      <c r="G426" s="3255" t="s">
        <v>5056</v>
      </c>
    </row>
    <row r="427" spans="1:7">
      <c r="A427" s="3254">
        <v>425</v>
      </c>
      <c r="B427" s="3618"/>
      <c r="C427" s="3611" t="s">
        <v>5057</v>
      </c>
      <c r="D427" s="3611"/>
      <c r="E427" s="3257" t="s">
        <v>4573</v>
      </c>
      <c r="F427" s="3257">
        <v>35.99</v>
      </c>
      <c r="G427" s="3255" t="s">
        <v>5056</v>
      </c>
    </row>
    <row r="428" spans="1:7">
      <c r="A428" s="3254">
        <v>426</v>
      </c>
      <c r="B428" s="3618"/>
      <c r="C428" s="3611" t="s">
        <v>5057</v>
      </c>
      <c r="D428" s="3611"/>
      <c r="E428" s="3257" t="s">
        <v>4574</v>
      </c>
      <c r="F428" s="3257">
        <v>35.99</v>
      </c>
      <c r="G428" s="3255" t="s">
        <v>5056</v>
      </c>
    </row>
    <row r="429" spans="1:7">
      <c r="A429" s="3254">
        <v>427</v>
      </c>
      <c r="B429" s="3618"/>
      <c r="C429" s="3611" t="s">
        <v>5057</v>
      </c>
      <c r="D429" s="3611"/>
      <c r="E429" s="3257" t="s">
        <v>4575</v>
      </c>
      <c r="F429" s="3257">
        <v>35.99</v>
      </c>
      <c r="G429" s="3255" t="s">
        <v>5056</v>
      </c>
    </row>
    <row r="430" spans="1:7">
      <c r="A430" s="3254">
        <v>428</v>
      </c>
      <c r="B430" s="3618"/>
      <c r="C430" s="3611" t="s">
        <v>5057</v>
      </c>
      <c r="D430" s="3611"/>
      <c r="E430" s="3257" t="s">
        <v>4576</v>
      </c>
      <c r="F430" s="3257">
        <v>35.99</v>
      </c>
      <c r="G430" s="3255" t="s">
        <v>5056</v>
      </c>
    </row>
    <row r="431" spans="1:7">
      <c r="A431" s="3254">
        <v>429</v>
      </c>
      <c r="B431" s="3618"/>
      <c r="C431" s="3611" t="s">
        <v>5057</v>
      </c>
      <c r="D431" s="3611"/>
      <c r="E431" s="3257" t="s">
        <v>4577</v>
      </c>
      <c r="F431" s="3257">
        <v>35.99</v>
      </c>
      <c r="G431" s="3255" t="s">
        <v>5056</v>
      </c>
    </row>
    <row r="432" spans="1:7">
      <c r="A432" s="3254">
        <v>430</v>
      </c>
      <c r="B432" s="3618"/>
      <c r="C432" s="3611" t="s">
        <v>5057</v>
      </c>
      <c r="D432" s="3611"/>
      <c r="E432" s="3257" t="s">
        <v>4578</v>
      </c>
      <c r="F432" s="3257">
        <v>35.99</v>
      </c>
      <c r="G432" s="3255" t="s">
        <v>5056</v>
      </c>
    </row>
    <row r="433" spans="1:7">
      <c r="A433" s="3254">
        <v>431</v>
      </c>
      <c r="B433" s="3618"/>
      <c r="C433" s="3611" t="s">
        <v>5057</v>
      </c>
      <c r="D433" s="3611"/>
      <c r="E433" s="3257" t="s">
        <v>4579</v>
      </c>
      <c r="F433" s="3257">
        <v>35.99</v>
      </c>
      <c r="G433" s="3255" t="s">
        <v>5056</v>
      </c>
    </row>
    <row r="434" spans="1:7">
      <c r="A434" s="3254">
        <v>432</v>
      </c>
      <c r="B434" s="3618"/>
      <c r="C434" s="3611" t="s">
        <v>5057</v>
      </c>
      <c r="D434" s="3611"/>
      <c r="E434" s="3257" t="s">
        <v>4580</v>
      </c>
      <c r="F434" s="3257">
        <v>35.99</v>
      </c>
      <c r="G434" s="3255" t="s">
        <v>5056</v>
      </c>
    </row>
    <row r="435" spans="1:7">
      <c r="A435" s="3254">
        <v>433</v>
      </c>
      <c r="B435" s="3618"/>
      <c r="C435" s="3611" t="s">
        <v>5057</v>
      </c>
      <c r="D435" s="3611"/>
      <c r="E435" s="3257" t="s">
        <v>4581</v>
      </c>
      <c r="F435" s="3257">
        <v>35.99</v>
      </c>
      <c r="G435" s="3255" t="s">
        <v>5056</v>
      </c>
    </row>
    <row r="436" spans="1:7">
      <c r="A436" s="3254">
        <v>434</v>
      </c>
      <c r="B436" s="3618"/>
      <c r="C436" s="3611" t="s">
        <v>5057</v>
      </c>
      <c r="D436" s="3611"/>
      <c r="E436" s="3257" t="s">
        <v>4582</v>
      </c>
      <c r="F436" s="3257">
        <v>35.99</v>
      </c>
      <c r="G436" s="3255" t="s">
        <v>5056</v>
      </c>
    </row>
    <row r="437" spans="1:7">
      <c r="A437" s="3254">
        <v>435</v>
      </c>
      <c r="B437" s="3618"/>
      <c r="C437" s="3611" t="s">
        <v>5057</v>
      </c>
      <c r="D437" s="3611"/>
      <c r="E437" s="3257" t="s">
        <v>4583</v>
      </c>
      <c r="F437" s="3257">
        <v>35.99</v>
      </c>
      <c r="G437" s="3255" t="s">
        <v>5056</v>
      </c>
    </row>
    <row r="438" spans="1:7">
      <c r="A438" s="3254">
        <v>436</v>
      </c>
      <c r="B438" s="3618"/>
      <c r="C438" s="3611" t="s">
        <v>5057</v>
      </c>
      <c r="D438" s="3611"/>
      <c r="E438" s="3257" t="s">
        <v>4584</v>
      </c>
      <c r="F438" s="3257">
        <v>35.99</v>
      </c>
      <c r="G438" s="3255" t="s">
        <v>5056</v>
      </c>
    </row>
    <row r="439" spans="1:7">
      <c r="A439" s="3254">
        <v>437</v>
      </c>
      <c r="B439" s="3618"/>
      <c r="C439" s="3611" t="s">
        <v>5057</v>
      </c>
      <c r="D439" s="3611"/>
      <c r="E439" s="3257" t="s">
        <v>4585</v>
      </c>
      <c r="F439" s="3257">
        <v>35.99</v>
      </c>
      <c r="G439" s="3255" t="s">
        <v>5056</v>
      </c>
    </row>
    <row r="440" spans="1:7">
      <c r="A440" s="3254">
        <v>438</v>
      </c>
      <c r="B440" s="3618"/>
      <c r="C440" s="3611" t="s">
        <v>5057</v>
      </c>
      <c r="D440" s="3611"/>
      <c r="E440" s="3257" t="s">
        <v>4586</v>
      </c>
      <c r="F440" s="3257">
        <v>35.99</v>
      </c>
      <c r="G440" s="3255" t="s">
        <v>5056</v>
      </c>
    </row>
    <row r="441" spans="1:7">
      <c r="A441" s="3254">
        <v>439</v>
      </c>
      <c r="B441" s="3618"/>
      <c r="C441" s="3611" t="s">
        <v>5057</v>
      </c>
      <c r="D441" s="3611"/>
      <c r="E441" s="3257" t="s">
        <v>4587</v>
      </c>
      <c r="F441" s="3257">
        <v>35.99</v>
      </c>
      <c r="G441" s="3255" t="s">
        <v>5056</v>
      </c>
    </row>
    <row r="442" spans="1:7">
      <c r="A442" s="3254">
        <v>440</v>
      </c>
      <c r="B442" s="3618"/>
      <c r="C442" s="3611" t="s">
        <v>5057</v>
      </c>
      <c r="D442" s="3611"/>
      <c r="E442" s="3257" t="s">
        <v>4588</v>
      </c>
      <c r="F442" s="3257">
        <v>35.99</v>
      </c>
      <c r="G442" s="3255" t="s">
        <v>5056</v>
      </c>
    </row>
    <row r="443" spans="1:7">
      <c r="A443" s="3254">
        <v>441</v>
      </c>
      <c r="B443" s="3618"/>
      <c r="C443" s="3611" t="s">
        <v>5057</v>
      </c>
      <c r="D443" s="3611"/>
      <c r="E443" s="3257" t="s">
        <v>4589</v>
      </c>
      <c r="F443" s="3257">
        <v>34.49</v>
      </c>
      <c r="G443" s="3255" t="s">
        <v>5056</v>
      </c>
    </row>
    <row r="444" spans="1:7">
      <c r="A444" s="3254">
        <v>442</v>
      </c>
      <c r="B444" s="3618"/>
      <c r="C444" s="3611" t="s">
        <v>5057</v>
      </c>
      <c r="D444" s="3611"/>
      <c r="E444" s="3257" t="s">
        <v>4590</v>
      </c>
      <c r="F444" s="3257">
        <v>34.49</v>
      </c>
      <c r="G444" s="3255" t="s">
        <v>5056</v>
      </c>
    </row>
    <row r="445" spans="1:7">
      <c r="A445" s="3254">
        <v>443</v>
      </c>
      <c r="B445" s="3618"/>
      <c r="C445" s="3611" t="s">
        <v>5057</v>
      </c>
      <c r="D445" s="3611"/>
      <c r="E445" s="3257" t="s">
        <v>4591</v>
      </c>
      <c r="F445" s="3257">
        <v>34.49</v>
      </c>
      <c r="G445" s="3255" t="s">
        <v>5056</v>
      </c>
    </row>
    <row r="446" spans="1:7">
      <c r="A446" s="3254">
        <v>444</v>
      </c>
      <c r="B446" s="3618"/>
      <c r="C446" s="3611" t="s">
        <v>5057</v>
      </c>
      <c r="D446" s="3611"/>
      <c r="E446" s="3257" t="s">
        <v>4592</v>
      </c>
      <c r="F446" s="3257">
        <v>35.99</v>
      </c>
      <c r="G446" s="3255" t="s">
        <v>5056</v>
      </c>
    </row>
    <row r="447" spans="1:7">
      <c r="A447" s="3254">
        <v>445</v>
      </c>
      <c r="B447" s="3618"/>
      <c r="C447" s="3611" t="s">
        <v>5057</v>
      </c>
      <c r="D447" s="3611"/>
      <c r="E447" s="3257" t="s">
        <v>4593</v>
      </c>
      <c r="F447" s="3257">
        <v>35.99</v>
      </c>
      <c r="G447" s="3255" t="s">
        <v>5056</v>
      </c>
    </row>
    <row r="448" spans="1:7">
      <c r="A448" s="3254">
        <v>446</v>
      </c>
      <c r="B448" s="3618"/>
      <c r="C448" s="3611" t="s">
        <v>5057</v>
      </c>
      <c r="D448" s="3611"/>
      <c r="E448" s="3257" t="s">
        <v>4594</v>
      </c>
      <c r="F448" s="3257">
        <v>35.99</v>
      </c>
      <c r="G448" s="3255" t="s">
        <v>5056</v>
      </c>
    </row>
    <row r="449" spans="1:7">
      <c r="A449" s="3254">
        <v>447</v>
      </c>
      <c r="B449" s="3618"/>
      <c r="C449" s="3611" t="s">
        <v>5057</v>
      </c>
      <c r="D449" s="3611"/>
      <c r="E449" s="3257" t="s">
        <v>4595</v>
      </c>
      <c r="F449" s="3257">
        <v>35.99</v>
      </c>
      <c r="G449" s="3255" t="s">
        <v>5056</v>
      </c>
    </row>
    <row r="450" spans="1:7">
      <c r="A450" s="3254">
        <v>448</v>
      </c>
      <c r="B450" s="3618"/>
      <c r="C450" s="3611" t="s">
        <v>5057</v>
      </c>
      <c r="D450" s="3611"/>
      <c r="E450" s="3257" t="s">
        <v>4596</v>
      </c>
      <c r="F450" s="3257">
        <v>35.99</v>
      </c>
      <c r="G450" s="3255" t="s">
        <v>5056</v>
      </c>
    </row>
    <row r="451" spans="1:7">
      <c r="A451" s="3254">
        <v>449</v>
      </c>
      <c r="B451" s="3618"/>
      <c r="C451" s="3611" t="s">
        <v>5057</v>
      </c>
      <c r="D451" s="3611"/>
      <c r="E451" s="3257" t="s">
        <v>4597</v>
      </c>
      <c r="F451" s="3257">
        <v>37.49</v>
      </c>
      <c r="G451" s="3255" t="s">
        <v>5056</v>
      </c>
    </row>
    <row r="452" spans="1:7">
      <c r="A452" s="3254">
        <v>450</v>
      </c>
      <c r="B452" s="3618"/>
      <c r="C452" s="3611" t="s">
        <v>5057</v>
      </c>
      <c r="D452" s="3611"/>
      <c r="E452" s="3257" t="s">
        <v>4598</v>
      </c>
      <c r="F452" s="3257">
        <v>35.99</v>
      </c>
      <c r="G452" s="3255" t="s">
        <v>5056</v>
      </c>
    </row>
    <row r="453" spans="1:7">
      <c r="A453" s="3254">
        <v>451</v>
      </c>
      <c r="B453" s="3618"/>
      <c r="C453" s="3611" t="s">
        <v>5057</v>
      </c>
      <c r="D453" s="3611"/>
      <c r="E453" s="3257" t="s">
        <v>4599</v>
      </c>
      <c r="F453" s="3257">
        <v>35.99</v>
      </c>
      <c r="G453" s="3255" t="s">
        <v>5056</v>
      </c>
    </row>
    <row r="454" spans="1:7">
      <c r="A454" s="3254">
        <v>452</v>
      </c>
      <c r="B454" s="3618"/>
      <c r="C454" s="3611" t="s">
        <v>5057</v>
      </c>
      <c r="D454" s="3611"/>
      <c r="E454" s="3257" t="s">
        <v>4600</v>
      </c>
      <c r="F454" s="3257">
        <v>35.99</v>
      </c>
      <c r="G454" s="3255" t="s">
        <v>5056</v>
      </c>
    </row>
    <row r="455" spans="1:7">
      <c r="A455" s="3254">
        <v>453</v>
      </c>
      <c r="B455" s="3618"/>
      <c r="C455" s="3611" t="s">
        <v>5057</v>
      </c>
      <c r="D455" s="3611"/>
      <c r="E455" s="3257" t="s">
        <v>4601</v>
      </c>
      <c r="F455" s="3257">
        <v>35.99</v>
      </c>
      <c r="G455" s="3255" t="s">
        <v>5056</v>
      </c>
    </row>
    <row r="456" spans="1:7">
      <c r="A456" s="3254">
        <v>454</v>
      </c>
      <c r="B456" s="3618"/>
      <c r="C456" s="3611" t="s">
        <v>5057</v>
      </c>
      <c r="D456" s="3611"/>
      <c r="E456" s="3257" t="s">
        <v>4602</v>
      </c>
      <c r="F456" s="3257">
        <v>37.49</v>
      </c>
      <c r="G456" s="3255" t="s">
        <v>5056</v>
      </c>
    </row>
    <row r="457" spans="1:7">
      <c r="A457" s="3254">
        <v>455</v>
      </c>
      <c r="B457" s="3618"/>
      <c r="C457" s="3611" t="s">
        <v>5057</v>
      </c>
      <c r="D457" s="3611"/>
      <c r="E457" s="3257" t="s">
        <v>4603</v>
      </c>
      <c r="F457" s="3257">
        <v>37.49</v>
      </c>
      <c r="G457" s="3255" t="s">
        <v>5056</v>
      </c>
    </row>
    <row r="458" spans="1:7">
      <c r="A458" s="3254">
        <v>456</v>
      </c>
      <c r="B458" s="3618"/>
      <c r="C458" s="3611" t="s">
        <v>5057</v>
      </c>
      <c r="D458" s="3611"/>
      <c r="E458" s="3257" t="s">
        <v>4604</v>
      </c>
      <c r="F458" s="3257">
        <v>37.49</v>
      </c>
      <c r="G458" s="3255" t="s">
        <v>5056</v>
      </c>
    </row>
    <row r="459" spans="1:7">
      <c r="A459" s="3254">
        <v>457</v>
      </c>
      <c r="B459" s="3618"/>
      <c r="C459" s="3611" t="s">
        <v>5057</v>
      </c>
      <c r="D459" s="3611"/>
      <c r="E459" s="3257" t="s">
        <v>4605</v>
      </c>
      <c r="F459" s="3257">
        <v>36.71</v>
      </c>
      <c r="G459" s="3255" t="s">
        <v>5056</v>
      </c>
    </row>
    <row r="460" spans="1:7">
      <c r="A460" s="3254">
        <v>458</v>
      </c>
      <c r="B460" s="3618"/>
      <c r="C460" s="3611" t="s">
        <v>5057</v>
      </c>
      <c r="D460" s="3611"/>
      <c r="E460" s="3257" t="s">
        <v>4606</v>
      </c>
      <c r="F460" s="3257">
        <v>37.49</v>
      </c>
      <c r="G460" s="3255" t="s">
        <v>5056</v>
      </c>
    </row>
    <row r="461" spans="1:7">
      <c r="A461" s="3254">
        <v>459</v>
      </c>
      <c r="B461" s="3618"/>
      <c r="C461" s="3611" t="s">
        <v>5057</v>
      </c>
      <c r="D461" s="3611"/>
      <c r="E461" s="3257" t="s">
        <v>4607</v>
      </c>
      <c r="F461" s="3257">
        <v>37.49</v>
      </c>
      <c r="G461" s="3255" t="s">
        <v>5056</v>
      </c>
    </row>
    <row r="462" spans="1:7">
      <c r="A462" s="3254">
        <v>460</v>
      </c>
      <c r="B462" s="3618"/>
      <c r="C462" s="3611" t="s">
        <v>5057</v>
      </c>
      <c r="D462" s="3611"/>
      <c r="E462" s="3257" t="s">
        <v>4608</v>
      </c>
      <c r="F462" s="3257">
        <v>38.99</v>
      </c>
      <c r="G462" s="3255" t="s">
        <v>5056</v>
      </c>
    </row>
    <row r="463" spans="1:7">
      <c r="A463" s="3254">
        <v>461</v>
      </c>
      <c r="B463" s="3618"/>
      <c r="C463" s="3611" t="s">
        <v>5057</v>
      </c>
      <c r="D463" s="3611"/>
      <c r="E463" s="3257" t="s">
        <v>4609</v>
      </c>
      <c r="F463" s="3257">
        <v>35.99</v>
      </c>
      <c r="G463" s="3255" t="s">
        <v>5056</v>
      </c>
    </row>
    <row r="464" spans="1:7">
      <c r="A464" s="3254">
        <v>462</v>
      </c>
      <c r="B464" s="3618"/>
      <c r="C464" s="3611" t="s">
        <v>5057</v>
      </c>
      <c r="D464" s="3611"/>
      <c r="E464" s="3257" t="s">
        <v>4610</v>
      </c>
      <c r="F464" s="3257">
        <v>35.99</v>
      </c>
      <c r="G464" s="3255" t="s">
        <v>5056</v>
      </c>
    </row>
    <row r="465" spans="1:7">
      <c r="A465" s="3254">
        <v>463</v>
      </c>
      <c r="B465" s="3618"/>
      <c r="C465" s="3611" t="s">
        <v>5057</v>
      </c>
      <c r="D465" s="3611"/>
      <c r="E465" s="3257" t="s">
        <v>4611</v>
      </c>
      <c r="F465" s="3257">
        <v>35.99</v>
      </c>
      <c r="G465" s="3255" t="s">
        <v>5056</v>
      </c>
    </row>
    <row r="466" spans="1:7">
      <c r="A466" s="3254">
        <v>464</v>
      </c>
      <c r="B466" s="3618"/>
      <c r="C466" s="3611" t="s">
        <v>5057</v>
      </c>
      <c r="D466" s="3611"/>
      <c r="E466" s="3257" t="s">
        <v>4612</v>
      </c>
      <c r="F466" s="3257">
        <v>35.99</v>
      </c>
      <c r="G466" s="3255" t="s">
        <v>5056</v>
      </c>
    </row>
    <row r="467" spans="1:7">
      <c r="A467" s="3254">
        <v>465</v>
      </c>
      <c r="B467" s="3618"/>
      <c r="C467" s="3611" t="s">
        <v>5057</v>
      </c>
      <c r="D467" s="3611"/>
      <c r="E467" s="3257" t="s">
        <v>4613</v>
      </c>
      <c r="F467" s="3257">
        <v>35.99</v>
      </c>
      <c r="G467" s="3255" t="s">
        <v>5056</v>
      </c>
    </row>
    <row r="468" spans="1:7">
      <c r="A468" s="3254">
        <v>466</v>
      </c>
      <c r="B468" s="3618"/>
      <c r="C468" s="3611" t="s">
        <v>5057</v>
      </c>
      <c r="D468" s="3611"/>
      <c r="E468" s="3257" t="s">
        <v>4614</v>
      </c>
      <c r="F468" s="3257">
        <v>35.99</v>
      </c>
      <c r="G468" s="3255" t="s">
        <v>5056</v>
      </c>
    </row>
    <row r="469" spans="1:7">
      <c r="A469" s="3254">
        <v>467</v>
      </c>
      <c r="B469" s="3618"/>
      <c r="C469" s="3611" t="s">
        <v>5057</v>
      </c>
      <c r="D469" s="3611"/>
      <c r="E469" s="3257" t="s">
        <v>4615</v>
      </c>
      <c r="F469" s="3257">
        <v>37.49</v>
      </c>
      <c r="G469" s="3255" t="s">
        <v>5056</v>
      </c>
    </row>
    <row r="470" spans="1:7">
      <c r="A470" s="3254">
        <v>468</v>
      </c>
      <c r="B470" s="3618"/>
      <c r="C470" s="3611" t="s">
        <v>5057</v>
      </c>
      <c r="D470" s="3611"/>
      <c r="E470" s="3257" t="s">
        <v>4616</v>
      </c>
      <c r="F470" s="3257">
        <v>37.49</v>
      </c>
      <c r="G470" s="3255" t="s">
        <v>5056</v>
      </c>
    </row>
    <row r="471" spans="1:7">
      <c r="A471" s="3254">
        <v>469</v>
      </c>
      <c r="B471" s="3618"/>
      <c r="C471" s="3611" t="s">
        <v>5057</v>
      </c>
      <c r="D471" s="3611"/>
      <c r="E471" s="3257" t="s">
        <v>4617</v>
      </c>
      <c r="F471" s="3257">
        <v>35.99</v>
      </c>
      <c r="G471" s="3255" t="s">
        <v>5056</v>
      </c>
    </row>
    <row r="472" spans="1:7">
      <c r="A472" s="3254">
        <v>470</v>
      </c>
      <c r="B472" s="3618"/>
      <c r="C472" s="3611" t="s">
        <v>5057</v>
      </c>
      <c r="D472" s="3611"/>
      <c r="E472" s="3257" t="s">
        <v>4618</v>
      </c>
      <c r="F472" s="3257">
        <v>35.99</v>
      </c>
      <c r="G472" s="3255" t="s">
        <v>5056</v>
      </c>
    </row>
    <row r="473" spans="1:7">
      <c r="A473" s="3254">
        <v>471</v>
      </c>
      <c r="B473" s="3618"/>
      <c r="C473" s="3611" t="s">
        <v>5057</v>
      </c>
      <c r="D473" s="3611"/>
      <c r="E473" s="3257" t="s">
        <v>4619</v>
      </c>
      <c r="F473" s="3257">
        <v>35.99</v>
      </c>
      <c r="G473" s="3255" t="s">
        <v>5056</v>
      </c>
    </row>
    <row r="474" spans="1:7">
      <c r="A474" s="3254">
        <v>472</v>
      </c>
      <c r="B474" s="3618"/>
      <c r="C474" s="3611" t="s">
        <v>5057</v>
      </c>
      <c r="D474" s="3611"/>
      <c r="E474" s="3257" t="s">
        <v>4620</v>
      </c>
      <c r="F474" s="3257">
        <v>35.99</v>
      </c>
      <c r="G474" s="3255" t="s">
        <v>5056</v>
      </c>
    </row>
    <row r="475" spans="1:7">
      <c r="A475" s="3254">
        <v>473</v>
      </c>
      <c r="B475" s="3618"/>
      <c r="C475" s="3611" t="s">
        <v>5057</v>
      </c>
      <c r="D475" s="3611"/>
      <c r="E475" s="3257" t="s">
        <v>4621</v>
      </c>
      <c r="F475" s="3257">
        <v>35.99</v>
      </c>
      <c r="G475" s="3255" t="s">
        <v>5056</v>
      </c>
    </row>
    <row r="476" spans="1:7">
      <c r="A476" s="3254">
        <v>474</v>
      </c>
      <c r="B476" s="3618"/>
      <c r="C476" s="3611" t="s">
        <v>5057</v>
      </c>
      <c r="D476" s="3611"/>
      <c r="E476" s="3257" t="s">
        <v>4622</v>
      </c>
      <c r="F476" s="3257">
        <v>35.99</v>
      </c>
      <c r="G476" s="3255" t="s">
        <v>5056</v>
      </c>
    </row>
    <row r="477" spans="1:7">
      <c r="A477" s="3254">
        <v>475</v>
      </c>
      <c r="B477" s="3618"/>
      <c r="C477" s="3611" t="s">
        <v>5057</v>
      </c>
      <c r="D477" s="3611"/>
      <c r="E477" s="3257" t="s">
        <v>4623</v>
      </c>
      <c r="F477" s="3257">
        <v>35.99</v>
      </c>
      <c r="G477" s="3255" t="s">
        <v>5056</v>
      </c>
    </row>
    <row r="478" spans="1:7">
      <c r="A478" s="3254">
        <v>476</v>
      </c>
      <c r="B478" s="3618"/>
      <c r="C478" s="3611" t="s">
        <v>5057</v>
      </c>
      <c r="D478" s="3611"/>
      <c r="E478" s="3257" t="s">
        <v>4624</v>
      </c>
      <c r="F478" s="3257">
        <v>36.340000000000003</v>
      </c>
      <c r="G478" s="3255" t="s">
        <v>5056</v>
      </c>
    </row>
    <row r="479" spans="1:7">
      <c r="A479" s="3254">
        <v>477</v>
      </c>
      <c r="B479" s="3618"/>
      <c r="C479" s="3611" t="s">
        <v>5057</v>
      </c>
      <c r="D479" s="3611"/>
      <c r="E479" s="3257" t="s">
        <v>4625</v>
      </c>
      <c r="F479" s="3257">
        <v>36.340000000000003</v>
      </c>
      <c r="G479" s="3255" t="s">
        <v>5056</v>
      </c>
    </row>
    <row r="480" spans="1:7">
      <c r="A480" s="3254">
        <v>478</v>
      </c>
      <c r="B480" s="3618"/>
      <c r="C480" s="3611" t="s">
        <v>5057</v>
      </c>
      <c r="D480" s="3611"/>
      <c r="E480" s="3257" t="s">
        <v>4626</v>
      </c>
      <c r="F480" s="3257">
        <v>36.340000000000003</v>
      </c>
      <c r="G480" s="3255" t="s">
        <v>5056</v>
      </c>
    </row>
    <row r="481" spans="1:7">
      <c r="A481" s="3254">
        <v>479</v>
      </c>
      <c r="B481" s="3618"/>
      <c r="C481" s="3611" t="s">
        <v>5057</v>
      </c>
      <c r="D481" s="3611"/>
      <c r="E481" s="3257" t="s">
        <v>4627</v>
      </c>
      <c r="F481" s="3257">
        <v>36.340000000000003</v>
      </c>
      <c r="G481" s="3255" t="s">
        <v>5056</v>
      </c>
    </row>
    <row r="482" spans="1:7">
      <c r="A482" s="3254">
        <v>480</v>
      </c>
      <c r="B482" s="3618"/>
      <c r="C482" s="3611" t="s">
        <v>5057</v>
      </c>
      <c r="D482" s="3611"/>
      <c r="E482" s="3257" t="s">
        <v>4628</v>
      </c>
      <c r="F482" s="3257">
        <v>36.340000000000003</v>
      </c>
      <c r="G482" s="3255" t="s">
        <v>5056</v>
      </c>
    </row>
    <row r="483" spans="1:7">
      <c r="A483" s="3254">
        <v>481</v>
      </c>
      <c r="B483" s="3618"/>
      <c r="C483" s="3611" t="s">
        <v>5057</v>
      </c>
      <c r="D483" s="3611"/>
      <c r="E483" s="3257" t="s">
        <v>4629</v>
      </c>
      <c r="F483" s="3257">
        <v>38.659999999999997</v>
      </c>
      <c r="G483" s="3255" t="s">
        <v>5056</v>
      </c>
    </row>
    <row r="484" spans="1:7">
      <c r="A484" s="3254">
        <v>482</v>
      </c>
      <c r="B484" s="3618"/>
      <c r="C484" s="3611" t="s">
        <v>5057</v>
      </c>
      <c r="D484" s="3611"/>
      <c r="E484" s="3257" t="s">
        <v>4630</v>
      </c>
      <c r="F484" s="3257">
        <v>38.659999999999997</v>
      </c>
      <c r="G484" s="3255" t="s">
        <v>5056</v>
      </c>
    </row>
    <row r="485" spans="1:7">
      <c r="A485" s="3254">
        <v>483</v>
      </c>
      <c r="B485" s="3618"/>
      <c r="C485" s="3611" t="s">
        <v>5057</v>
      </c>
      <c r="D485" s="3611"/>
      <c r="E485" s="3257" t="s">
        <v>4631</v>
      </c>
      <c r="F485" s="3257">
        <v>35.56</v>
      </c>
      <c r="G485" s="3255" t="s">
        <v>5056</v>
      </c>
    </row>
    <row r="486" spans="1:7">
      <c r="A486" s="3254">
        <v>484</v>
      </c>
      <c r="B486" s="3618"/>
      <c r="C486" s="3611" t="s">
        <v>5057</v>
      </c>
      <c r="D486" s="3611"/>
      <c r="E486" s="3257" t="s">
        <v>4632</v>
      </c>
      <c r="F486" s="3257">
        <v>35.56</v>
      </c>
      <c r="G486" s="3255" t="s">
        <v>5056</v>
      </c>
    </row>
    <row r="487" spans="1:7">
      <c r="A487" s="3254">
        <v>485</v>
      </c>
      <c r="B487" s="3618"/>
      <c r="C487" s="3611" t="s">
        <v>5057</v>
      </c>
      <c r="D487" s="3611"/>
      <c r="E487" s="3257" t="s">
        <v>4633</v>
      </c>
      <c r="F487" s="3257">
        <v>35.56</v>
      </c>
      <c r="G487" s="3255" t="s">
        <v>5056</v>
      </c>
    </row>
    <row r="488" spans="1:7">
      <c r="A488" s="3254">
        <v>486</v>
      </c>
      <c r="B488" s="3618"/>
      <c r="C488" s="3611" t="s">
        <v>5057</v>
      </c>
      <c r="D488" s="3611"/>
      <c r="E488" s="3257" t="s">
        <v>4634</v>
      </c>
      <c r="F488" s="3257">
        <v>35.56</v>
      </c>
      <c r="G488" s="3255" t="s">
        <v>5056</v>
      </c>
    </row>
    <row r="489" spans="1:7">
      <c r="A489" s="3254">
        <v>487</v>
      </c>
      <c r="B489" s="3618"/>
      <c r="C489" s="3611" t="s">
        <v>5057</v>
      </c>
      <c r="D489" s="3611"/>
      <c r="E489" s="3257" t="s">
        <v>4635</v>
      </c>
      <c r="F489" s="3257">
        <v>35.56</v>
      </c>
      <c r="G489" s="3255" t="s">
        <v>5056</v>
      </c>
    </row>
    <row r="490" spans="1:7">
      <c r="A490" s="3254">
        <v>488</v>
      </c>
      <c r="B490" s="3618"/>
      <c r="C490" s="3611" t="s">
        <v>5057</v>
      </c>
      <c r="D490" s="3611"/>
      <c r="E490" s="3257" t="s">
        <v>4636</v>
      </c>
      <c r="F490" s="3257">
        <v>35.56</v>
      </c>
      <c r="G490" s="3255" t="s">
        <v>5056</v>
      </c>
    </row>
    <row r="491" spans="1:7">
      <c r="A491" s="3254">
        <v>489</v>
      </c>
      <c r="B491" s="3618"/>
      <c r="C491" s="3611" t="s">
        <v>5057</v>
      </c>
      <c r="D491" s="3611"/>
      <c r="E491" s="3257" t="s">
        <v>4637</v>
      </c>
      <c r="F491" s="3257">
        <v>35.56</v>
      </c>
      <c r="G491" s="3255" t="s">
        <v>5056</v>
      </c>
    </row>
    <row r="492" spans="1:7">
      <c r="A492" s="3254">
        <v>490</v>
      </c>
      <c r="B492" s="3618"/>
      <c r="C492" s="3611" t="s">
        <v>5057</v>
      </c>
      <c r="D492" s="3611"/>
      <c r="E492" s="3257" t="s">
        <v>4638</v>
      </c>
      <c r="F492" s="3257">
        <v>35.56</v>
      </c>
      <c r="G492" s="3255" t="s">
        <v>5056</v>
      </c>
    </row>
    <row r="493" spans="1:7">
      <c r="A493" s="3254">
        <v>491</v>
      </c>
      <c r="B493" s="3618"/>
      <c r="C493" s="3611" t="s">
        <v>5057</v>
      </c>
      <c r="D493" s="3611"/>
      <c r="E493" s="3257" t="s">
        <v>4639</v>
      </c>
      <c r="F493" s="3257">
        <v>35.56</v>
      </c>
      <c r="G493" s="3255" t="s">
        <v>5056</v>
      </c>
    </row>
    <row r="494" spans="1:7">
      <c r="A494" s="3254">
        <v>492</v>
      </c>
      <c r="B494" s="3618"/>
      <c r="C494" s="3611" t="s">
        <v>5057</v>
      </c>
      <c r="D494" s="3611"/>
      <c r="E494" s="3257" t="s">
        <v>4640</v>
      </c>
      <c r="F494" s="3257">
        <v>36.340000000000003</v>
      </c>
      <c r="G494" s="3255" t="s">
        <v>5056</v>
      </c>
    </row>
    <row r="495" spans="1:7">
      <c r="A495" s="3254">
        <v>493</v>
      </c>
      <c r="B495" s="3618"/>
      <c r="C495" s="3611" t="s">
        <v>5057</v>
      </c>
      <c r="D495" s="3611"/>
      <c r="E495" s="3257" t="s">
        <v>4641</v>
      </c>
      <c r="F495" s="3257">
        <v>36.340000000000003</v>
      </c>
      <c r="G495" s="3255" t="s">
        <v>5056</v>
      </c>
    </row>
    <row r="496" spans="1:7">
      <c r="A496" s="3254">
        <v>494</v>
      </c>
      <c r="B496" s="3618"/>
      <c r="C496" s="3611" t="s">
        <v>5057</v>
      </c>
      <c r="D496" s="3611"/>
      <c r="E496" s="3257" t="s">
        <v>4642</v>
      </c>
      <c r="F496" s="3257">
        <v>36.340000000000003</v>
      </c>
      <c r="G496" s="3255" t="s">
        <v>5056</v>
      </c>
    </row>
    <row r="497" spans="1:7">
      <c r="A497" s="3254">
        <v>495</v>
      </c>
      <c r="B497" s="3618"/>
      <c r="C497" s="3611" t="s">
        <v>5057</v>
      </c>
      <c r="D497" s="3611"/>
      <c r="E497" s="3257" t="s">
        <v>4643</v>
      </c>
      <c r="F497" s="3257">
        <v>36.340000000000003</v>
      </c>
      <c r="G497" s="3255" t="s">
        <v>5056</v>
      </c>
    </row>
    <row r="498" spans="1:7">
      <c r="A498" s="3254">
        <v>496</v>
      </c>
      <c r="B498" s="3618"/>
      <c r="C498" s="3611" t="s">
        <v>5057</v>
      </c>
      <c r="D498" s="3611"/>
      <c r="E498" s="3257" t="s">
        <v>4644</v>
      </c>
      <c r="F498" s="3257">
        <v>36.340000000000003</v>
      </c>
      <c r="G498" s="3255" t="s">
        <v>5056</v>
      </c>
    </row>
    <row r="499" spans="1:7">
      <c r="A499" s="3254">
        <v>497</v>
      </c>
      <c r="B499" s="3618"/>
      <c r="C499" s="3611" t="s">
        <v>5057</v>
      </c>
      <c r="D499" s="3611"/>
      <c r="E499" s="3257" t="s">
        <v>4645</v>
      </c>
      <c r="F499" s="3257">
        <v>36.340000000000003</v>
      </c>
      <c r="G499" s="3255" t="s">
        <v>5056</v>
      </c>
    </row>
    <row r="500" spans="1:7">
      <c r="A500" s="3254">
        <v>498</v>
      </c>
      <c r="B500" s="3618"/>
      <c r="C500" s="3611" t="s">
        <v>5057</v>
      </c>
      <c r="D500" s="3611"/>
      <c r="E500" s="3257" t="s">
        <v>4646</v>
      </c>
      <c r="F500" s="3257">
        <v>36.340000000000003</v>
      </c>
      <c r="G500" s="3255" t="s">
        <v>5056</v>
      </c>
    </row>
    <row r="501" spans="1:7">
      <c r="A501" s="3254">
        <v>499</v>
      </c>
      <c r="B501" s="3618"/>
      <c r="C501" s="3611" t="s">
        <v>5057</v>
      </c>
      <c r="D501" s="3611"/>
      <c r="E501" s="3257" t="s">
        <v>4647</v>
      </c>
      <c r="F501" s="3257">
        <v>36.340000000000003</v>
      </c>
      <c r="G501" s="3255" t="s">
        <v>5056</v>
      </c>
    </row>
    <row r="502" spans="1:7">
      <c r="A502" s="3254">
        <v>500</v>
      </c>
      <c r="B502" s="3618"/>
      <c r="C502" s="3611" t="s">
        <v>5057</v>
      </c>
      <c r="D502" s="3611"/>
      <c r="E502" s="3257" t="s">
        <v>4648</v>
      </c>
      <c r="F502" s="3257">
        <v>36.340000000000003</v>
      </c>
      <c r="G502" s="3255" t="s">
        <v>5056</v>
      </c>
    </row>
    <row r="503" spans="1:7">
      <c r="A503" s="3254">
        <v>501</v>
      </c>
      <c r="B503" s="3618"/>
      <c r="C503" s="3611" t="s">
        <v>5057</v>
      </c>
      <c r="D503" s="3611"/>
      <c r="E503" s="3257" t="s">
        <v>4649</v>
      </c>
      <c r="F503" s="3257">
        <v>36.340000000000003</v>
      </c>
      <c r="G503" s="3255" t="s">
        <v>5056</v>
      </c>
    </row>
    <row r="504" spans="1:7">
      <c r="A504" s="3254">
        <v>502</v>
      </c>
      <c r="B504" s="3618"/>
      <c r="C504" s="3611" t="s">
        <v>5057</v>
      </c>
      <c r="D504" s="3611"/>
      <c r="E504" s="3257" t="s">
        <v>4650</v>
      </c>
      <c r="F504" s="3257">
        <v>36.340000000000003</v>
      </c>
      <c r="G504" s="3255" t="s">
        <v>5056</v>
      </c>
    </row>
    <row r="505" spans="1:7">
      <c r="A505" s="3254">
        <v>503</v>
      </c>
      <c r="B505" s="3618"/>
      <c r="C505" s="3611" t="s">
        <v>5057</v>
      </c>
      <c r="D505" s="3611"/>
      <c r="E505" s="3257" t="s">
        <v>4651</v>
      </c>
      <c r="F505" s="3257">
        <v>36.340000000000003</v>
      </c>
      <c r="G505" s="3255" t="s">
        <v>5056</v>
      </c>
    </row>
    <row r="506" spans="1:7">
      <c r="A506" s="3254">
        <v>504</v>
      </c>
      <c r="B506" s="3618"/>
      <c r="C506" s="3611" t="s">
        <v>5057</v>
      </c>
      <c r="D506" s="3611"/>
      <c r="E506" s="3257" t="s">
        <v>4652</v>
      </c>
      <c r="F506" s="3257">
        <v>36.340000000000003</v>
      </c>
      <c r="G506" s="3255" t="s">
        <v>5056</v>
      </c>
    </row>
    <row r="507" spans="1:7">
      <c r="A507" s="3254">
        <v>505</v>
      </c>
      <c r="B507" s="3618"/>
      <c r="C507" s="3611" t="s">
        <v>5057</v>
      </c>
      <c r="D507" s="3611"/>
      <c r="E507" s="3257" t="s">
        <v>4653</v>
      </c>
      <c r="F507" s="3257">
        <v>36.340000000000003</v>
      </c>
      <c r="G507" s="3255" t="s">
        <v>5056</v>
      </c>
    </row>
    <row r="508" spans="1:7">
      <c r="A508" s="3254">
        <v>506</v>
      </c>
      <c r="B508" s="3618"/>
      <c r="C508" s="3611" t="s">
        <v>5057</v>
      </c>
      <c r="D508" s="3611"/>
      <c r="E508" s="3257" t="s">
        <v>4654</v>
      </c>
      <c r="F508" s="3257">
        <v>36.340000000000003</v>
      </c>
      <c r="G508" s="3255" t="s">
        <v>5056</v>
      </c>
    </row>
    <row r="509" spans="1:7">
      <c r="A509" s="3254">
        <v>507</v>
      </c>
      <c r="B509" s="3618"/>
      <c r="C509" s="3611" t="s">
        <v>5057</v>
      </c>
      <c r="D509" s="3611"/>
      <c r="E509" s="3257" t="s">
        <v>4655</v>
      </c>
      <c r="F509" s="3257">
        <v>37.11</v>
      </c>
      <c r="G509" s="3255" t="s">
        <v>5056</v>
      </c>
    </row>
    <row r="510" spans="1:7">
      <c r="A510" s="3254">
        <v>508</v>
      </c>
      <c r="B510" s="3618"/>
      <c r="C510" s="3611" t="s">
        <v>5057</v>
      </c>
      <c r="D510" s="3611"/>
      <c r="E510" s="3257" t="s">
        <v>4656</v>
      </c>
      <c r="F510" s="3257">
        <v>37.11</v>
      </c>
      <c r="G510" s="3255" t="s">
        <v>5056</v>
      </c>
    </row>
    <row r="511" spans="1:7">
      <c r="A511" s="3254">
        <v>509</v>
      </c>
      <c r="B511" s="3618"/>
      <c r="C511" s="3611" t="s">
        <v>5057</v>
      </c>
      <c r="D511" s="3611"/>
      <c r="E511" s="3257" t="s">
        <v>4657</v>
      </c>
      <c r="F511" s="3257">
        <v>37.11</v>
      </c>
      <c r="G511" s="3255" t="s">
        <v>5056</v>
      </c>
    </row>
    <row r="512" spans="1:7">
      <c r="A512" s="3254">
        <v>510</v>
      </c>
      <c r="B512" s="3618"/>
      <c r="C512" s="3611" t="s">
        <v>5057</v>
      </c>
      <c r="D512" s="3611"/>
      <c r="E512" s="3257" t="s">
        <v>4658</v>
      </c>
      <c r="F512" s="3257">
        <v>35.630000000000003</v>
      </c>
      <c r="G512" s="3255" t="s">
        <v>5056</v>
      </c>
    </row>
    <row r="513" spans="1:7">
      <c r="A513" s="3254">
        <v>511</v>
      </c>
      <c r="B513" s="3618"/>
      <c r="C513" s="3611" t="s">
        <v>5057</v>
      </c>
      <c r="D513" s="3611"/>
      <c r="E513" s="3257" t="s">
        <v>4659</v>
      </c>
      <c r="F513" s="3257">
        <v>35.630000000000003</v>
      </c>
      <c r="G513" s="3255" t="s">
        <v>5056</v>
      </c>
    </row>
    <row r="514" spans="1:7">
      <c r="A514" s="3254">
        <v>512</v>
      </c>
      <c r="B514" s="3618"/>
      <c r="C514" s="3611" t="s">
        <v>5057</v>
      </c>
      <c r="D514" s="3611"/>
      <c r="E514" s="3257" t="s">
        <v>4660</v>
      </c>
      <c r="F514" s="3257">
        <v>35.630000000000003</v>
      </c>
      <c r="G514" s="3255" t="s">
        <v>5056</v>
      </c>
    </row>
    <row r="515" spans="1:7">
      <c r="A515" s="3254">
        <v>513</v>
      </c>
      <c r="B515" s="3618"/>
      <c r="C515" s="3611" t="s">
        <v>5057</v>
      </c>
      <c r="D515" s="3611"/>
      <c r="E515" s="3257" t="s">
        <v>4661</v>
      </c>
      <c r="F515" s="3257">
        <v>37.85</v>
      </c>
      <c r="G515" s="3255" t="s">
        <v>5056</v>
      </c>
    </row>
    <row r="516" spans="1:7">
      <c r="A516" s="3254">
        <v>514</v>
      </c>
      <c r="B516" s="3618"/>
      <c r="C516" s="3611" t="s">
        <v>5057</v>
      </c>
      <c r="D516" s="3611"/>
      <c r="E516" s="3257" t="s">
        <v>4662</v>
      </c>
      <c r="F516" s="3257">
        <v>37.85</v>
      </c>
      <c r="G516" s="3255" t="s">
        <v>5056</v>
      </c>
    </row>
    <row r="517" spans="1:7">
      <c r="A517" s="3254">
        <v>515</v>
      </c>
      <c r="B517" s="3618"/>
      <c r="C517" s="3611" t="s">
        <v>5057</v>
      </c>
      <c r="D517" s="3611"/>
      <c r="E517" s="3257" t="s">
        <v>4663</v>
      </c>
      <c r="F517" s="3257">
        <v>35.630000000000003</v>
      </c>
      <c r="G517" s="3255" t="s">
        <v>5056</v>
      </c>
    </row>
    <row r="518" spans="1:7">
      <c r="A518" s="3254">
        <v>516</v>
      </c>
      <c r="B518" s="3618"/>
      <c r="C518" s="3611" t="s">
        <v>5057</v>
      </c>
      <c r="D518" s="3611"/>
      <c r="E518" s="3257" t="s">
        <v>4664</v>
      </c>
      <c r="F518" s="3257">
        <v>35.630000000000003</v>
      </c>
      <c r="G518" s="3255" t="s">
        <v>5056</v>
      </c>
    </row>
    <row r="519" spans="1:7">
      <c r="A519" s="3254">
        <v>517</v>
      </c>
      <c r="B519" s="3618"/>
      <c r="C519" s="3611" t="s">
        <v>5057</v>
      </c>
      <c r="D519" s="3611"/>
      <c r="E519" s="3257" t="s">
        <v>4665</v>
      </c>
      <c r="F519" s="3257">
        <v>35.630000000000003</v>
      </c>
      <c r="G519" s="3255" t="s">
        <v>5056</v>
      </c>
    </row>
    <row r="520" spans="1:7">
      <c r="A520" s="3254">
        <v>518</v>
      </c>
      <c r="B520" s="3618"/>
      <c r="C520" s="3611" t="s">
        <v>5057</v>
      </c>
      <c r="D520" s="3611"/>
      <c r="E520" s="3257" t="s">
        <v>4666</v>
      </c>
      <c r="F520" s="3257">
        <v>35.630000000000003</v>
      </c>
      <c r="G520" s="3255" t="s">
        <v>5056</v>
      </c>
    </row>
    <row r="521" spans="1:7">
      <c r="A521" s="3254">
        <v>519</v>
      </c>
      <c r="B521" s="3618"/>
      <c r="C521" s="3611" t="s">
        <v>5057</v>
      </c>
      <c r="D521" s="3611"/>
      <c r="E521" s="3257" t="s">
        <v>4667</v>
      </c>
      <c r="F521" s="3257">
        <v>35.630000000000003</v>
      </c>
      <c r="G521" s="3255" t="s">
        <v>5056</v>
      </c>
    </row>
    <row r="522" spans="1:7">
      <c r="A522" s="3254">
        <v>520</v>
      </c>
      <c r="B522" s="3618"/>
      <c r="C522" s="3611" t="s">
        <v>5057</v>
      </c>
      <c r="D522" s="3611"/>
      <c r="E522" s="3257" t="s">
        <v>4668</v>
      </c>
      <c r="F522" s="3257">
        <v>35.630000000000003</v>
      </c>
      <c r="G522" s="3255" t="s">
        <v>5056</v>
      </c>
    </row>
    <row r="523" spans="1:7">
      <c r="A523" s="3254">
        <v>521</v>
      </c>
      <c r="B523" s="3618"/>
      <c r="C523" s="3611" t="s">
        <v>5057</v>
      </c>
      <c r="D523" s="3611"/>
      <c r="E523" s="3257" t="s">
        <v>4669</v>
      </c>
      <c r="F523" s="3257">
        <v>35.99</v>
      </c>
      <c r="G523" s="3255" t="s">
        <v>5056</v>
      </c>
    </row>
    <row r="524" spans="1:7">
      <c r="A524" s="3254">
        <v>522</v>
      </c>
      <c r="B524" s="3618"/>
      <c r="C524" s="3611" t="s">
        <v>5057</v>
      </c>
      <c r="D524" s="3611"/>
      <c r="E524" s="3257" t="s">
        <v>4670</v>
      </c>
      <c r="F524" s="3257">
        <v>37.49</v>
      </c>
      <c r="G524" s="3255" t="s">
        <v>5056</v>
      </c>
    </row>
    <row r="525" spans="1:7">
      <c r="A525" s="3254">
        <v>523</v>
      </c>
      <c r="B525" s="3618"/>
      <c r="C525" s="3611" t="s">
        <v>5057</v>
      </c>
      <c r="D525" s="3611"/>
      <c r="E525" s="3257" t="s">
        <v>4671</v>
      </c>
      <c r="F525" s="3257">
        <v>37.49</v>
      </c>
      <c r="G525" s="3255" t="s">
        <v>5056</v>
      </c>
    </row>
    <row r="526" spans="1:7">
      <c r="A526" s="3254">
        <v>524</v>
      </c>
      <c r="B526" s="3618"/>
      <c r="C526" s="3611" t="s">
        <v>5057</v>
      </c>
      <c r="D526" s="3611"/>
      <c r="E526" s="3257" t="s">
        <v>4672</v>
      </c>
      <c r="F526" s="3257">
        <v>35.99</v>
      </c>
      <c r="G526" s="3255" t="s">
        <v>5056</v>
      </c>
    </row>
    <row r="527" spans="1:7">
      <c r="A527" s="3254">
        <v>525</v>
      </c>
      <c r="B527" s="3618"/>
      <c r="C527" s="3611" t="s">
        <v>5057</v>
      </c>
      <c r="D527" s="3611"/>
      <c r="E527" s="3257" t="s">
        <v>4673</v>
      </c>
      <c r="F527" s="3257">
        <v>35.99</v>
      </c>
      <c r="G527" s="3255" t="s">
        <v>5056</v>
      </c>
    </row>
    <row r="528" spans="1:7">
      <c r="A528" s="3254">
        <v>526</v>
      </c>
      <c r="B528" s="3618"/>
      <c r="C528" s="3611" t="s">
        <v>5057</v>
      </c>
      <c r="D528" s="3611"/>
      <c r="E528" s="3257" t="s">
        <v>4674</v>
      </c>
      <c r="F528" s="3257">
        <v>35.99</v>
      </c>
      <c r="G528" s="3255" t="s">
        <v>5056</v>
      </c>
    </row>
    <row r="529" spans="1:7">
      <c r="A529" s="3254">
        <v>527</v>
      </c>
      <c r="B529" s="3618"/>
      <c r="C529" s="3611" t="s">
        <v>5057</v>
      </c>
      <c r="D529" s="3611"/>
      <c r="E529" s="3257" t="s">
        <v>4675</v>
      </c>
      <c r="F529" s="3257">
        <v>35.99</v>
      </c>
      <c r="G529" s="3255" t="s">
        <v>5056</v>
      </c>
    </row>
    <row r="530" spans="1:7">
      <c r="A530" s="3254">
        <v>528</v>
      </c>
      <c r="B530" s="3618"/>
      <c r="C530" s="3611" t="s">
        <v>5057</v>
      </c>
      <c r="D530" s="3611"/>
      <c r="E530" s="3257" t="s">
        <v>4676</v>
      </c>
      <c r="F530" s="3257">
        <v>35.99</v>
      </c>
      <c r="G530" s="3255" t="s">
        <v>5056</v>
      </c>
    </row>
    <row r="531" spans="1:7">
      <c r="A531" s="3254">
        <v>529</v>
      </c>
      <c r="B531" s="3618"/>
      <c r="C531" s="3611" t="s">
        <v>5057</v>
      </c>
      <c r="D531" s="3611"/>
      <c r="E531" s="3257" t="s">
        <v>4677</v>
      </c>
      <c r="F531" s="3257">
        <v>35.99</v>
      </c>
      <c r="G531" s="3255" t="s">
        <v>5056</v>
      </c>
    </row>
    <row r="532" spans="1:7">
      <c r="A532" s="3254">
        <v>530</v>
      </c>
      <c r="B532" s="3618"/>
      <c r="C532" s="3611" t="s">
        <v>5057</v>
      </c>
      <c r="D532" s="3611"/>
      <c r="E532" s="3257" t="s">
        <v>4678</v>
      </c>
      <c r="F532" s="3257">
        <v>35.99</v>
      </c>
      <c r="G532" s="3255" t="s">
        <v>5056</v>
      </c>
    </row>
    <row r="533" spans="1:7">
      <c r="A533" s="3254">
        <v>531</v>
      </c>
      <c r="B533" s="3618"/>
      <c r="C533" s="3611" t="s">
        <v>5057</v>
      </c>
      <c r="D533" s="3611"/>
      <c r="E533" s="3257" t="s">
        <v>4679</v>
      </c>
      <c r="F533" s="3257">
        <v>35.99</v>
      </c>
      <c r="G533" s="3255" t="s">
        <v>5056</v>
      </c>
    </row>
    <row r="534" spans="1:7">
      <c r="A534" s="3254">
        <v>532</v>
      </c>
      <c r="B534" s="3618"/>
      <c r="C534" s="3611" t="s">
        <v>5057</v>
      </c>
      <c r="D534" s="3611"/>
      <c r="E534" s="3257" t="s">
        <v>4680</v>
      </c>
      <c r="F534" s="3257">
        <v>35.99</v>
      </c>
      <c r="G534" s="3255" t="s">
        <v>5056</v>
      </c>
    </row>
    <row r="535" spans="1:7">
      <c r="A535" s="3254">
        <v>533</v>
      </c>
      <c r="B535" s="3618"/>
      <c r="C535" s="3611" t="s">
        <v>5057</v>
      </c>
      <c r="D535" s="3611"/>
      <c r="E535" s="3257" t="s">
        <v>4681</v>
      </c>
      <c r="F535" s="3257">
        <v>33.65</v>
      </c>
      <c r="G535" s="3255" t="s">
        <v>5056</v>
      </c>
    </row>
    <row r="536" spans="1:7">
      <c r="A536" s="3254">
        <v>534</v>
      </c>
      <c r="B536" s="3618"/>
      <c r="C536" s="3611" t="s">
        <v>5057</v>
      </c>
      <c r="D536" s="3611"/>
      <c r="E536" s="3257" t="s">
        <v>4682</v>
      </c>
      <c r="F536" s="3257">
        <v>37.49</v>
      </c>
      <c r="G536" s="3255" t="s">
        <v>5056</v>
      </c>
    </row>
    <row r="537" spans="1:7">
      <c r="A537" s="3254">
        <v>535</v>
      </c>
      <c r="B537" s="3618"/>
      <c r="C537" s="3611" t="s">
        <v>5057</v>
      </c>
      <c r="D537" s="3611"/>
      <c r="E537" s="3257" t="s">
        <v>4683</v>
      </c>
      <c r="F537" s="3257">
        <v>37.49</v>
      </c>
      <c r="G537" s="3255" t="s">
        <v>5056</v>
      </c>
    </row>
    <row r="538" spans="1:7">
      <c r="A538" s="3254">
        <v>536</v>
      </c>
      <c r="B538" s="3618"/>
      <c r="C538" s="3611" t="s">
        <v>5057</v>
      </c>
      <c r="D538" s="3611"/>
      <c r="E538" s="3257" t="s">
        <v>4684</v>
      </c>
      <c r="F538" s="3257">
        <v>37.49</v>
      </c>
      <c r="G538" s="3255" t="s">
        <v>5056</v>
      </c>
    </row>
    <row r="539" spans="1:7">
      <c r="A539" s="3254">
        <v>537</v>
      </c>
      <c r="B539" s="3618"/>
      <c r="C539" s="3611" t="s">
        <v>5057</v>
      </c>
      <c r="D539" s="3611"/>
      <c r="E539" s="3257" t="s">
        <v>4685</v>
      </c>
      <c r="F539" s="3257">
        <v>37.49</v>
      </c>
      <c r="G539" s="3255" t="s">
        <v>5056</v>
      </c>
    </row>
    <row r="540" spans="1:7">
      <c r="A540" s="3254">
        <v>538</v>
      </c>
      <c r="B540" s="3618"/>
      <c r="C540" s="3611" t="s">
        <v>5057</v>
      </c>
      <c r="D540" s="3611"/>
      <c r="E540" s="3257" t="s">
        <v>4686</v>
      </c>
      <c r="F540" s="3257">
        <v>37.49</v>
      </c>
      <c r="G540" s="3255" t="s">
        <v>5056</v>
      </c>
    </row>
    <row r="541" spans="1:7">
      <c r="A541" s="3254">
        <v>539</v>
      </c>
      <c r="B541" s="3618"/>
      <c r="C541" s="3611" t="s">
        <v>5057</v>
      </c>
      <c r="D541" s="3611"/>
      <c r="E541" s="3257" t="s">
        <v>4687</v>
      </c>
      <c r="F541" s="3257">
        <v>37.49</v>
      </c>
      <c r="G541" s="3255" t="s">
        <v>5056</v>
      </c>
    </row>
    <row r="542" spans="1:7">
      <c r="A542" s="3254">
        <v>540</v>
      </c>
      <c r="B542" s="3618"/>
      <c r="C542" s="3611" t="s">
        <v>5057</v>
      </c>
      <c r="D542" s="3611"/>
      <c r="E542" s="3257" t="s">
        <v>4688</v>
      </c>
      <c r="F542" s="3257">
        <v>37.49</v>
      </c>
      <c r="G542" s="3255" t="s">
        <v>5056</v>
      </c>
    </row>
    <row r="543" spans="1:7">
      <c r="A543" s="3254">
        <v>541</v>
      </c>
      <c r="B543" s="3618"/>
      <c r="C543" s="3611" t="s">
        <v>5057</v>
      </c>
      <c r="D543" s="3611"/>
      <c r="E543" s="3257" t="s">
        <v>4689</v>
      </c>
      <c r="F543" s="3257">
        <v>37.49</v>
      </c>
      <c r="G543" s="3255" t="s">
        <v>5056</v>
      </c>
    </row>
    <row r="544" spans="1:7">
      <c r="A544" s="3254">
        <v>542</v>
      </c>
      <c r="B544" s="3618"/>
      <c r="C544" s="3611" t="s">
        <v>5057</v>
      </c>
      <c r="D544" s="3611"/>
      <c r="E544" s="3257" t="s">
        <v>4690</v>
      </c>
      <c r="F544" s="3257">
        <v>37.49</v>
      </c>
      <c r="G544" s="3255" t="s">
        <v>5056</v>
      </c>
    </row>
    <row r="545" spans="1:7">
      <c r="A545" s="3254">
        <v>543</v>
      </c>
      <c r="B545" s="3618"/>
      <c r="C545" s="3611" t="s">
        <v>5057</v>
      </c>
      <c r="D545" s="3611"/>
      <c r="E545" s="3257" t="s">
        <v>4691</v>
      </c>
      <c r="F545" s="3257">
        <v>37.49</v>
      </c>
      <c r="G545" s="3255" t="s">
        <v>5056</v>
      </c>
    </row>
    <row r="546" spans="1:7">
      <c r="A546" s="3254">
        <v>544</v>
      </c>
      <c r="B546" s="3618"/>
      <c r="C546" s="3611" t="s">
        <v>5057</v>
      </c>
      <c r="D546" s="3611"/>
      <c r="E546" s="3257" t="s">
        <v>4692</v>
      </c>
      <c r="F546" s="3257">
        <v>37.49</v>
      </c>
      <c r="G546" s="3255" t="s">
        <v>5056</v>
      </c>
    </row>
    <row r="547" spans="1:7">
      <c r="A547" s="3254">
        <v>545</v>
      </c>
      <c r="B547" s="3618"/>
      <c r="C547" s="3611" t="s">
        <v>5057</v>
      </c>
      <c r="D547" s="3611"/>
      <c r="E547" s="3257" t="s">
        <v>4693</v>
      </c>
      <c r="F547" s="3257">
        <v>37.49</v>
      </c>
      <c r="G547" s="3255" t="s">
        <v>5056</v>
      </c>
    </row>
    <row r="548" spans="1:7">
      <c r="A548" s="3254">
        <v>546</v>
      </c>
      <c r="B548" s="3618"/>
      <c r="C548" s="3611" t="s">
        <v>5057</v>
      </c>
      <c r="D548" s="3611"/>
      <c r="E548" s="3257" t="s">
        <v>4694</v>
      </c>
      <c r="F548" s="3257">
        <v>37.49</v>
      </c>
      <c r="G548" s="3255" t="s">
        <v>5056</v>
      </c>
    </row>
    <row r="549" spans="1:7">
      <c r="A549" s="3254">
        <v>547</v>
      </c>
      <c r="B549" s="3618"/>
      <c r="C549" s="3611" t="s">
        <v>5057</v>
      </c>
      <c r="D549" s="3611"/>
      <c r="E549" s="3257" t="s">
        <v>4695</v>
      </c>
      <c r="F549" s="3257">
        <v>37.49</v>
      </c>
      <c r="G549" s="3255" t="s">
        <v>5056</v>
      </c>
    </row>
    <row r="550" spans="1:7">
      <c r="A550" s="3254">
        <v>548</v>
      </c>
      <c r="B550" s="3618"/>
      <c r="C550" s="3611" t="s">
        <v>5057</v>
      </c>
      <c r="D550" s="3611"/>
      <c r="E550" s="3257" t="s">
        <v>4696</v>
      </c>
      <c r="F550" s="3257">
        <v>37.49</v>
      </c>
      <c r="G550" s="3255" t="s">
        <v>5056</v>
      </c>
    </row>
    <row r="551" spans="1:7">
      <c r="A551" s="3254">
        <v>549</v>
      </c>
      <c r="B551" s="3618"/>
      <c r="C551" s="3611" t="s">
        <v>5057</v>
      </c>
      <c r="D551" s="3611"/>
      <c r="E551" s="3257" t="s">
        <v>4697</v>
      </c>
      <c r="F551" s="3257">
        <v>37.49</v>
      </c>
      <c r="G551" s="3255" t="s">
        <v>5056</v>
      </c>
    </row>
    <row r="552" spans="1:7">
      <c r="A552" s="3254">
        <v>550</v>
      </c>
      <c r="B552" s="3618"/>
      <c r="C552" s="3611" t="s">
        <v>5057</v>
      </c>
      <c r="D552" s="3611"/>
      <c r="E552" s="3257" t="s">
        <v>4698</v>
      </c>
      <c r="F552" s="3257">
        <v>37.49</v>
      </c>
      <c r="G552" s="3255" t="s">
        <v>5056</v>
      </c>
    </row>
    <row r="553" spans="1:7">
      <c r="A553" s="3254">
        <v>551</v>
      </c>
      <c r="B553" s="3618"/>
      <c r="C553" s="3611" t="s">
        <v>5057</v>
      </c>
      <c r="D553" s="3611"/>
      <c r="E553" s="3257" t="s">
        <v>4699</v>
      </c>
      <c r="F553" s="3257">
        <v>36.340000000000003</v>
      </c>
      <c r="G553" s="3255" t="s">
        <v>5056</v>
      </c>
    </row>
    <row r="554" spans="1:7">
      <c r="A554" s="3254">
        <v>552</v>
      </c>
      <c r="B554" s="3618"/>
      <c r="C554" s="3611" t="s">
        <v>5057</v>
      </c>
      <c r="D554" s="3611"/>
      <c r="E554" s="3257" t="s">
        <v>4700</v>
      </c>
      <c r="F554" s="3257">
        <v>36.340000000000003</v>
      </c>
      <c r="G554" s="3255" t="s">
        <v>5056</v>
      </c>
    </row>
    <row r="555" spans="1:7">
      <c r="A555" s="3254">
        <v>553</v>
      </c>
      <c r="B555" s="3618"/>
      <c r="C555" s="3611" t="s">
        <v>5057</v>
      </c>
      <c r="D555" s="3611"/>
      <c r="E555" s="3257" t="s">
        <v>4701</v>
      </c>
      <c r="F555" s="3257">
        <v>36.340000000000003</v>
      </c>
      <c r="G555" s="3255" t="s">
        <v>5056</v>
      </c>
    </row>
    <row r="556" spans="1:7">
      <c r="A556" s="3254">
        <v>554</v>
      </c>
      <c r="B556" s="3618"/>
      <c r="C556" s="3611" t="s">
        <v>5057</v>
      </c>
      <c r="D556" s="3611"/>
      <c r="E556" s="3257" t="s">
        <v>4702</v>
      </c>
      <c r="F556" s="3257">
        <v>36.340000000000003</v>
      </c>
      <c r="G556" s="3255" t="s">
        <v>5056</v>
      </c>
    </row>
    <row r="557" spans="1:7">
      <c r="A557" s="3254">
        <v>555</v>
      </c>
      <c r="B557" s="3618"/>
      <c r="C557" s="3611" t="s">
        <v>5057</v>
      </c>
      <c r="D557" s="3611"/>
      <c r="E557" s="3257" t="s">
        <v>4703</v>
      </c>
      <c r="F557" s="3257">
        <v>37.11</v>
      </c>
      <c r="G557" s="3255" t="s">
        <v>5056</v>
      </c>
    </row>
    <row r="558" spans="1:7">
      <c r="A558" s="3254">
        <v>556</v>
      </c>
      <c r="B558" s="3618"/>
      <c r="C558" s="3611" t="s">
        <v>5057</v>
      </c>
      <c r="D558" s="3611"/>
      <c r="E558" s="3257" t="s">
        <v>4704</v>
      </c>
      <c r="F558" s="3257">
        <v>37.11</v>
      </c>
      <c r="G558" s="3255" t="s">
        <v>5056</v>
      </c>
    </row>
    <row r="559" spans="1:7">
      <c r="A559" s="3254">
        <v>557</v>
      </c>
      <c r="B559" s="3618"/>
      <c r="C559" s="3611" t="s">
        <v>5057</v>
      </c>
      <c r="D559" s="3611"/>
      <c r="E559" s="3257" t="s">
        <v>4705</v>
      </c>
      <c r="F559" s="3257">
        <v>37.520000000000003</v>
      </c>
      <c r="G559" s="3255" t="s">
        <v>5056</v>
      </c>
    </row>
    <row r="560" spans="1:7">
      <c r="A560" s="3254">
        <v>558</v>
      </c>
      <c r="B560" s="3618"/>
      <c r="C560" s="3611" t="s">
        <v>5057</v>
      </c>
      <c r="D560" s="3611"/>
      <c r="E560" s="3257" t="s">
        <v>4706</v>
      </c>
      <c r="F560" s="3257">
        <v>37.520000000000003</v>
      </c>
      <c r="G560" s="3255" t="s">
        <v>5056</v>
      </c>
    </row>
    <row r="561" spans="1:7">
      <c r="A561" s="3254">
        <v>559</v>
      </c>
      <c r="B561" s="3618"/>
      <c r="C561" s="3611" t="s">
        <v>5057</v>
      </c>
      <c r="D561" s="3611"/>
      <c r="E561" s="3257" t="s">
        <v>4707</v>
      </c>
      <c r="F561" s="3257">
        <v>37.520000000000003</v>
      </c>
      <c r="G561" s="3255" t="s">
        <v>5056</v>
      </c>
    </row>
    <row r="562" spans="1:7">
      <c r="A562" s="3254">
        <v>560</v>
      </c>
      <c r="B562" s="3618"/>
      <c r="C562" s="3611" t="s">
        <v>5057</v>
      </c>
      <c r="D562" s="3611"/>
      <c r="E562" s="3257" t="s">
        <v>4708</v>
      </c>
      <c r="F562" s="3257">
        <v>37.520000000000003</v>
      </c>
      <c r="G562" s="3255" t="s">
        <v>5056</v>
      </c>
    </row>
    <row r="563" spans="1:7">
      <c r="A563" s="3254">
        <v>561</v>
      </c>
      <c r="B563" s="3618"/>
      <c r="C563" s="3611" t="s">
        <v>5057</v>
      </c>
      <c r="D563" s="3611"/>
      <c r="E563" s="3257" t="s">
        <v>4709</v>
      </c>
      <c r="F563" s="3257">
        <v>37.520000000000003</v>
      </c>
      <c r="G563" s="3255" t="s">
        <v>5056</v>
      </c>
    </row>
    <row r="564" spans="1:7">
      <c r="A564" s="3254">
        <v>562</v>
      </c>
      <c r="B564" s="3618"/>
      <c r="C564" s="3611" t="s">
        <v>5057</v>
      </c>
      <c r="D564" s="3611"/>
      <c r="E564" s="3257" t="s">
        <v>4710</v>
      </c>
      <c r="F564" s="3257">
        <v>37.520000000000003</v>
      </c>
      <c r="G564" s="3255" t="s">
        <v>5056</v>
      </c>
    </row>
    <row r="565" spans="1:7">
      <c r="A565" s="3254">
        <v>563</v>
      </c>
      <c r="B565" s="3618"/>
      <c r="C565" s="3611" t="s">
        <v>5057</v>
      </c>
      <c r="D565" s="3611"/>
      <c r="E565" s="3257" t="s">
        <v>4711</v>
      </c>
      <c r="F565" s="3257">
        <v>37.520000000000003</v>
      </c>
      <c r="G565" s="3255" t="s">
        <v>5056</v>
      </c>
    </row>
    <row r="566" spans="1:7">
      <c r="A566" s="3254">
        <v>564</v>
      </c>
      <c r="B566" s="3618"/>
      <c r="C566" s="3611" t="s">
        <v>5057</v>
      </c>
      <c r="D566" s="3611"/>
      <c r="E566" s="3257" t="s">
        <v>4712</v>
      </c>
      <c r="F566" s="3257">
        <v>37.520000000000003</v>
      </c>
      <c r="G566" s="3255" t="s">
        <v>5056</v>
      </c>
    </row>
    <row r="567" spans="1:7">
      <c r="A567" s="3254">
        <v>565</v>
      </c>
      <c r="B567" s="3618"/>
      <c r="C567" s="3611" t="s">
        <v>5057</v>
      </c>
      <c r="D567" s="3611"/>
      <c r="E567" s="3257" t="s">
        <v>4713</v>
      </c>
      <c r="F567" s="3257">
        <v>37.520000000000003</v>
      </c>
      <c r="G567" s="3255" t="s">
        <v>5056</v>
      </c>
    </row>
    <row r="568" spans="1:7">
      <c r="A568" s="3254">
        <v>566</v>
      </c>
      <c r="B568" s="3618"/>
      <c r="C568" s="3611" t="s">
        <v>5057</v>
      </c>
      <c r="D568" s="3611"/>
      <c r="E568" s="3257" t="s">
        <v>4714</v>
      </c>
      <c r="F568" s="3257">
        <v>37.520000000000003</v>
      </c>
      <c r="G568" s="3255" t="s">
        <v>5056</v>
      </c>
    </row>
    <row r="569" spans="1:7">
      <c r="A569" s="3254">
        <v>567</v>
      </c>
      <c r="B569" s="3618"/>
      <c r="C569" s="3611" t="s">
        <v>5057</v>
      </c>
      <c r="D569" s="3611"/>
      <c r="E569" s="3257" t="s">
        <v>4715</v>
      </c>
      <c r="F569" s="3257">
        <v>37.520000000000003</v>
      </c>
      <c r="G569" s="3255" t="s">
        <v>5056</v>
      </c>
    </row>
    <row r="570" spans="1:7">
      <c r="A570" s="3254">
        <v>568</v>
      </c>
      <c r="B570" s="3618"/>
      <c r="C570" s="3611" t="s">
        <v>5057</v>
      </c>
      <c r="D570" s="3611"/>
      <c r="E570" s="3257" t="s">
        <v>4716</v>
      </c>
      <c r="F570" s="3257">
        <v>39.090000000000003</v>
      </c>
      <c r="G570" s="3255" t="s">
        <v>5056</v>
      </c>
    </row>
    <row r="571" spans="1:7">
      <c r="A571" s="3254">
        <v>569</v>
      </c>
      <c r="B571" s="3618"/>
      <c r="C571" s="3611" t="s">
        <v>5057</v>
      </c>
      <c r="D571" s="3611"/>
      <c r="E571" s="3257" t="s">
        <v>4717</v>
      </c>
      <c r="F571" s="3257">
        <v>39.090000000000003</v>
      </c>
      <c r="G571" s="3255" t="s">
        <v>5056</v>
      </c>
    </row>
    <row r="572" spans="1:7">
      <c r="A572" s="3254">
        <v>570</v>
      </c>
      <c r="B572" s="3618"/>
      <c r="C572" s="3611" t="s">
        <v>5057</v>
      </c>
      <c r="D572" s="3611"/>
      <c r="E572" s="3257" t="s">
        <v>4718</v>
      </c>
      <c r="F572" s="3257">
        <v>39.090000000000003</v>
      </c>
      <c r="G572" s="3255" t="s">
        <v>5056</v>
      </c>
    </row>
    <row r="573" spans="1:7">
      <c r="A573" s="3254">
        <v>571</v>
      </c>
      <c r="B573" s="3618"/>
      <c r="C573" s="3611" t="s">
        <v>5057</v>
      </c>
      <c r="D573" s="3611"/>
      <c r="E573" s="3257" t="s">
        <v>4719</v>
      </c>
      <c r="F573" s="3257">
        <v>39.090000000000003</v>
      </c>
      <c r="G573" s="3255" t="s">
        <v>5056</v>
      </c>
    </row>
    <row r="574" spans="1:7">
      <c r="A574" s="3254">
        <v>572</v>
      </c>
      <c r="B574" s="3618"/>
      <c r="C574" s="3611" t="s">
        <v>5057</v>
      </c>
      <c r="D574" s="3611"/>
      <c r="E574" s="3257" t="s">
        <v>4720</v>
      </c>
      <c r="F574" s="3257">
        <v>37.520000000000003</v>
      </c>
      <c r="G574" s="3255" t="s">
        <v>5056</v>
      </c>
    </row>
    <row r="575" spans="1:7">
      <c r="A575" s="3254">
        <v>573</v>
      </c>
      <c r="B575" s="3618"/>
      <c r="C575" s="3611" t="s">
        <v>5057</v>
      </c>
      <c r="D575" s="3611"/>
      <c r="E575" s="3257" t="s">
        <v>4721</v>
      </c>
      <c r="F575" s="3257">
        <v>37.520000000000003</v>
      </c>
      <c r="G575" s="3255" t="s">
        <v>5056</v>
      </c>
    </row>
    <row r="576" spans="1:7">
      <c r="A576" s="3254">
        <v>574</v>
      </c>
      <c r="B576" s="3618"/>
      <c r="C576" s="3611" t="s">
        <v>5057</v>
      </c>
      <c r="D576" s="3611"/>
      <c r="E576" s="3257" t="s">
        <v>4722</v>
      </c>
      <c r="F576" s="3257">
        <v>37.520000000000003</v>
      </c>
      <c r="G576" s="3255" t="s">
        <v>5056</v>
      </c>
    </row>
    <row r="577" spans="1:7">
      <c r="A577" s="3254">
        <v>575</v>
      </c>
      <c r="B577" s="3618"/>
      <c r="C577" s="3611" t="s">
        <v>5057</v>
      </c>
      <c r="D577" s="3611"/>
      <c r="E577" s="3257" t="s">
        <v>4723</v>
      </c>
      <c r="F577" s="3257">
        <v>37.520000000000003</v>
      </c>
      <c r="G577" s="3255" t="s">
        <v>5056</v>
      </c>
    </row>
    <row r="578" spans="1:7">
      <c r="A578" s="3254">
        <v>576</v>
      </c>
      <c r="B578" s="3618"/>
      <c r="C578" s="3611" t="s">
        <v>5057</v>
      </c>
      <c r="D578" s="3611"/>
      <c r="E578" s="3257" t="s">
        <v>4724</v>
      </c>
      <c r="F578" s="3257">
        <v>37.520000000000003</v>
      </c>
      <c r="G578" s="3255" t="s">
        <v>5056</v>
      </c>
    </row>
    <row r="579" spans="1:7">
      <c r="A579" s="3254">
        <v>577</v>
      </c>
      <c r="B579" s="3618"/>
      <c r="C579" s="3611" t="s">
        <v>5057</v>
      </c>
      <c r="D579" s="3611"/>
      <c r="E579" s="3257" t="s">
        <v>4725</v>
      </c>
      <c r="F579" s="3257">
        <v>37.520000000000003</v>
      </c>
      <c r="G579" s="3255" t="s">
        <v>5056</v>
      </c>
    </row>
    <row r="580" spans="1:7">
      <c r="A580" s="3254">
        <v>578</v>
      </c>
      <c r="B580" s="3618"/>
      <c r="C580" s="3611" t="s">
        <v>5057</v>
      </c>
      <c r="D580" s="3611"/>
      <c r="E580" s="3257" t="s">
        <v>4726</v>
      </c>
      <c r="F580" s="3257">
        <v>37.520000000000003</v>
      </c>
      <c r="G580" s="3255" t="s">
        <v>5056</v>
      </c>
    </row>
    <row r="581" spans="1:7">
      <c r="A581" s="3254">
        <v>579</v>
      </c>
      <c r="B581" s="3618"/>
      <c r="C581" s="3611" t="s">
        <v>5057</v>
      </c>
      <c r="D581" s="3611"/>
      <c r="E581" s="3257" t="s">
        <v>4727</v>
      </c>
      <c r="F581" s="3257">
        <v>37.520000000000003</v>
      </c>
      <c r="G581" s="3255" t="s">
        <v>5056</v>
      </c>
    </row>
    <row r="582" spans="1:7">
      <c r="A582" s="3254">
        <v>580</v>
      </c>
      <c r="B582" s="3618"/>
      <c r="C582" s="3611" t="s">
        <v>5057</v>
      </c>
      <c r="D582" s="3611"/>
      <c r="E582" s="3257" t="s">
        <v>4728</v>
      </c>
      <c r="F582" s="3257">
        <v>37.520000000000003</v>
      </c>
      <c r="G582" s="3255" t="s">
        <v>5056</v>
      </c>
    </row>
    <row r="583" spans="1:7">
      <c r="A583" s="3254">
        <v>581</v>
      </c>
      <c r="B583" s="3618"/>
      <c r="C583" s="3611" t="s">
        <v>5057</v>
      </c>
      <c r="D583" s="3611"/>
      <c r="E583" s="3257" t="s">
        <v>4729</v>
      </c>
      <c r="F583" s="3257">
        <v>37.520000000000003</v>
      </c>
      <c r="G583" s="3255" t="s">
        <v>5056</v>
      </c>
    </row>
    <row r="584" spans="1:7">
      <c r="A584" s="3254">
        <v>582</v>
      </c>
      <c r="B584" s="3618"/>
      <c r="C584" s="3611" t="s">
        <v>5057</v>
      </c>
      <c r="D584" s="3611"/>
      <c r="E584" s="3257" t="s">
        <v>4730</v>
      </c>
      <c r="F584" s="3257">
        <v>37.520000000000003</v>
      </c>
      <c r="G584" s="3255" t="s">
        <v>5056</v>
      </c>
    </row>
    <row r="585" spans="1:7">
      <c r="A585" s="3254">
        <v>583</v>
      </c>
      <c r="B585" s="3618"/>
      <c r="C585" s="3611" t="s">
        <v>5057</v>
      </c>
      <c r="D585" s="3611"/>
      <c r="E585" s="3257" t="s">
        <v>4731</v>
      </c>
      <c r="F585" s="3257">
        <v>37.520000000000003</v>
      </c>
      <c r="G585" s="3255" t="s">
        <v>5056</v>
      </c>
    </row>
    <row r="586" spans="1:7">
      <c r="A586" s="3254">
        <v>584</v>
      </c>
      <c r="B586" s="3618"/>
      <c r="C586" s="3611" t="s">
        <v>5057</v>
      </c>
      <c r="D586" s="3611"/>
      <c r="E586" s="3257" t="s">
        <v>4732</v>
      </c>
      <c r="F586" s="3257">
        <v>37.520000000000003</v>
      </c>
      <c r="G586" s="3255" t="s">
        <v>5056</v>
      </c>
    </row>
    <row r="587" spans="1:7">
      <c r="A587" s="3254">
        <v>585</v>
      </c>
      <c r="B587" s="3618"/>
      <c r="C587" s="3611" t="s">
        <v>5057</v>
      </c>
      <c r="D587" s="3611"/>
      <c r="E587" s="3257" t="s">
        <v>4733</v>
      </c>
      <c r="F587" s="3257">
        <v>37.520000000000003</v>
      </c>
      <c r="G587" s="3255" t="s">
        <v>5056</v>
      </c>
    </row>
    <row r="588" spans="1:7">
      <c r="A588" s="3254">
        <v>586</v>
      </c>
      <c r="B588" s="3618"/>
      <c r="C588" s="3611" t="s">
        <v>5057</v>
      </c>
      <c r="D588" s="3611"/>
      <c r="E588" s="3257" t="s">
        <v>4734</v>
      </c>
      <c r="F588" s="3257">
        <v>37.520000000000003</v>
      </c>
      <c r="G588" s="3255" t="s">
        <v>5056</v>
      </c>
    </row>
    <row r="589" spans="1:7">
      <c r="A589" s="3254">
        <v>587</v>
      </c>
      <c r="B589" s="3618"/>
      <c r="C589" s="3611" t="s">
        <v>5057</v>
      </c>
      <c r="D589" s="3611"/>
      <c r="E589" s="3257" t="s">
        <v>4735</v>
      </c>
      <c r="F589" s="3257">
        <v>37.520000000000003</v>
      </c>
      <c r="G589" s="3255" t="s">
        <v>5056</v>
      </c>
    </row>
    <row r="590" spans="1:7">
      <c r="A590" s="3254">
        <v>588</v>
      </c>
      <c r="B590" s="3618"/>
      <c r="C590" s="3611" t="s">
        <v>5057</v>
      </c>
      <c r="D590" s="3611"/>
      <c r="E590" s="3257" t="s">
        <v>4736</v>
      </c>
      <c r="F590" s="3257">
        <v>37.520000000000003</v>
      </c>
      <c r="G590" s="3255" t="s">
        <v>5056</v>
      </c>
    </row>
    <row r="591" spans="1:7">
      <c r="A591" s="3254">
        <v>589</v>
      </c>
      <c r="B591" s="3618"/>
      <c r="C591" s="3611" t="s">
        <v>5057</v>
      </c>
      <c r="D591" s="3611"/>
      <c r="E591" s="3257" t="s">
        <v>4737</v>
      </c>
      <c r="F591" s="3257">
        <v>37.520000000000003</v>
      </c>
      <c r="G591" s="3255" t="s">
        <v>5056</v>
      </c>
    </row>
    <row r="592" spans="1:7">
      <c r="A592" s="3254">
        <v>590</v>
      </c>
      <c r="B592" s="3618"/>
      <c r="C592" s="3611" t="s">
        <v>5057</v>
      </c>
      <c r="D592" s="3611"/>
      <c r="E592" s="3257" t="s">
        <v>4738</v>
      </c>
      <c r="F592" s="3257">
        <v>37.520000000000003</v>
      </c>
      <c r="G592" s="3255" t="s">
        <v>5056</v>
      </c>
    </row>
    <row r="593" spans="1:7">
      <c r="A593" s="3254">
        <v>591</v>
      </c>
      <c r="B593" s="3618"/>
      <c r="C593" s="3611" t="s">
        <v>5057</v>
      </c>
      <c r="D593" s="3611"/>
      <c r="E593" s="3257" t="s">
        <v>4739</v>
      </c>
      <c r="F593" s="3257">
        <v>37.520000000000003</v>
      </c>
      <c r="G593" s="3255" t="s">
        <v>5056</v>
      </c>
    </row>
    <row r="594" spans="1:7">
      <c r="A594" s="3254">
        <v>592</v>
      </c>
      <c r="B594" s="3618"/>
      <c r="C594" s="3611" t="s">
        <v>5057</v>
      </c>
      <c r="D594" s="3611"/>
      <c r="E594" s="3257" t="s">
        <v>4740</v>
      </c>
      <c r="F594" s="3257">
        <v>37.520000000000003</v>
      </c>
      <c r="G594" s="3255" t="s">
        <v>5056</v>
      </c>
    </row>
    <row r="595" spans="1:7">
      <c r="A595" s="3254">
        <v>593</v>
      </c>
      <c r="B595" s="3618"/>
      <c r="C595" s="3611" t="s">
        <v>5057</v>
      </c>
      <c r="D595" s="3611"/>
      <c r="E595" s="3257" t="s">
        <v>4741</v>
      </c>
      <c r="F595" s="3257">
        <v>37.520000000000003</v>
      </c>
      <c r="G595" s="3255" t="s">
        <v>5056</v>
      </c>
    </row>
    <row r="596" spans="1:7">
      <c r="A596" s="3254">
        <v>594</v>
      </c>
      <c r="B596" s="3618"/>
      <c r="C596" s="3611" t="s">
        <v>5057</v>
      </c>
      <c r="D596" s="3611"/>
      <c r="E596" s="3257" t="s">
        <v>4742</v>
      </c>
      <c r="F596" s="3257">
        <v>37.520000000000003</v>
      </c>
      <c r="G596" s="3255" t="s">
        <v>5056</v>
      </c>
    </row>
    <row r="597" spans="1:7">
      <c r="A597" s="3254">
        <v>595</v>
      </c>
      <c r="B597" s="3618"/>
      <c r="C597" s="3611" t="s">
        <v>5057</v>
      </c>
      <c r="D597" s="3611"/>
      <c r="E597" s="3257" t="s">
        <v>4743</v>
      </c>
      <c r="F597" s="3257">
        <v>37.520000000000003</v>
      </c>
      <c r="G597" s="3255" t="s">
        <v>5056</v>
      </c>
    </row>
    <row r="598" spans="1:7">
      <c r="A598" s="3254">
        <v>596</v>
      </c>
      <c r="B598" s="3618"/>
      <c r="C598" s="3611" t="s">
        <v>5057</v>
      </c>
      <c r="D598" s="3611"/>
      <c r="E598" s="3257" t="s">
        <v>4744</v>
      </c>
      <c r="F598" s="3257">
        <v>37.520000000000003</v>
      </c>
      <c r="G598" s="3255" t="s">
        <v>5056</v>
      </c>
    </row>
    <row r="599" spans="1:7">
      <c r="A599" s="3254">
        <v>597</v>
      </c>
      <c r="B599" s="3618"/>
      <c r="C599" s="3611" t="s">
        <v>5057</v>
      </c>
      <c r="D599" s="3611"/>
      <c r="E599" s="3257" t="s">
        <v>4745</v>
      </c>
      <c r="F599" s="3257">
        <v>37.520000000000003</v>
      </c>
      <c r="G599" s="3255" t="s">
        <v>5056</v>
      </c>
    </row>
    <row r="600" spans="1:7">
      <c r="A600" s="3254">
        <v>598</v>
      </c>
      <c r="B600" s="3618"/>
      <c r="C600" s="3611" t="s">
        <v>5057</v>
      </c>
      <c r="D600" s="3611"/>
      <c r="E600" s="3257" t="s">
        <v>4746</v>
      </c>
      <c r="F600" s="3257">
        <v>37.520000000000003</v>
      </c>
      <c r="G600" s="3255" t="s">
        <v>5056</v>
      </c>
    </row>
    <row r="601" spans="1:7">
      <c r="A601" s="3254">
        <v>599</v>
      </c>
      <c r="B601" s="3618"/>
      <c r="C601" s="3611" t="s">
        <v>5057</v>
      </c>
      <c r="D601" s="3611"/>
      <c r="E601" s="3257" t="s">
        <v>4747</v>
      </c>
      <c r="F601" s="3257">
        <v>37.520000000000003</v>
      </c>
      <c r="G601" s="3255" t="s">
        <v>5056</v>
      </c>
    </row>
    <row r="602" spans="1:7">
      <c r="A602" s="3254">
        <v>600</v>
      </c>
      <c r="B602" s="3618"/>
      <c r="C602" s="3611" t="s">
        <v>5057</v>
      </c>
      <c r="D602" s="3611"/>
      <c r="E602" s="3257" t="s">
        <v>4748</v>
      </c>
      <c r="F602" s="3257">
        <v>37.520000000000003</v>
      </c>
      <c r="G602" s="3255" t="s">
        <v>5056</v>
      </c>
    </row>
    <row r="603" spans="1:7">
      <c r="A603" s="3254">
        <v>601</v>
      </c>
      <c r="B603" s="3618"/>
      <c r="C603" s="3611" t="s">
        <v>5057</v>
      </c>
      <c r="D603" s="3611"/>
      <c r="E603" s="3257" t="s">
        <v>4749</v>
      </c>
      <c r="F603" s="3257">
        <v>37.520000000000003</v>
      </c>
      <c r="G603" s="3255" t="s">
        <v>5056</v>
      </c>
    </row>
    <row r="604" spans="1:7">
      <c r="A604" s="3254">
        <v>602</v>
      </c>
      <c r="B604" s="3618"/>
      <c r="C604" s="3611" t="s">
        <v>5057</v>
      </c>
      <c r="D604" s="3611"/>
      <c r="E604" s="3257" t="s">
        <v>4750</v>
      </c>
      <c r="F604" s="3257">
        <v>37.520000000000003</v>
      </c>
      <c r="G604" s="3255" t="s">
        <v>5056</v>
      </c>
    </row>
    <row r="605" spans="1:7">
      <c r="A605" s="3254">
        <v>603</v>
      </c>
      <c r="B605" s="3618"/>
      <c r="C605" s="3611" t="s">
        <v>5057</v>
      </c>
      <c r="D605" s="3611"/>
      <c r="E605" s="3257" t="s">
        <v>4751</v>
      </c>
      <c r="F605" s="3257">
        <v>37.520000000000003</v>
      </c>
      <c r="G605" s="3255" t="s">
        <v>5056</v>
      </c>
    </row>
    <row r="606" spans="1:7">
      <c r="A606" s="3254">
        <v>604</v>
      </c>
      <c r="B606" s="3618"/>
      <c r="C606" s="3611" t="s">
        <v>5057</v>
      </c>
      <c r="D606" s="3611"/>
      <c r="E606" s="3257" t="s">
        <v>4752</v>
      </c>
      <c r="F606" s="3257">
        <v>37.520000000000003</v>
      </c>
      <c r="G606" s="3255" t="s">
        <v>5056</v>
      </c>
    </row>
    <row r="607" spans="1:7">
      <c r="A607" s="3254">
        <v>605</v>
      </c>
      <c r="B607" s="3618"/>
      <c r="C607" s="3611" t="s">
        <v>5057</v>
      </c>
      <c r="D607" s="3611"/>
      <c r="E607" s="3257" t="s">
        <v>4753</v>
      </c>
      <c r="F607" s="3257">
        <v>37.520000000000003</v>
      </c>
      <c r="G607" s="3255" t="s">
        <v>5056</v>
      </c>
    </row>
    <row r="608" spans="1:7">
      <c r="A608" s="3254">
        <v>606</v>
      </c>
      <c r="B608" s="3618"/>
      <c r="C608" s="3611" t="s">
        <v>5057</v>
      </c>
      <c r="D608" s="3611"/>
      <c r="E608" s="3257" t="s">
        <v>4754</v>
      </c>
      <c r="F608" s="3257">
        <v>37.520000000000003</v>
      </c>
      <c r="G608" s="3255" t="s">
        <v>5056</v>
      </c>
    </row>
    <row r="609" spans="1:7">
      <c r="A609" s="3254">
        <v>607</v>
      </c>
      <c r="B609" s="3618"/>
      <c r="C609" s="3611" t="s">
        <v>5057</v>
      </c>
      <c r="D609" s="3611"/>
      <c r="E609" s="3257" t="s">
        <v>4755</v>
      </c>
      <c r="F609" s="3257">
        <v>37.520000000000003</v>
      </c>
      <c r="G609" s="3255" t="s">
        <v>5056</v>
      </c>
    </row>
    <row r="610" spans="1:7">
      <c r="A610" s="3254">
        <v>608</v>
      </c>
      <c r="B610" s="3618"/>
      <c r="C610" s="3611" t="s">
        <v>5057</v>
      </c>
      <c r="D610" s="3611"/>
      <c r="E610" s="3257" t="s">
        <v>4756</v>
      </c>
      <c r="F610" s="3257">
        <v>37.520000000000003</v>
      </c>
      <c r="G610" s="3255" t="s">
        <v>5056</v>
      </c>
    </row>
    <row r="611" spans="1:7">
      <c r="A611" s="3254">
        <v>609</v>
      </c>
      <c r="B611" s="3618"/>
      <c r="C611" s="3611" t="s">
        <v>5057</v>
      </c>
      <c r="D611" s="3611"/>
      <c r="E611" s="3257" t="s">
        <v>4757</v>
      </c>
      <c r="F611" s="3257">
        <v>37.520000000000003</v>
      </c>
      <c r="G611" s="3255" t="s">
        <v>5056</v>
      </c>
    </row>
    <row r="612" spans="1:7">
      <c r="A612" s="3254">
        <v>610</v>
      </c>
      <c r="B612" s="3618"/>
      <c r="C612" s="3611" t="s">
        <v>5057</v>
      </c>
      <c r="D612" s="3611"/>
      <c r="E612" s="3257" t="s">
        <v>4758</v>
      </c>
      <c r="F612" s="3257">
        <v>37.520000000000003</v>
      </c>
      <c r="G612" s="3255" t="s">
        <v>5056</v>
      </c>
    </row>
    <row r="613" spans="1:7">
      <c r="A613" s="3254">
        <v>611</v>
      </c>
      <c r="B613" s="3618"/>
      <c r="C613" s="3611" t="s">
        <v>5057</v>
      </c>
      <c r="D613" s="3611"/>
      <c r="E613" s="3257" t="s">
        <v>4759</v>
      </c>
      <c r="F613" s="3257">
        <v>37.520000000000003</v>
      </c>
      <c r="G613" s="3255" t="s">
        <v>5056</v>
      </c>
    </row>
    <row r="614" spans="1:7">
      <c r="A614" s="3254">
        <v>612</v>
      </c>
      <c r="B614" s="3618"/>
      <c r="C614" s="3611" t="s">
        <v>5057</v>
      </c>
      <c r="D614" s="3611"/>
      <c r="E614" s="3257" t="s">
        <v>4760</v>
      </c>
      <c r="F614" s="3257">
        <v>37.520000000000003</v>
      </c>
      <c r="G614" s="3255" t="s">
        <v>5056</v>
      </c>
    </row>
    <row r="615" spans="1:7">
      <c r="A615" s="3254">
        <v>613</v>
      </c>
      <c r="B615" s="3618"/>
      <c r="C615" s="3611" t="s">
        <v>5057</v>
      </c>
      <c r="D615" s="3611"/>
      <c r="E615" s="3257" t="s">
        <v>4761</v>
      </c>
      <c r="F615" s="3257">
        <v>37.520000000000003</v>
      </c>
      <c r="G615" s="3255" t="s">
        <v>5056</v>
      </c>
    </row>
    <row r="616" spans="1:7">
      <c r="A616" s="3254">
        <v>614</v>
      </c>
      <c r="B616" s="3618"/>
      <c r="C616" s="3611" t="s">
        <v>5057</v>
      </c>
      <c r="D616" s="3611"/>
      <c r="E616" s="3257" t="s">
        <v>4762</v>
      </c>
      <c r="F616" s="3257">
        <v>37.520000000000003</v>
      </c>
      <c r="G616" s="3255" t="s">
        <v>5056</v>
      </c>
    </row>
    <row r="617" spans="1:7">
      <c r="A617" s="3254">
        <v>615</v>
      </c>
      <c r="B617" s="3618"/>
      <c r="C617" s="3611" t="s">
        <v>5057</v>
      </c>
      <c r="D617" s="3611"/>
      <c r="E617" s="3257" t="s">
        <v>4763</v>
      </c>
      <c r="F617" s="3257">
        <v>37.520000000000003</v>
      </c>
      <c r="G617" s="3255" t="s">
        <v>5056</v>
      </c>
    </row>
    <row r="618" spans="1:7">
      <c r="A618" s="3254">
        <v>616</v>
      </c>
      <c r="B618" s="3618"/>
      <c r="C618" s="3611" t="s">
        <v>5057</v>
      </c>
      <c r="D618" s="3611"/>
      <c r="E618" s="3257" t="s">
        <v>4764</v>
      </c>
      <c r="F618" s="3257">
        <v>37.520000000000003</v>
      </c>
      <c r="G618" s="3255" t="s">
        <v>5056</v>
      </c>
    </row>
    <row r="619" spans="1:7">
      <c r="A619" s="3254">
        <v>617</v>
      </c>
      <c r="B619" s="3618"/>
      <c r="C619" s="3611" t="s">
        <v>5057</v>
      </c>
      <c r="D619" s="3611"/>
      <c r="E619" s="3257" t="s">
        <v>4765</v>
      </c>
      <c r="F619" s="3257">
        <v>37.520000000000003</v>
      </c>
      <c r="G619" s="3255" t="s">
        <v>5056</v>
      </c>
    </row>
    <row r="620" spans="1:7">
      <c r="A620" s="3254">
        <v>618</v>
      </c>
      <c r="B620" s="3618"/>
      <c r="C620" s="3611" t="s">
        <v>5057</v>
      </c>
      <c r="D620" s="3611"/>
      <c r="E620" s="3257" t="s">
        <v>4766</v>
      </c>
      <c r="F620" s="3257">
        <v>37.520000000000003</v>
      </c>
      <c r="G620" s="3255" t="s">
        <v>5056</v>
      </c>
    </row>
    <row r="621" spans="1:7">
      <c r="A621" s="3254">
        <v>619</v>
      </c>
      <c r="B621" s="3618"/>
      <c r="C621" s="3611" t="s">
        <v>5057</v>
      </c>
      <c r="D621" s="3611"/>
      <c r="E621" s="3257" t="s">
        <v>4767</v>
      </c>
      <c r="F621" s="3257">
        <v>37.520000000000003</v>
      </c>
      <c r="G621" s="3255" t="s">
        <v>5056</v>
      </c>
    </row>
    <row r="622" spans="1:7">
      <c r="A622" s="3254">
        <v>620</v>
      </c>
      <c r="B622" s="3618"/>
      <c r="C622" s="3611" t="s">
        <v>5057</v>
      </c>
      <c r="D622" s="3611"/>
      <c r="E622" s="3257" t="s">
        <v>4768</v>
      </c>
      <c r="F622" s="3257">
        <v>37.520000000000003</v>
      </c>
      <c r="G622" s="3255" t="s">
        <v>5056</v>
      </c>
    </row>
    <row r="623" spans="1:7">
      <c r="A623" s="3254">
        <v>621</v>
      </c>
      <c r="B623" s="3618"/>
      <c r="C623" s="3611" t="s">
        <v>5057</v>
      </c>
      <c r="D623" s="3611"/>
      <c r="E623" s="3257" t="s">
        <v>4769</v>
      </c>
      <c r="F623" s="3257">
        <v>37.520000000000003</v>
      </c>
      <c r="G623" s="3255" t="s">
        <v>5056</v>
      </c>
    </row>
    <row r="624" spans="1:7">
      <c r="A624" s="3254">
        <v>622</v>
      </c>
      <c r="B624" s="3618"/>
      <c r="C624" s="3611" t="s">
        <v>5057</v>
      </c>
      <c r="D624" s="3611"/>
      <c r="E624" s="3257" t="s">
        <v>4770</v>
      </c>
      <c r="F624" s="3257">
        <v>37.520000000000003</v>
      </c>
      <c r="G624" s="3255" t="s">
        <v>5056</v>
      </c>
    </row>
    <row r="625" spans="1:7">
      <c r="A625" s="3254">
        <v>623</v>
      </c>
      <c r="B625" s="3618"/>
      <c r="C625" s="3611" t="s">
        <v>5057</v>
      </c>
      <c r="D625" s="3611"/>
      <c r="E625" s="3257" t="s">
        <v>4771</v>
      </c>
      <c r="F625" s="3257">
        <v>37.520000000000003</v>
      </c>
      <c r="G625" s="3255" t="s">
        <v>5056</v>
      </c>
    </row>
    <row r="626" spans="1:7">
      <c r="A626" s="3254">
        <v>624</v>
      </c>
      <c r="B626" s="3618"/>
      <c r="C626" s="3611" t="s">
        <v>5057</v>
      </c>
      <c r="D626" s="3611"/>
      <c r="E626" s="3257" t="s">
        <v>4772</v>
      </c>
      <c r="F626" s="3257">
        <v>37.520000000000003</v>
      </c>
      <c r="G626" s="3255" t="s">
        <v>5056</v>
      </c>
    </row>
    <row r="627" spans="1:7">
      <c r="A627" s="3254">
        <v>625</v>
      </c>
      <c r="B627" s="3618"/>
      <c r="C627" s="3611" t="s">
        <v>5057</v>
      </c>
      <c r="D627" s="3611"/>
      <c r="E627" s="3257" t="s">
        <v>4773</v>
      </c>
      <c r="F627" s="3257">
        <v>37.520000000000003</v>
      </c>
      <c r="G627" s="3255" t="s">
        <v>5056</v>
      </c>
    </row>
    <row r="628" spans="1:7">
      <c r="A628" s="3254">
        <v>626</v>
      </c>
      <c r="B628" s="3618"/>
      <c r="C628" s="3611" t="s">
        <v>5057</v>
      </c>
      <c r="D628" s="3611"/>
      <c r="E628" s="3257" t="s">
        <v>4774</v>
      </c>
      <c r="F628" s="3257">
        <v>37.520000000000003</v>
      </c>
      <c r="G628" s="3255" t="s">
        <v>5056</v>
      </c>
    </row>
    <row r="629" spans="1:7">
      <c r="A629" s="3254">
        <v>627</v>
      </c>
      <c r="B629" s="3618"/>
      <c r="C629" s="3611" t="s">
        <v>5057</v>
      </c>
      <c r="D629" s="3611"/>
      <c r="E629" s="3257" t="s">
        <v>4775</v>
      </c>
      <c r="F629" s="3257">
        <v>37.520000000000003</v>
      </c>
      <c r="G629" s="3255" t="s">
        <v>5056</v>
      </c>
    </row>
    <row r="630" spans="1:7">
      <c r="A630" s="3254">
        <v>628</v>
      </c>
      <c r="B630" s="3618"/>
      <c r="C630" s="3611" t="s">
        <v>5057</v>
      </c>
      <c r="D630" s="3611"/>
      <c r="E630" s="3257" t="s">
        <v>4776</v>
      </c>
      <c r="F630" s="3257">
        <v>37.520000000000003</v>
      </c>
      <c r="G630" s="3255" t="s">
        <v>5056</v>
      </c>
    </row>
    <row r="631" spans="1:7">
      <c r="A631" s="3254">
        <v>629</v>
      </c>
      <c r="B631" s="3618"/>
      <c r="C631" s="3611" t="s">
        <v>5057</v>
      </c>
      <c r="D631" s="3611"/>
      <c r="E631" s="3257" t="s">
        <v>4777</v>
      </c>
      <c r="F631" s="3257">
        <v>37.520000000000003</v>
      </c>
      <c r="G631" s="3255" t="s">
        <v>5056</v>
      </c>
    </row>
    <row r="632" spans="1:7">
      <c r="A632" s="3254">
        <v>630</v>
      </c>
      <c r="B632" s="3618"/>
      <c r="C632" s="3611" t="s">
        <v>5057</v>
      </c>
      <c r="D632" s="3611"/>
      <c r="E632" s="3257" t="s">
        <v>4778</v>
      </c>
      <c r="F632" s="3257">
        <v>37.520000000000003</v>
      </c>
      <c r="G632" s="3255" t="s">
        <v>5056</v>
      </c>
    </row>
    <row r="633" spans="1:7">
      <c r="A633" s="3254">
        <v>631</v>
      </c>
      <c r="B633" s="3618"/>
      <c r="C633" s="3611" t="s">
        <v>5057</v>
      </c>
      <c r="D633" s="3611"/>
      <c r="E633" s="3257" t="s">
        <v>4779</v>
      </c>
      <c r="F633" s="3257">
        <v>37.520000000000003</v>
      </c>
      <c r="G633" s="3255" t="s">
        <v>5056</v>
      </c>
    </row>
    <row r="634" spans="1:7">
      <c r="A634" s="3254">
        <v>632</v>
      </c>
      <c r="B634" s="3618"/>
      <c r="C634" s="3611" t="s">
        <v>5057</v>
      </c>
      <c r="D634" s="3611"/>
      <c r="E634" s="3257" t="s">
        <v>4780</v>
      </c>
      <c r="F634" s="3257">
        <v>37.520000000000003</v>
      </c>
      <c r="G634" s="3255" t="s">
        <v>5056</v>
      </c>
    </row>
    <row r="635" spans="1:7">
      <c r="A635" s="3254">
        <v>633</v>
      </c>
      <c r="B635" s="3618"/>
      <c r="C635" s="3611" t="s">
        <v>5057</v>
      </c>
      <c r="D635" s="3611"/>
      <c r="E635" s="3257" t="s">
        <v>4781</v>
      </c>
      <c r="F635" s="3257">
        <v>37.520000000000003</v>
      </c>
      <c r="G635" s="3255" t="s">
        <v>5056</v>
      </c>
    </row>
    <row r="636" spans="1:7">
      <c r="A636" s="3254">
        <v>634</v>
      </c>
      <c r="B636" s="3618"/>
      <c r="C636" s="3611" t="s">
        <v>5057</v>
      </c>
      <c r="D636" s="3611"/>
      <c r="E636" s="3257" t="s">
        <v>4782</v>
      </c>
      <c r="F636" s="3257">
        <v>37.520000000000003</v>
      </c>
      <c r="G636" s="3255" t="s">
        <v>5056</v>
      </c>
    </row>
    <row r="637" spans="1:7">
      <c r="A637" s="3254">
        <v>635</v>
      </c>
      <c r="B637" s="3618"/>
      <c r="C637" s="3611" t="s">
        <v>5057</v>
      </c>
      <c r="D637" s="3611"/>
      <c r="E637" s="3257" t="s">
        <v>4783</v>
      </c>
      <c r="F637" s="3257">
        <v>37.520000000000003</v>
      </c>
      <c r="G637" s="3255" t="s">
        <v>5056</v>
      </c>
    </row>
    <row r="638" spans="1:7">
      <c r="A638" s="3254">
        <v>636</v>
      </c>
      <c r="B638" s="3618"/>
      <c r="C638" s="3611" t="s">
        <v>5057</v>
      </c>
      <c r="D638" s="3611"/>
      <c r="E638" s="3257" t="s">
        <v>4784</v>
      </c>
      <c r="F638" s="3257">
        <v>39.090000000000003</v>
      </c>
      <c r="G638" s="3255" t="s">
        <v>5056</v>
      </c>
    </row>
    <row r="639" spans="1:7">
      <c r="A639" s="3254">
        <v>637</v>
      </c>
      <c r="B639" s="3618"/>
      <c r="C639" s="3611" t="s">
        <v>5057</v>
      </c>
      <c r="D639" s="3611"/>
      <c r="E639" s="3257" t="s">
        <v>4785</v>
      </c>
      <c r="F639" s="3257">
        <v>39.090000000000003</v>
      </c>
      <c r="G639" s="3255" t="s">
        <v>5056</v>
      </c>
    </row>
    <row r="640" spans="1:7">
      <c r="A640" s="3254">
        <v>638</v>
      </c>
      <c r="B640" s="3618"/>
      <c r="C640" s="3611" t="s">
        <v>5057</v>
      </c>
      <c r="D640" s="3611"/>
      <c r="E640" s="3257" t="s">
        <v>4786</v>
      </c>
      <c r="F640" s="3257">
        <v>39.090000000000003</v>
      </c>
      <c r="G640" s="3255" t="s">
        <v>5056</v>
      </c>
    </row>
    <row r="641" spans="1:7">
      <c r="A641" s="3254">
        <v>639</v>
      </c>
      <c r="B641" s="3618"/>
      <c r="C641" s="3611" t="s">
        <v>5057</v>
      </c>
      <c r="D641" s="3611"/>
      <c r="E641" s="3257" t="s">
        <v>4787</v>
      </c>
      <c r="F641" s="3257">
        <v>37.520000000000003</v>
      </c>
      <c r="G641" s="3255" t="s">
        <v>5056</v>
      </c>
    </row>
    <row r="642" spans="1:7">
      <c r="A642" s="3254">
        <v>640</v>
      </c>
      <c r="B642" s="3618"/>
      <c r="C642" s="3611" t="s">
        <v>5057</v>
      </c>
      <c r="D642" s="3611"/>
      <c r="E642" s="3257" t="s">
        <v>4788</v>
      </c>
      <c r="F642" s="3257">
        <v>36.020000000000003</v>
      </c>
      <c r="G642" s="3255" t="s">
        <v>5056</v>
      </c>
    </row>
    <row r="643" spans="1:7">
      <c r="A643" s="3254">
        <v>641</v>
      </c>
      <c r="B643" s="3618"/>
      <c r="C643" s="3611" t="s">
        <v>5057</v>
      </c>
      <c r="D643" s="3611"/>
      <c r="E643" s="3257" t="s">
        <v>4789</v>
      </c>
      <c r="F643" s="3257">
        <v>36.020000000000003</v>
      </c>
      <c r="G643" s="3255" t="s">
        <v>5056</v>
      </c>
    </row>
    <row r="644" spans="1:7">
      <c r="A644" s="3254">
        <v>642</v>
      </c>
      <c r="B644" s="3618"/>
      <c r="C644" s="3611" t="s">
        <v>5057</v>
      </c>
      <c r="D644" s="3611"/>
      <c r="E644" s="3257" t="s">
        <v>4790</v>
      </c>
      <c r="F644" s="3257">
        <v>36.020000000000003</v>
      </c>
      <c r="G644" s="3255" t="s">
        <v>5056</v>
      </c>
    </row>
    <row r="645" spans="1:7">
      <c r="A645" s="3254">
        <v>643</v>
      </c>
      <c r="B645" s="3618"/>
      <c r="C645" s="3611" t="s">
        <v>5057</v>
      </c>
      <c r="D645" s="3611"/>
      <c r="E645" s="3257" t="s">
        <v>4791</v>
      </c>
      <c r="F645" s="3257">
        <v>36.020000000000003</v>
      </c>
      <c r="G645" s="3255" t="s">
        <v>5056</v>
      </c>
    </row>
    <row r="646" spans="1:7">
      <c r="A646" s="3254">
        <v>644</v>
      </c>
      <c r="B646" s="3618"/>
      <c r="C646" s="3611" t="s">
        <v>5057</v>
      </c>
      <c r="D646" s="3611"/>
      <c r="E646" s="3257" t="s">
        <v>4792</v>
      </c>
      <c r="F646" s="3257">
        <v>36.020000000000003</v>
      </c>
      <c r="G646" s="3255" t="s">
        <v>5056</v>
      </c>
    </row>
    <row r="647" spans="1:7">
      <c r="A647" s="3254">
        <v>645</v>
      </c>
      <c r="B647" s="3618"/>
      <c r="C647" s="3611" t="s">
        <v>5057</v>
      </c>
      <c r="D647" s="3611"/>
      <c r="E647" s="3257" t="s">
        <v>4793</v>
      </c>
      <c r="F647" s="3257">
        <v>36.020000000000003</v>
      </c>
      <c r="G647" s="3255" t="s">
        <v>5056</v>
      </c>
    </row>
    <row r="648" spans="1:7">
      <c r="A648" s="3254">
        <v>646</v>
      </c>
      <c r="B648" s="3618"/>
      <c r="C648" s="3611" t="s">
        <v>5057</v>
      </c>
      <c r="D648" s="3611"/>
      <c r="E648" s="3257" t="s">
        <v>4794</v>
      </c>
      <c r="F648" s="3257">
        <v>36.020000000000003</v>
      </c>
      <c r="G648" s="3255" t="s">
        <v>5056</v>
      </c>
    </row>
    <row r="649" spans="1:7">
      <c r="A649" s="3254">
        <v>647</v>
      </c>
      <c r="B649" s="3618"/>
      <c r="C649" s="3611" t="s">
        <v>5057</v>
      </c>
      <c r="D649" s="3611"/>
      <c r="E649" s="3257" t="s">
        <v>4795</v>
      </c>
      <c r="F649" s="3257">
        <v>36.020000000000003</v>
      </c>
      <c r="G649" s="3255" t="s">
        <v>5056</v>
      </c>
    </row>
    <row r="650" spans="1:7">
      <c r="A650" s="3254">
        <v>648</v>
      </c>
      <c r="B650" s="3618"/>
      <c r="C650" s="3611" t="s">
        <v>5057</v>
      </c>
      <c r="D650" s="3611"/>
      <c r="E650" s="3257" t="s">
        <v>4796</v>
      </c>
      <c r="F650" s="3257">
        <v>36.020000000000003</v>
      </c>
      <c r="G650" s="3255" t="s">
        <v>5056</v>
      </c>
    </row>
    <row r="651" spans="1:7">
      <c r="A651" s="3254">
        <v>649</v>
      </c>
      <c r="B651" s="3618"/>
      <c r="C651" s="3611" t="s">
        <v>5057</v>
      </c>
      <c r="D651" s="3611"/>
      <c r="E651" s="3257" t="s">
        <v>4797</v>
      </c>
      <c r="F651" s="3257">
        <v>36.020000000000003</v>
      </c>
      <c r="G651" s="3255" t="s">
        <v>5056</v>
      </c>
    </row>
    <row r="652" spans="1:7">
      <c r="A652" s="3254">
        <v>650</v>
      </c>
      <c r="B652" s="3618"/>
      <c r="C652" s="3611" t="s">
        <v>5057</v>
      </c>
      <c r="D652" s="3611"/>
      <c r="E652" s="3257" t="s">
        <v>4798</v>
      </c>
      <c r="F652" s="3257">
        <v>36.020000000000003</v>
      </c>
      <c r="G652" s="3255" t="s">
        <v>5056</v>
      </c>
    </row>
    <row r="653" spans="1:7">
      <c r="A653" s="3254">
        <v>651</v>
      </c>
      <c r="B653" s="3618"/>
      <c r="C653" s="3611" t="s">
        <v>5057</v>
      </c>
      <c r="D653" s="3611"/>
      <c r="E653" s="3257" t="s">
        <v>4799</v>
      </c>
      <c r="F653" s="3257">
        <v>36.020000000000003</v>
      </c>
      <c r="G653" s="3255" t="s">
        <v>5056</v>
      </c>
    </row>
    <row r="654" spans="1:7">
      <c r="A654" s="3254">
        <v>652</v>
      </c>
      <c r="B654" s="3618"/>
      <c r="C654" s="3611" t="s">
        <v>5057</v>
      </c>
      <c r="D654" s="3611"/>
      <c r="E654" s="3257" t="s">
        <v>4800</v>
      </c>
      <c r="F654" s="3257">
        <v>37.520000000000003</v>
      </c>
      <c r="G654" s="3255" t="s">
        <v>5056</v>
      </c>
    </row>
    <row r="655" spans="1:7">
      <c r="A655" s="3254">
        <v>653</v>
      </c>
      <c r="B655" s="3618"/>
      <c r="C655" s="3611" t="s">
        <v>5057</v>
      </c>
      <c r="D655" s="3611"/>
      <c r="E655" s="3257" t="s">
        <v>4801</v>
      </c>
      <c r="F655" s="3257">
        <v>37.520000000000003</v>
      </c>
      <c r="G655" s="3255" t="s">
        <v>5056</v>
      </c>
    </row>
    <row r="656" spans="1:7">
      <c r="A656" s="3254">
        <v>654</v>
      </c>
      <c r="B656" s="3618"/>
      <c r="C656" s="3611" t="s">
        <v>5057</v>
      </c>
      <c r="D656" s="3611"/>
      <c r="E656" s="3257" t="s">
        <v>4802</v>
      </c>
      <c r="F656" s="3257">
        <v>37.520000000000003</v>
      </c>
      <c r="G656" s="3255" t="s">
        <v>5056</v>
      </c>
    </row>
    <row r="657" spans="1:7">
      <c r="A657" s="3254">
        <v>655</v>
      </c>
      <c r="B657" s="3618"/>
      <c r="C657" s="3611" t="s">
        <v>5057</v>
      </c>
      <c r="D657" s="3611"/>
      <c r="E657" s="3257" t="s">
        <v>4803</v>
      </c>
      <c r="F657" s="3257">
        <v>42.21</v>
      </c>
      <c r="G657" s="3255" t="s">
        <v>5056</v>
      </c>
    </row>
    <row r="658" spans="1:7">
      <c r="A658" s="3254">
        <v>656</v>
      </c>
      <c r="B658" s="3618"/>
      <c r="C658" s="3611" t="s">
        <v>5057</v>
      </c>
      <c r="D658" s="3611"/>
      <c r="E658" s="3257" t="s">
        <v>4804</v>
      </c>
      <c r="F658" s="3257">
        <v>39.090000000000003</v>
      </c>
      <c r="G658" s="3255" t="s">
        <v>5056</v>
      </c>
    </row>
    <row r="659" spans="1:7">
      <c r="A659" s="3254">
        <v>657</v>
      </c>
      <c r="B659" s="3618"/>
      <c r="C659" s="3611" t="s">
        <v>5057</v>
      </c>
      <c r="D659" s="3611"/>
      <c r="E659" s="3257" t="s">
        <v>4805</v>
      </c>
      <c r="F659" s="3257">
        <v>39.090000000000003</v>
      </c>
      <c r="G659" s="3255" t="s">
        <v>5056</v>
      </c>
    </row>
    <row r="660" spans="1:7">
      <c r="A660" s="3254">
        <v>658</v>
      </c>
      <c r="B660" s="3618"/>
      <c r="C660" s="3611" t="s">
        <v>5057</v>
      </c>
      <c r="D660" s="3611"/>
      <c r="E660" s="3257" t="s">
        <v>4806</v>
      </c>
      <c r="F660" s="3257">
        <v>39.090000000000003</v>
      </c>
      <c r="G660" s="3255" t="s">
        <v>5056</v>
      </c>
    </row>
    <row r="661" spans="1:7">
      <c r="A661" s="3254">
        <v>659</v>
      </c>
      <c r="B661" s="3618"/>
      <c r="C661" s="3611" t="s">
        <v>5057</v>
      </c>
      <c r="D661" s="3611"/>
      <c r="E661" s="3257" t="s">
        <v>4807</v>
      </c>
      <c r="F661" s="3257">
        <v>37.520000000000003</v>
      </c>
      <c r="G661" s="3255" t="s">
        <v>5056</v>
      </c>
    </row>
    <row r="662" spans="1:7">
      <c r="A662" s="3254">
        <v>660</v>
      </c>
      <c r="B662" s="3618"/>
      <c r="C662" s="3611" t="s">
        <v>5057</v>
      </c>
      <c r="D662" s="3611"/>
      <c r="E662" s="3257" t="s">
        <v>4808</v>
      </c>
      <c r="F662" s="3257">
        <v>37.520000000000003</v>
      </c>
      <c r="G662" s="3255" t="s">
        <v>5056</v>
      </c>
    </row>
    <row r="663" spans="1:7">
      <c r="A663" s="3254">
        <v>661</v>
      </c>
      <c r="B663" s="3618"/>
      <c r="C663" s="3611" t="s">
        <v>5057</v>
      </c>
      <c r="D663" s="3611"/>
      <c r="E663" s="3257" t="s">
        <v>4809</v>
      </c>
      <c r="F663" s="3257">
        <v>37.520000000000003</v>
      </c>
      <c r="G663" s="3255" t="s">
        <v>5056</v>
      </c>
    </row>
    <row r="664" spans="1:7">
      <c r="A664" s="3254">
        <v>662</v>
      </c>
      <c r="B664" s="3618"/>
      <c r="C664" s="3611" t="s">
        <v>5057</v>
      </c>
      <c r="D664" s="3611"/>
      <c r="E664" s="3257" t="s">
        <v>4810</v>
      </c>
      <c r="F664" s="3257">
        <v>39.090000000000003</v>
      </c>
      <c r="G664" s="3255" t="s">
        <v>5056</v>
      </c>
    </row>
    <row r="665" spans="1:7">
      <c r="A665" s="3254">
        <v>663</v>
      </c>
      <c r="B665" s="3618"/>
      <c r="C665" s="3611" t="s">
        <v>5057</v>
      </c>
      <c r="D665" s="3611"/>
      <c r="E665" s="3257" t="s">
        <v>4811</v>
      </c>
      <c r="F665" s="3257">
        <v>39.090000000000003</v>
      </c>
      <c r="G665" s="3255" t="s">
        <v>5056</v>
      </c>
    </row>
    <row r="666" spans="1:7">
      <c r="A666" s="3254">
        <v>664</v>
      </c>
      <c r="B666" s="3618"/>
      <c r="C666" s="3611" t="s">
        <v>5057</v>
      </c>
      <c r="D666" s="3611"/>
      <c r="E666" s="3257" t="s">
        <v>4812</v>
      </c>
      <c r="F666" s="3257">
        <v>39.090000000000003</v>
      </c>
      <c r="G666" s="3255" t="s">
        <v>5056</v>
      </c>
    </row>
    <row r="667" spans="1:7">
      <c r="A667" s="3254">
        <v>665</v>
      </c>
      <c r="B667" s="3618"/>
      <c r="C667" s="3611" t="s">
        <v>5057</v>
      </c>
      <c r="D667" s="3611"/>
      <c r="E667" s="3257" t="s">
        <v>4813</v>
      </c>
      <c r="F667" s="3257">
        <v>39.090000000000003</v>
      </c>
      <c r="G667" s="3255" t="s">
        <v>5056</v>
      </c>
    </row>
    <row r="668" spans="1:7">
      <c r="A668" s="3254">
        <v>666</v>
      </c>
      <c r="B668" s="3618"/>
      <c r="C668" s="3611" t="s">
        <v>5057</v>
      </c>
      <c r="D668" s="3611"/>
      <c r="E668" s="3257" t="s">
        <v>4814</v>
      </c>
      <c r="F668" s="3257">
        <v>39.090000000000003</v>
      </c>
      <c r="G668" s="3255" t="s">
        <v>5056</v>
      </c>
    </row>
    <row r="669" spans="1:7">
      <c r="A669" s="3254">
        <v>667</v>
      </c>
      <c r="B669" s="3618"/>
      <c r="C669" s="3611" t="s">
        <v>5057</v>
      </c>
      <c r="D669" s="3611"/>
      <c r="E669" s="3257" t="s">
        <v>4815</v>
      </c>
      <c r="F669" s="3257">
        <v>37.520000000000003</v>
      </c>
      <c r="G669" s="3255" t="s">
        <v>5056</v>
      </c>
    </row>
    <row r="670" spans="1:7">
      <c r="A670" s="3254">
        <v>668</v>
      </c>
      <c r="B670" s="3618"/>
      <c r="C670" s="3611" t="s">
        <v>5057</v>
      </c>
      <c r="D670" s="3611"/>
      <c r="E670" s="3257" t="s">
        <v>4816</v>
      </c>
      <c r="F670" s="3257">
        <v>37.520000000000003</v>
      </c>
      <c r="G670" s="3255" t="s">
        <v>5056</v>
      </c>
    </row>
    <row r="671" spans="1:7">
      <c r="A671" s="3254">
        <v>669</v>
      </c>
      <c r="B671" s="3618"/>
      <c r="C671" s="3611" t="s">
        <v>5057</v>
      </c>
      <c r="D671" s="3611"/>
      <c r="E671" s="3257" t="s">
        <v>4817</v>
      </c>
      <c r="F671" s="3257">
        <v>39.090000000000003</v>
      </c>
      <c r="G671" s="3255" t="s">
        <v>5056</v>
      </c>
    </row>
    <row r="672" spans="1:7">
      <c r="A672" s="3254">
        <v>670</v>
      </c>
      <c r="B672" s="3618"/>
      <c r="C672" s="3611" t="s">
        <v>5057</v>
      </c>
      <c r="D672" s="3611"/>
      <c r="E672" s="3257" t="s">
        <v>4818</v>
      </c>
      <c r="F672" s="3257">
        <v>37.520000000000003</v>
      </c>
      <c r="G672" s="3255" t="s">
        <v>5056</v>
      </c>
    </row>
    <row r="673" spans="1:7">
      <c r="A673" s="3254">
        <v>671</v>
      </c>
      <c r="B673" s="3618"/>
      <c r="C673" s="3611" t="s">
        <v>5057</v>
      </c>
      <c r="D673" s="3611"/>
      <c r="E673" s="3257" t="s">
        <v>4819</v>
      </c>
      <c r="F673" s="3257">
        <v>37.520000000000003</v>
      </c>
      <c r="G673" s="3255" t="s">
        <v>5056</v>
      </c>
    </row>
    <row r="674" spans="1:7">
      <c r="A674" s="3254">
        <v>672</v>
      </c>
      <c r="B674" s="3618"/>
      <c r="C674" s="3611" t="s">
        <v>5057</v>
      </c>
      <c r="D674" s="3611"/>
      <c r="E674" s="3257" t="s">
        <v>4820</v>
      </c>
      <c r="F674" s="3257">
        <v>37.520000000000003</v>
      </c>
      <c r="G674" s="3255" t="s">
        <v>5056</v>
      </c>
    </row>
    <row r="675" spans="1:7">
      <c r="A675" s="3254">
        <v>673</v>
      </c>
      <c r="B675" s="3618"/>
      <c r="C675" s="3611" t="s">
        <v>5057</v>
      </c>
      <c r="D675" s="3611"/>
      <c r="E675" s="3257" t="s">
        <v>4821</v>
      </c>
      <c r="F675" s="3257">
        <v>37.520000000000003</v>
      </c>
      <c r="G675" s="3255" t="s">
        <v>5056</v>
      </c>
    </row>
    <row r="676" spans="1:7">
      <c r="A676" s="3254">
        <v>674</v>
      </c>
      <c r="B676" s="3618"/>
      <c r="C676" s="3611" t="s">
        <v>5057</v>
      </c>
      <c r="D676" s="3611"/>
      <c r="E676" s="3257" t="s">
        <v>4822</v>
      </c>
      <c r="F676" s="3257">
        <v>37.520000000000003</v>
      </c>
      <c r="G676" s="3255" t="s">
        <v>5056</v>
      </c>
    </row>
    <row r="677" spans="1:7">
      <c r="A677" s="3254">
        <v>675</v>
      </c>
      <c r="B677" s="3618"/>
      <c r="C677" s="3611" t="s">
        <v>5057</v>
      </c>
      <c r="D677" s="3611"/>
      <c r="E677" s="3257" t="s">
        <v>4823</v>
      </c>
      <c r="F677" s="3257">
        <v>37.520000000000003</v>
      </c>
      <c r="G677" s="3255" t="s">
        <v>5056</v>
      </c>
    </row>
    <row r="678" spans="1:7">
      <c r="A678" s="3254">
        <v>676</v>
      </c>
      <c r="B678" s="3618"/>
      <c r="C678" s="3611" t="s">
        <v>5057</v>
      </c>
      <c r="D678" s="3611"/>
      <c r="E678" s="3257" t="s">
        <v>4824</v>
      </c>
      <c r="F678" s="3257">
        <v>39.090000000000003</v>
      </c>
      <c r="G678" s="3255" t="s">
        <v>5056</v>
      </c>
    </row>
    <row r="679" spans="1:7">
      <c r="A679" s="3254">
        <v>677</v>
      </c>
      <c r="B679" s="3618"/>
      <c r="C679" s="3611" t="s">
        <v>5057</v>
      </c>
      <c r="D679" s="3611"/>
      <c r="E679" s="3257" t="s">
        <v>4825</v>
      </c>
      <c r="F679" s="3257">
        <v>39.090000000000003</v>
      </c>
      <c r="G679" s="3255" t="s">
        <v>5056</v>
      </c>
    </row>
    <row r="680" spans="1:7">
      <c r="A680" s="3254">
        <v>678</v>
      </c>
      <c r="B680" s="3618"/>
      <c r="C680" s="3611" t="s">
        <v>5057</v>
      </c>
      <c r="D680" s="3611"/>
      <c r="E680" s="3257" t="s">
        <v>4826</v>
      </c>
      <c r="F680" s="3257">
        <v>37.520000000000003</v>
      </c>
      <c r="G680" s="3255" t="s">
        <v>5056</v>
      </c>
    </row>
    <row r="681" spans="1:7">
      <c r="A681" s="3254">
        <v>679</v>
      </c>
      <c r="B681" s="3618"/>
      <c r="C681" s="3611" t="s">
        <v>5057</v>
      </c>
      <c r="D681" s="3611"/>
      <c r="E681" s="3257" t="s">
        <v>4827</v>
      </c>
      <c r="F681" s="3257">
        <v>37.520000000000003</v>
      </c>
      <c r="G681" s="3255" t="s">
        <v>5056</v>
      </c>
    </row>
    <row r="682" spans="1:7">
      <c r="A682" s="3254">
        <v>680</v>
      </c>
      <c r="B682" s="3618"/>
      <c r="C682" s="3611" t="s">
        <v>5057</v>
      </c>
      <c r="D682" s="3611"/>
      <c r="E682" s="3257" t="s">
        <v>4828</v>
      </c>
      <c r="F682" s="3257">
        <v>48.78</v>
      </c>
      <c r="G682" s="3255" t="s">
        <v>5056</v>
      </c>
    </row>
    <row r="683" spans="1:7">
      <c r="A683" s="3254">
        <v>681</v>
      </c>
      <c r="B683" s="3618"/>
      <c r="C683" s="3611" t="s">
        <v>5057</v>
      </c>
      <c r="D683" s="3611"/>
      <c r="E683" s="3257" t="s">
        <v>4829</v>
      </c>
      <c r="F683" s="3257">
        <v>36.020000000000003</v>
      </c>
      <c r="G683" s="3255" t="s">
        <v>5056</v>
      </c>
    </row>
    <row r="684" spans="1:7">
      <c r="A684" s="3254">
        <v>682</v>
      </c>
      <c r="B684" s="3618"/>
      <c r="C684" s="3611" t="s">
        <v>5057</v>
      </c>
      <c r="D684" s="3611"/>
      <c r="E684" s="3257" t="s">
        <v>4830</v>
      </c>
      <c r="F684" s="3257">
        <v>36.020000000000003</v>
      </c>
      <c r="G684" s="3255" t="s">
        <v>5056</v>
      </c>
    </row>
    <row r="685" spans="1:7">
      <c r="A685" s="3254">
        <v>683</v>
      </c>
      <c r="B685" s="3618"/>
      <c r="C685" s="3611" t="s">
        <v>5057</v>
      </c>
      <c r="D685" s="3611"/>
      <c r="E685" s="3257" t="s">
        <v>4831</v>
      </c>
      <c r="F685" s="3257">
        <v>36.020000000000003</v>
      </c>
      <c r="G685" s="3255" t="s">
        <v>5056</v>
      </c>
    </row>
    <row r="686" spans="1:7">
      <c r="A686" s="3254">
        <v>684</v>
      </c>
      <c r="B686" s="3618"/>
      <c r="C686" s="3611" t="s">
        <v>5057</v>
      </c>
      <c r="D686" s="3611"/>
      <c r="E686" s="3257" t="s">
        <v>4832</v>
      </c>
      <c r="F686" s="3257">
        <v>36.020000000000003</v>
      </c>
      <c r="G686" s="3255" t="s">
        <v>5056</v>
      </c>
    </row>
    <row r="687" spans="1:7">
      <c r="A687" s="3254">
        <v>685</v>
      </c>
      <c r="B687" s="3618"/>
      <c r="C687" s="3611" t="s">
        <v>5057</v>
      </c>
      <c r="D687" s="3611"/>
      <c r="E687" s="3257" t="s">
        <v>4833</v>
      </c>
      <c r="F687" s="3257">
        <v>36.020000000000003</v>
      </c>
      <c r="G687" s="3255" t="s">
        <v>5056</v>
      </c>
    </row>
    <row r="688" spans="1:7">
      <c r="A688" s="3254">
        <v>686</v>
      </c>
      <c r="B688" s="3618"/>
      <c r="C688" s="3611" t="s">
        <v>5057</v>
      </c>
      <c r="D688" s="3611"/>
      <c r="E688" s="3257" t="s">
        <v>4834</v>
      </c>
      <c r="F688" s="3257">
        <v>36.020000000000003</v>
      </c>
      <c r="G688" s="3255" t="s">
        <v>5056</v>
      </c>
    </row>
    <row r="689" spans="1:7">
      <c r="A689" s="3254">
        <v>687</v>
      </c>
      <c r="B689" s="3618"/>
      <c r="C689" s="3611" t="s">
        <v>5057</v>
      </c>
      <c r="D689" s="3611"/>
      <c r="E689" s="3257" t="s">
        <v>4835</v>
      </c>
      <c r="F689" s="3257">
        <v>37.520000000000003</v>
      </c>
      <c r="G689" s="3255" t="s">
        <v>5056</v>
      </c>
    </row>
    <row r="690" spans="1:7">
      <c r="A690" s="3254">
        <v>688</v>
      </c>
      <c r="B690" s="3618"/>
      <c r="C690" s="3611" t="s">
        <v>5057</v>
      </c>
      <c r="D690" s="3611"/>
      <c r="E690" s="3257" t="s">
        <v>4836</v>
      </c>
      <c r="F690" s="3257">
        <v>37.520000000000003</v>
      </c>
      <c r="G690" s="3255" t="s">
        <v>5056</v>
      </c>
    </row>
    <row r="691" spans="1:7">
      <c r="A691" s="3254">
        <v>689</v>
      </c>
      <c r="B691" s="3618"/>
      <c r="C691" s="3611" t="s">
        <v>5057</v>
      </c>
      <c r="D691" s="3611"/>
      <c r="E691" s="3257" t="s">
        <v>4837</v>
      </c>
      <c r="F691" s="3257">
        <v>37.520000000000003</v>
      </c>
      <c r="G691" s="3255" t="s">
        <v>5056</v>
      </c>
    </row>
    <row r="692" spans="1:7">
      <c r="A692" s="3254">
        <v>690</v>
      </c>
      <c r="B692" s="3618"/>
      <c r="C692" s="3611" t="s">
        <v>5057</v>
      </c>
      <c r="D692" s="3611"/>
      <c r="E692" s="3257" t="s">
        <v>4838</v>
      </c>
      <c r="F692" s="3257">
        <v>39.090000000000003</v>
      </c>
      <c r="G692" s="3255" t="s">
        <v>5056</v>
      </c>
    </row>
    <row r="693" spans="1:7">
      <c r="A693" s="3254">
        <v>691</v>
      </c>
      <c r="B693" s="3618"/>
      <c r="C693" s="3611" t="s">
        <v>5057</v>
      </c>
      <c r="D693" s="3611"/>
      <c r="E693" s="3257" t="s">
        <v>4839</v>
      </c>
      <c r="F693" s="3257">
        <v>39.090000000000003</v>
      </c>
      <c r="G693" s="3255" t="s">
        <v>5056</v>
      </c>
    </row>
    <row r="694" spans="1:7">
      <c r="A694" s="3254">
        <v>692</v>
      </c>
      <c r="B694" s="3618"/>
      <c r="C694" s="3611" t="s">
        <v>5057</v>
      </c>
      <c r="D694" s="3611"/>
      <c r="E694" s="3257" t="s">
        <v>4840</v>
      </c>
      <c r="F694" s="3257">
        <v>39.090000000000003</v>
      </c>
      <c r="G694" s="3255" t="s">
        <v>5056</v>
      </c>
    </row>
    <row r="695" spans="1:7">
      <c r="A695" s="3254">
        <v>693</v>
      </c>
      <c r="B695" s="3618"/>
      <c r="C695" s="3611" t="s">
        <v>5057</v>
      </c>
      <c r="D695" s="3611"/>
      <c r="E695" s="3257" t="s">
        <v>4841</v>
      </c>
      <c r="F695" s="3257">
        <v>37.4</v>
      </c>
      <c r="G695" s="3255" t="s">
        <v>5056</v>
      </c>
    </row>
    <row r="696" spans="1:7">
      <c r="A696" s="3254">
        <v>694</v>
      </c>
      <c r="B696" s="3618"/>
      <c r="C696" s="3611" t="s">
        <v>5057</v>
      </c>
      <c r="D696" s="3611"/>
      <c r="E696" s="3257" t="s">
        <v>4842</v>
      </c>
      <c r="F696" s="3257">
        <v>39.840000000000003</v>
      </c>
      <c r="G696" s="3255" t="s">
        <v>5056</v>
      </c>
    </row>
    <row r="697" spans="1:7">
      <c r="A697" s="3254">
        <v>695</v>
      </c>
      <c r="B697" s="3618"/>
      <c r="C697" s="3611" t="s">
        <v>5057</v>
      </c>
      <c r="D697" s="3611"/>
      <c r="E697" s="3257" t="s">
        <v>4843</v>
      </c>
      <c r="F697" s="3257">
        <v>45.34</v>
      </c>
      <c r="G697" s="3255" t="s">
        <v>5056</v>
      </c>
    </row>
    <row r="698" spans="1:7">
      <c r="A698" s="3254">
        <v>696</v>
      </c>
      <c r="B698" s="3618"/>
      <c r="C698" s="3611" t="s">
        <v>5057</v>
      </c>
      <c r="D698" s="3611"/>
      <c r="E698" s="3257" t="s">
        <v>4844</v>
      </c>
      <c r="F698" s="3257">
        <v>45.34</v>
      </c>
      <c r="G698" s="3255" t="s">
        <v>5056</v>
      </c>
    </row>
    <row r="699" spans="1:7">
      <c r="A699" s="3254">
        <v>697</v>
      </c>
      <c r="B699" s="3618"/>
      <c r="C699" s="3611" t="s">
        <v>5057</v>
      </c>
      <c r="D699" s="3611"/>
      <c r="E699" s="3257" t="s">
        <v>4845</v>
      </c>
      <c r="F699" s="3257">
        <v>45.34</v>
      </c>
      <c r="G699" s="3255" t="s">
        <v>5056</v>
      </c>
    </row>
    <row r="700" spans="1:7">
      <c r="A700" s="3254">
        <v>698</v>
      </c>
      <c r="B700" s="3618"/>
      <c r="C700" s="3611" t="s">
        <v>5057</v>
      </c>
      <c r="D700" s="3611"/>
      <c r="E700" s="3257" t="s">
        <v>4846</v>
      </c>
      <c r="F700" s="3257">
        <v>36.020000000000003</v>
      </c>
      <c r="G700" s="3255" t="s">
        <v>5056</v>
      </c>
    </row>
    <row r="701" spans="1:7">
      <c r="A701" s="3254">
        <v>699</v>
      </c>
      <c r="B701" s="3618"/>
      <c r="C701" s="3611" t="s">
        <v>5057</v>
      </c>
      <c r="D701" s="3611"/>
      <c r="E701" s="3257" t="s">
        <v>4847</v>
      </c>
      <c r="F701" s="3257">
        <v>36.020000000000003</v>
      </c>
      <c r="G701" s="3255" t="s">
        <v>5056</v>
      </c>
    </row>
    <row r="702" spans="1:7">
      <c r="A702" s="3254">
        <v>700</v>
      </c>
      <c r="B702" s="3618"/>
      <c r="C702" s="3611" t="s">
        <v>5057</v>
      </c>
      <c r="D702" s="3611"/>
      <c r="E702" s="3257" t="s">
        <v>4848</v>
      </c>
      <c r="F702" s="3257">
        <v>36.020000000000003</v>
      </c>
      <c r="G702" s="3255" t="s">
        <v>5056</v>
      </c>
    </row>
    <row r="703" spans="1:7">
      <c r="A703" s="3254">
        <v>701</v>
      </c>
      <c r="B703" s="3618"/>
      <c r="C703" s="3611" t="s">
        <v>5057</v>
      </c>
      <c r="D703" s="3611"/>
      <c r="E703" s="3257" t="s">
        <v>4849</v>
      </c>
      <c r="F703" s="3257">
        <v>36.020000000000003</v>
      </c>
      <c r="G703" s="3255" t="s">
        <v>5056</v>
      </c>
    </row>
    <row r="704" spans="1:7">
      <c r="A704" s="3254">
        <v>702</v>
      </c>
      <c r="B704" s="3618"/>
      <c r="C704" s="3611" t="s">
        <v>5057</v>
      </c>
      <c r="D704" s="3611"/>
      <c r="E704" s="3257" t="s">
        <v>4850</v>
      </c>
      <c r="F704" s="3257">
        <v>36.020000000000003</v>
      </c>
      <c r="G704" s="3255" t="s">
        <v>5056</v>
      </c>
    </row>
    <row r="705" spans="1:7">
      <c r="A705" s="3254">
        <v>703</v>
      </c>
      <c r="B705" s="3618"/>
      <c r="C705" s="3611" t="s">
        <v>5057</v>
      </c>
      <c r="D705" s="3611"/>
      <c r="E705" s="3257" t="s">
        <v>4851</v>
      </c>
      <c r="F705" s="3257">
        <v>36.020000000000003</v>
      </c>
      <c r="G705" s="3255" t="s">
        <v>5056</v>
      </c>
    </row>
    <row r="706" spans="1:7">
      <c r="A706" s="3254">
        <v>704</v>
      </c>
      <c r="B706" s="3618"/>
      <c r="C706" s="3611" t="s">
        <v>5057</v>
      </c>
      <c r="D706" s="3611"/>
      <c r="E706" s="3257" t="s">
        <v>4852</v>
      </c>
      <c r="F706" s="3257">
        <v>36.020000000000003</v>
      </c>
      <c r="G706" s="3255" t="s">
        <v>5056</v>
      </c>
    </row>
    <row r="707" spans="1:7">
      <c r="A707" s="3254">
        <v>705</v>
      </c>
      <c r="B707" s="3618"/>
      <c r="C707" s="3611" t="s">
        <v>5057</v>
      </c>
      <c r="D707" s="3611"/>
      <c r="E707" s="3257" t="s">
        <v>4853</v>
      </c>
      <c r="F707" s="3257">
        <v>36.020000000000003</v>
      </c>
      <c r="G707" s="3255" t="s">
        <v>5056</v>
      </c>
    </row>
    <row r="708" spans="1:7">
      <c r="A708" s="3254">
        <v>706</v>
      </c>
      <c r="B708" s="3618"/>
      <c r="C708" s="3611" t="s">
        <v>5057</v>
      </c>
      <c r="D708" s="3611"/>
      <c r="E708" s="3257" t="s">
        <v>4854</v>
      </c>
      <c r="F708" s="3257">
        <v>36.020000000000003</v>
      </c>
      <c r="G708" s="3255" t="s">
        <v>5056</v>
      </c>
    </row>
    <row r="709" spans="1:7">
      <c r="A709" s="3254">
        <v>707</v>
      </c>
      <c r="B709" s="3618"/>
      <c r="C709" s="3611" t="s">
        <v>5057</v>
      </c>
      <c r="D709" s="3611"/>
      <c r="E709" s="3257" t="s">
        <v>4855</v>
      </c>
      <c r="F709" s="3257">
        <v>36.020000000000003</v>
      </c>
      <c r="G709" s="3255" t="s">
        <v>5056</v>
      </c>
    </row>
    <row r="710" spans="1:7">
      <c r="A710" s="3254">
        <v>708</v>
      </c>
      <c r="B710" s="3618"/>
      <c r="C710" s="3611" t="s">
        <v>5057</v>
      </c>
      <c r="D710" s="3611"/>
      <c r="E710" s="3257" t="s">
        <v>4856</v>
      </c>
      <c r="F710" s="3257">
        <v>36.020000000000003</v>
      </c>
      <c r="G710" s="3255" t="s">
        <v>5056</v>
      </c>
    </row>
    <row r="711" spans="1:7">
      <c r="A711" s="3254">
        <v>709</v>
      </c>
      <c r="B711" s="3618"/>
      <c r="C711" s="3611" t="s">
        <v>5057</v>
      </c>
      <c r="D711" s="3611"/>
      <c r="E711" s="3257" t="s">
        <v>4857</v>
      </c>
      <c r="F711" s="3257">
        <v>36.020000000000003</v>
      </c>
      <c r="G711" s="3255" t="s">
        <v>5056</v>
      </c>
    </row>
    <row r="712" spans="1:7">
      <c r="A712" s="3254">
        <v>710</v>
      </c>
      <c r="B712" s="3618"/>
      <c r="C712" s="3611" t="s">
        <v>5057</v>
      </c>
      <c r="D712" s="3611"/>
      <c r="E712" s="3257" t="s">
        <v>4858</v>
      </c>
      <c r="F712" s="3257">
        <v>39.090000000000003</v>
      </c>
      <c r="G712" s="3255" t="s">
        <v>5056</v>
      </c>
    </row>
    <row r="713" spans="1:7">
      <c r="A713" s="3254">
        <v>711</v>
      </c>
      <c r="B713" s="3618"/>
      <c r="C713" s="3611" t="s">
        <v>5057</v>
      </c>
      <c r="D713" s="3611"/>
      <c r="E713" s="3257" t="s">
        <v>4859</v>
      </c>
      <c r="F713" s="3257">
        <v>39.090000000000003</v>
      </c>
      <c r="G713" s="3255" t="s">
        <v>5056</v>
      </c>
    </row>
    <row r="714" spans="1:7">
      <c r="A714" s="3254">
        <v>712</v>
      </c>
      <c r="B714" s="3618"/>
      <c r="C714" s="3611" t="s">
        <v>5057</v>
      </c>
      <c r="D714" s="3611"/>
      <c r="E714" s="3257" t="s">
        <v>4860</v>
      </c>
      <c r="F714" s="3257">
        <v>39.090000000000003</v>
      </c>
      <c r="G714" s="3255" t="s">
        <v>5056</v>
      </c>
    </row>
    <row r="715" spans="1:7">
      <c r="A715" s="3254">
        <v>713</v>
      </c>
      <c r="B715" s="3618"/>
      <c r="C715" s="3611" t="s">
        <v>5057</v>
      </c>
      <c r="D715" s="3611"/>
      <c r="E715" s="3257" t="s">
        <v>4861</v>
      </c>
      <c r="F715" s="3257">
        <v>36.020000000000003</v>
      </c>
      <c r="G715" s="3255" t="s">
        <v>5056</v>
      </c>
    </row>
    <row r="716" spans="1:7">
      <c r="A716" s="3254">
        <v>714</v>
      </c>
      <c r="B716" s="3618"/>
      <c r="C716" s="3611" t="s">
        <v>5057</v>
      </c>
      <c r="D716" s="3611"/>
      <c r="E716" s="3257" t="s">
        <v>4862</v>
      </c>
      <c r="F716" s="3257">
        <v>36.020000000000003</v>
      </c>
      <c r="G716" s="3255" t="s">
        <v>5056</v>
      </c>
    </row>
    <row r="717" spans="1:7">
      <c r="A717" s="3254">
        <v>715</v>
      </c>
      <c r="B717" s="3618"/>
      <c r="C717" s="3611" t="s">
        <v>5057</v>
      </c>
      <c r="D717" s="3611"/>
      <c r="E717" s="3257" t="s">
        <v>4863</v>
      </c>
      <c r="F717" s="3257">
        <v>36.020000000000003</v>
      </c>
      <c r="G717" s="3255" t="s">
        <v>5056</v>
      </c>
    </row>
    <row r="718" spans="1:7">
      <c r="A718" s="3254">
        <v>716</v>
      </c>
      <c r="B718" s="3618"/>
      <c r="C718" s="3611" t="s">
        <v>5057</v>
      </c>
      <c r="D718" s="3611"/>
      <c r="E718" s="3257" t="s">
        <v>4864</v>
      </c>
      <c r="F718" s="3257">
        <v>39.090000000000003</v>
      </c>
      <c r="G718" s="3255" t="s">
        <v>5056</v>
      </c>
    </row>
    <row r="719" spans="1:7">
      <c r="A719" s="3254">
        <v>717</v>
      </c>
      <c r="B719" s="3618"/>
      <c r="C719" s="3611" t="s">
        <v>5057</v>
      </c>
      <c r="D719" s="3611"/>
      <c r="E719" s="3257" t="s">
        <v>4865</v>
      </c>
      <c r="F719" s="3257">
        <v>39.090000000000003</v>
      </c>
      <c r="G719" s="3255" t="s">
        <v>5056</v>
      </c>
    </row>
    <row r="720" spans="1:7">
      <c r="A720" s="3254">
        <v>718</v>
      </c>
      <c r="B720" s="3618"/>
      <c r="C720" s="3611" t="s">
        <v>5057</v>
      </c>
      <c r="D720" s="3611"/>
      <c r="E720" s="3257" t="s">
        <v>4866</v>
      </c>
      <c r="F720" s="3257">
        <v>39.090000000000003</v>
      </c>
      <c r="G720" s="3255" t="s">
        <v>5056</v>
      </c>
    </row>
    <row r="721" spans="1:7">
      <c r="A721" s="3254">
        <v>719</v>
      </c>
      <c r="B721" s="3618"/>
      <c r="C721" s="3611" t="s">
        <v>5057</v>
      </c>
      <c r="D721" s="3611"/>
      <c r="E721" s="3257" t="s">
        <v>4867</v>
      </c>
      <c r="F721" s="3257">
        <v>39.090000000000003</v>
      </c>
      <c r="G721" s="3255" t="s">
        <v>5056</v>
      </c>
    </row>
    <row r="722" spans="1:7">
      <c r="A722" s="3254">
        <v>720</v>
      </c>
      <c r="B722" s="3618"/>
      <c r="C722" s="3611" t="s">
        <v>5057</v>
      </c>
      <c r="D722" s="3611"/>
      <c r="E722" s="3257" t="s">
        <v>4868</v>
      </c>
      <c r="F722" s="3257">
        <v>39.090000000000003</v>
      </c>
      <c r="G722" s="3255" t="s">
        <v>5056</v>
      </c>
    </row>
    <row r="723" spans="1:7">
      <c r="A723" s="3254">
        <v>721</v>
      </c>
      <c r="B723" s="3618"/>
      <c r="C723" s="3611" t="s">
        <v>5057</v>
      </c>
      <c r="D723" s="3611"/>
      <c r="E723" s="3257" t="s">
        <v>4869</v>
      </c>
      <c r="F723" s="3257">
        <v>36.74</v>
      </c>
      <c r="G723" s="3255" t="s">
        <v>5056</v>
      </c>
    </row>
    <row r="724" spans="1:7">
      <c r="A724" s="3254">
        <v>722</v>
      </c>
      <c r="B724" s="3618"/>
      <c r="C724" s="3611" t="s">
        <v>5057</v>
      </c>
      <c r="D724" s="3611"/>
      <c r="E724" s="3257" t="s">
        <v>4870</v>
      </c>
      <c r="F724" s="3257">
        <v>36.74</v>
      </c>
      <c r="G724" s="3255" t="s">
        <v>5056</v>
      </c>
    </row>
    <row r="725" spans="1:7">
      <c r="A725" s="3254">
        <v>723</v>
      </c>
      <c r="B725" s="3618"/>
      <c r="C725" s="3611" t="s">
        <v>5057</v>
      </c>
      <c r="D725" s="3611"/>
      <c r="E725" s="3257" t="s">
        <v>4871</v>
      </c>
      <c r="F725" s="3257">
        <v>36.74</v>
      </c>
      <c r="G725" s="3255" t="s">
        <v>5056</v>
      </c>
    </row>
    <row r="726" spans="1:7">
      <c r="A726" s="3254">
        <v>724</v>
      </c>
      <c r="B726" s="3618"/>
      <c r="C726" s="3611" t="s">
        <v>5057</v>
      </c>
      <c r="D726" s="3611"/>
      <c r="E726" s="3257" t="s">
        <v>4872</v>
      </c>
      <c r="F726" s="3257">
        <v>36.74</v>
      </c>
      <c r="G726" s="3255" t="s">
        <v>5056</v>
      </c>
    </row>
    <row r="727" spans="1:7">
      <c r="A727" s="3254">
        <v>725</v>
      </c>
      <c r="B727" s="3618"/>
      <c r="C727" s="3611" t="s">
        <v>5057</v>
      </c>
      <c r="D727" s="3611"/>
      <c r="E727" s="3257" t="s">
        <v>4873</v>
      </c>
      <c r="F727" s="3257">
        <v>36.74</v>
      </c>
      <c r="G727" s="3255" t="s">
        <v>5056</v>
      </c>
    </row>
    <row r="728" spans="1:7">
      <c r="A728" s="3254">
        <v>726</v>
      </c>
      <c r="B728" s="3618"/>
      <c r="C728" s="3611" t="s">
        <v>5057</v>
      </c>
      <c r="D728" s="3611"/>
      <c r="E728" s="3257" t="s">
        <v>4874</v>
      </c>
      <c r="F728" s="3257">
        <v>37.520000000000003</v>
      </c>
      <c r="G728" s="3255" t="s">
        <v>5056</v>
      </c>
    </row>
    <row r="729" spans="1:7">
      <c r="A729" s="3254">
        <v>727</v>
      </c>
      <c r="B729" s="3618"/>
      <c r="C729" s="3611" t="s">
        <v>5057</v>
      </c>
      <c r="D729" s="3611"/>
      <c r="E729" s="3257" t="s">
        <v>4875</v>
      </c>
      <c r="F729" s="3257">
        <v>37.520000000000003</v>
      </c>
      <c r="G729" s="3255" t="s">
        <v>5056</v>
      </c>
    </row>
    <row r="730" spans="1:7">
      <c r="A730" s="3254">
        <v>728</v>
      </c>
      <c r="B730" s="3618"/>
      <c r="C730" s="3611" t="s">
        <v>5057</v>
      </c>
      <c r="D730" s="3611"/>
      <c r="E730" s="3257" t="s">
        <v>4876</v>
      </c>
      <c r="F730" s="3257">
        <v>37.520000000000003</v>
      </c>
      <c r="G730" s="3255" t="s">
        <v>5056</v>
      </c>
    </row>
    <row r="731" spans="1:7">
      <c r="A731" s="3254">
        <v>729</v>
      </c>
      <c r="B731" s="3618"/>
      <c r="C731" s="3611" t="s">
        <v>5057</v>
      </c>
      <c r="D731" s="3611"/>
      <c r="E731" s="3257" t="s">
        <v>4877</v>
      </c>
      <c r="F731" s="3257">
        <v>37.520000000000003</v>
      </c>
      <c r="G731" s="3255" t="s">
        <v>5056</v>
      </c>
    </row>
    <row r="732" spans="1:7">
      <c r="A732" s="3254">
        <v>730</v>
      </c>
      <c r="B732" s="3618"/>
      <c r="C732" s="3611" t="s">
        <v>5057</v>
      </c>
      <c r="D732" s="3611"/>
      <c r="E732" s="3257" t="s">
        <v>4878</v>
      </c>
      <c r="F732" s="3257">
        <v>37.520000000000003</v>
      </c>
      <c r="G732" s="3255" t="s">
        <v>5056</v>
      </c>
    </row>
    <row r="733" spans="1:7">
      <c r="A733" s="3254">
        <v>731</v>
      </c>
      <c r="B733" s="3618"/>
      <c r="C733" s="3611" t="s">
        <v>5057</v>
      </c>
      <c r="D733" s="3611"/>
      <c r="E733" s="3257" t="s">
        <v>4879</v>
      </c>
      <c r="F733" s="3257">
        <v>37.520000000000003</v>
      </c>
      <c r="G733" s="3255" t="s">
        <v>5056</v>
      </c>
    </row>
    <row r="734" spans="1:7">
      <c r="A734" s="3254">
        <v>732</v>
      </c>
      <c r="B734" s="3618"/>
      <c r="C734" s="3611" t="s">
        <v>5057</v>
      </c>
      <c r="D734" s="3611"/>
      <c r="E734" s="3257" t="s">
        <v>4880</v>
      </c>
      <c r="F734" s="3257">
        <v>37.520000000000003</v>
      </c>
      <c r="G734" s="3255" t="s">
        <v>5056</v>
      </c>
    </row>
    <row r="735" spans="1:7">
      <c r="A735" s="3254">
        <v>733</v>
      </c>
      <c r="B735" s="3618"/>
      <c r="C735" s="3611" t="s">
        <v>5057</v>
      </c>
      <c r="D735" s="3611"/>
      <c r="E735" s="3257" t="s">
        <v>4881</v>
      </c>
      <c r="F735" s="3257">
        <v>37.520000000000003</v>
      </c>
      <c r="G735" s="3255" t="s">
        <v>5056</v>
      </c>
    </row>
    <row r="736" spans="1:7">
      <c r="A736" s="3254">
        <v>734</v>
      </c>
      <c r="B736" s="3618"/>
      <c r="C736" s="3611" t="s">
        <v>5057</v>
      </c>
      <c r="D736" s="3611"/>
      <c r="E736" s="3257" t="s">
        <v>4882</v>
      </c>
      <c r="F736" s="3257">
        <v>37.520000000000003</v>
      </c>
      <c r="G736" s="3255" t="s">
        <v>5056</v>
      </c>
    </row>
    <row r="737" spans="1:7">
      <c r="A737" s="3254">
        <v>735</v>
      </c>
      <c r="B737" s="3618"/>
      <c r="C737" s="3611" t="s">
        <v>5057</v>
      </c>
      <c r="D737" s="3611"/>
      <c r="E737" s="3257" t="s">
        <v>4883</v>
      </c>
      <c r="F737" s="3257">
        <v>37.520000000000003</v>
      </c>
      <c r="G737" s="3255" t="s">
        <v>5056</v>
      </c>
    </row>
    <row r="738" spans="1:7">
      <c r="A738" s="3254">
        <v>736</v>
      </c>
      <c r="B738" s="3618"/>
      <c r="C738" s="3611" t="s">
        <v>5057</v>
      </c>
      <c r="D738" s="3611"/>
      <c r="E738" s="3257" t="s">
        <v>4884</v>
      </c>
      <c r="F738" s="3257">
        <v>37.520000000000003</v>
      </c>
      <c r="G738" s="3255" t="s">
        <v>5056</v>
      </c>
    </row>
    <row r="739" spans="1:7">
      <c r="A739" s="3254">
        <v>737</v>
      </c>
      <c r="B739" s="3618"/>
      <c r="C739" s="3611" t="s">
        <v>5057</v>
      </c>
      <c r="D739" s="3611"/>
      <c r="E739" s="3257" t="s">
        <v>4885</v>
      </c>
      <c r="F739" s="3257">
        <v>37.520000000000003</v>
      </c>
      <c r="G739" s="3255" t="s">
        <v>5056</v>
      </c>
    </row>
    <row r="740" spans="1:7">
      <c r="A740" s="3254">
        <v>738</v>
      </c>
      <c r="B740" s="3618"/>
      <c r="C740" s="3611" t="s">
        <v>5057</v>
      </c>
      <c r="D740" s="3611"/>
      <c r="E740" s="3257" t="s">
        <v>4886</v>
      </c>
      <c r="F740" s="3257">
        <v>37.520000000000003</v>
      </c>
      <c r="G740" s="3255" t="s">
        <v>5056</v>
      </c>
    </row>
    <row r="741" spans="1:7">
      <c r="A741" s="3254">
        <v>739</v>
      </c>
      <c r="B741" s="3618"/>
      <c r="C741" s="3611" t="s">
        <v>5057</v>
      </c>
      <c r="D741" s="3611"/>
      <c r="E741" s="3257" t="s">
        <v>4887</v>
      </c>
      <c r="F741" s="3257">
        <v>37.520000000000003</v>
      </c>
      <c r="G741" s="3255" t="s">
        <v>5056</v>
      </c>
    </row>
    <row r="742" spans="1:7">
      <c r="A742" s="3254">
        <v>740</v>
      </c>
      <c r="B742" s="3618"/>
      <c r="C742" s="3611" t="s">
        <v>5057</v>
      </c>
      <c r="D742" s="3611"/>
      <c r="E742" s="3257" t="s">
        <v>4888</v>
      </c>
      <c r="F742" s="3257">
        <v>37.520000000000003</v>
      </c>
      <c r="G742" s="3255" t="s">
        <v>5056</v>
      </c>
    </row>
    <row r="743" spans="1:7">
      <c r="A743" s="3254">
        <v>741</v>
      </c>
      <c r="B743" s="3618"/>
      <c r="C743" s="3611" t="s">
        <v>5057</v>
      </c>
      <c r="D743" s="3611"/>
      <c r="E743" s="3257" t="s">
        <v>4889</v>
      </c>
      <c r="F743" s="3257">
        <v>37.520000000000003</v>
      </c>
      <c r="G743" s="3255" t="s">
        <v>5056</v>
      </c>
    </row>
    <row r="744" spans="1:7">
      <c r="A744" s="3254">
        <v>742</v>
      </c>
      <c r="B744" s="3618"/>
      <c r="C744" s="3611" t="s">
        <v>5057</v>
      </c>
      <c r="D744" s="3611"/>
      <c r="E744" s="3257" t="s">
        <v>4890</v>
      </c>
      <c r="F744" s="3257">
        <v>37.520000000000003</v>
      </c>
      <c r="G744" s="3255" t="s">
        <v>5056</v>
      </c>
    </row>
    <row r="745" spans="1:7">
      <c r="A745" s="3254">
        <v>743</v>
      </c>
      <c r="B745" s="3618"/>
      <c r="C745" s="3611" t="s">
        <v>5057</v>
      </c>
      <c r="D745" s="3611"/>
      <c r="E745" s="3257" t="s">
        <v>4891</v>
      </c>
      <c r="F745" s="3257">
        <v>37.520000000000003</v>
      </c>
      <c r="G745" s="3255" t="s">
        <v>5056</v>
      </c>
    </row>
    <row r="746" spans="1:7">
      <c r="A746" s="3254">
        <v>744</v>
      </c>
      <c r="B746" s="3618"/>
      <c r="C746" s="3611" t="s">
        <v>5057</v>
      </c>
      <c r="D746" s="3611"/>
      <c r="E746" s="3257" t="s">
        <v>4892</v>
      </c>
      <c r="F746" s="3257">
        <v>37.520000000000003</v>
      </c>
      <c r="G746" s="3255" t="s">
        <v>5056</v>
      </c>
    </row>
    <row r="747" spans="1:7">
      <c r="A747" s="3254">
        <v>745</v>
      </c>
      <c r="B747" s="3618"/>
      <c r="C747" s="3611" t="s">
        <v>5057</v>
      </c>
      <c r="D747" s="3611"/>
      <c r="E747" s="3257" t="s">
        <v>4893</v>
      </c>
      <c r="F747" s="3257">
        <v>39.090000000000003</v>
      </c>
      <c r="G747" s="3255" t="s">
        <v>5056</v>
      </c>
    </row>
    <row r="748" spans="1:7">
      <c r="A748" s="3254">
        <v>746</v>
      </c>
      <c r="B748" s="3618"/>
      <c r="C748" s="3611" t="s">
        <v>5057</v>
      </c>
      <c r="D748" s="3611"/>
      <c r="E748" s="3257" t="s">
        <v>4894</v>
      </c>
      <c r="F748" s="3257">
        <v>39.090000000000003</v>
      </c>
      <c r="G748" s="3255" t="s">
        <v>5056</v>
      </c>
    </row>
    <row r="749" spans="1:7">
      <c r="A749" s="3254">
        <v>747</v>
      </c>
      <c r="B749" s="3618"/>
      <c r="C749" s="3611" t="s">
        <v>5057</v>
      </c>
      <c r="D749" s="3611"/>
      <c r="E749" s="3257" t="s">
        <v>4895</v>
      </c>
      <c r="F749" s="3257">
        <v>46.91</v>
      </c>
      <c r="G749" s="3255" t="s">
        <v>5056</v>
      </c>
    </row>
    <row r="750" spans="1:7">
      <c r="A750" s="3254">
        <v>748</v>
      </c>
      <c r="B750" s="3618"/>
      <c r="C750" s="3611" t="s">
        <v>5057</v>
      </c>
      <c r="D750" s="3611"/>
      <c r="E750" s="3257" t="s">
        <v>4896</v>
      </c>
      <c r="F750" s="3257">
        <v>46.91</v>
      </c>
      <c r="G750" s="3255" t="s">
        <v>5056</v>
      </c>
    </row>
    <row r="751" spans="1:7">
      <c r="A751" s="3254">
        <v>749</v>
      </c>
      <c r="B751" s="3618"/>
      <c r="C751" s="3611" t="s">
        <v>5057</v>
      </c>
      <c r="D751" s="3611"/>
      <c r="E751" s="3257" t="s">
        <v>4897</v>
      </c>
      <c r="F751" s="3257">
        <v>46.91</v>
      </c>
      <c r="G751" s="3255" t="s">
        <v>5056</v>
      </c>
    </row>
    <row r="752" spans="1:7">
      <c r="A752" s="3254">
        <v>750</v>
      </c>
      <c r="B752" s="3618"/>
      <c r="C752" s="3611" t="s">
        <v>5057</v>
      </c>
      <c r="D752" s="3611"/>
      <c r="E752" s="3257" t="s">
        <v>4898</v>
      </c>
      <c r="F752" s="3257">
        <v>46.91</v>
      </c>
      <c r="G752" s="3255" t="s">
        <v>5056</v>
      </c>
    </row>
    <row r="753" spans="1:7">
      <c r="A753" s="3254">
        <v>751</v>
      </c>
      <c r="B753" s="3618"/>
      <c r="C753" s="3611" t="s">
        <v>5057</v>
      </c>
      <c r="D753" s="3611"/>
      <c r="E753" s="3257" t="s">
        <v>4899</v>
      </c>
      <c r="F753" s="3257">
        <v>46.91</v>
      </c>
      <c r="G753" s="3255" t="s">
        <v>5056</v>
      </c>
    </row>
    <row r="754" spans="1:7">
      <c r="A754" s="3254">
        <v>752</v>
      </c>
      <c r="B754" s="3618"/>
      <c r="C754" s="3611" t="s">
        <v>5057</v>
      </c>
      <c r="D754" s="3611"/>
      <c r="E754" s="3257" t="s">
        <v>4900</v>
      </c>
      <c r="F754" s="3257">
        <v>46.91</v>
      </c>
      <c r="G754" s="3255" t="s">
        <v>5056</v>
      </c>
    </row>
    <row r="755" spans="1:7">
      <c r="A755" s="3254">
        <v>753</v>
      </c>
      <c r="B755" s="3618"/>
      <c r="C755" s="3611" t="s">
        <v>5057</v>
      </c>
      <c r="D755" s="3611"/>
      <c r="E755" s="3257" t="s">
        <v>4901</v>
      </c>
      <c r="F755" s="3257">
        <v>46.91</v>
      </c>
      <c r="G755" s="3255" t="s">
        <v>5056</v>
      </c>
    </row>
    <row r="756" spans="1:7">
      <c r="A756" s="3254">
        <v>754</v>
      </c>
      <c r="B756" s="3618"/>
      <c r="C756" s="3611" t="s">
        <v>5057</v>
      </c>
      <c r="D756" s="3611"/>
      <c r="E756" s="3257" t="s">
        <v>4902</v>
      </c>
      <c r="F756" s="3257">
        <v>48.78</v>
      </c>
      <c r="G756" s="3255" t="s">
        <v>5056</v>
      </c>
    </row>
    <row r="757" spans="1:7">
      <c r="A757" s="3254">
        <v>755</v>
      </c>
      <c r="B757" s="3618"/>
      <c r="C757" s="3611" t="s">
        <v>5057</v>
      </c>
      <c r="D757" s="3611"/>
      <c r="E757" s="3257" t="s">
        <v>4903</v>
      </c>
      <c r="F757" s="3257">
        <v>37.520000000000003</v>
      </c>
      <c r="G757" s="3255" t="s">
        <v>5056</v>
      </c>
    </row>
    <row r="758" spans="1:7">
      <c r="A758" s="3254">
        <v>756</v>
      </c>
      <c r="B758" s="3618"/>
      <c r="C758" s="3611" t="s">
        <v>5057</v>
      </c>
      <c r="D758" s="3611"/>
      <c r="E758" s="3257" t="s">
        <v>4904</v>
      </c>
      <c r="F758" s="3257">
        <v>37.520000000000003</v>
      </c>
      <c r="G758" s="3255" t="s">
        <v>5056</v>
      </c>
    </row>
    <row r="759" spans="1:7">
      <c r="A759" s="3254">
        <v>757</v>
      </c>
      <c r="B759" s="3618"/>
      <c r="C759" s="3611" t="s">
        <v>5057</v>
      </c>
      <c r="D759" s="3611"/>
      <c r="E759" s="3257" t="s">
        <v>4905</v>
      </c>
      <c r="F759" s="3257">
        <v>37.520000000000003</v>
      </c>
      <c r="G759" s="3255" t="s">
        <v>5056</v>
      </c>
    </row>
    <row r="760" spans="1:7">
      <c r="A760" s="3254">
        <v>758</v>
      </c>
      <c r="B760" s="3618"/>
      <c r="C760" s="3611" t="s">
        <v>5057</v>
      </c>
      <c r="D760" s="3611"/>
      <c r="E760" s="3257" t="s">
        <v>4906</v>
      </c>
      <c r="F760" s="3257">
        <v>37.520000000000003</v>
      </c>
      <c r="G760" s="3255" t="s">
        <v>5056</v>
      </c>
    </row>
    <row r="761" spans="1:7">
      <c r="A761" s="3254">
        <v>759</v>
      </c>
      <c r="B761" s="3618"/>
      <c r="C761" s="3611" t="s">
        <v>5057</v>
      </c>
      <c r="D761" s="3611"/>
      <c r="E761" s="3257" t="s">
        <v>4907</v>
      </c>
      <c r="F761" s="3257">
        <v>37.520000000000003</v>
      </c>
      <c r="G761" s="3255" t="s">
        <v>5056</v>
      </c>
    </row>
    <row r="762" spans="1:7">
      <c r="A762" s="3254">
        <v>760</v>
      </c>
      <c r="B762" s="3618"/>
      <c r="C762" s="3611" t="s">
        <v>5057</v>
      </c>
      <c r="D762" s="3611"/>
      <c r="E762" s="3257" t="s">
        <v>4908</v>
      </c>
      <c r="F762" s="3257">
        <v>37.520000000000003</v>
      </c>
      <c r="G762" s="3255" t="s">
        <v>5056</v>
      </c>
    </row>
    <row r="763" spans="1:7">
      <c r="A763" s="3254">
        <v>761</v>
      </c>
      <c r="B763" s="3618"/>
      <c r="C763" s="3611" t="s">
        <v>5057</v>
      </c>
      <c r="D763" s="3611"/>
      <c r="E763" s="3257" t="s">
        <v>4909</v>
      </c>
      <c r="F763" s="3257">
        <v>37.520000000000003</v>
      </c>
      <c r="G763" s="3255" t="s">
        <v>5056</v>
      </c>
    </row>
    <row r="764" spans="1:7">
      <c r="A764" s="3254">
        <v>762</v>
      </c>
      <c r="B764" s="3618"/>
      <c r="C764" s="3611" t="s">
        <v>5057</v>
      </c>
      <c r="D764" s="3611"/>
      <c r="E764" s="3257" t="s">
        <v>4910</v>
      </c>
      <c r="F764" s="3257">
        <v>37.520000000000003</v>
      </c>
      <c r="G764" s="3255" t="s">
        <v>5056</v>
      </c>
    </row>
    <row r="765" spans="1:7">
      <c r="A765" s="3254">
        <v>763</v>
      </c>
      <c r="B765" s="3618"/>
      <c r="C765" s="3611" t="s">
        <v>5057</v>
      </c>
      <c r="D765" s="3611"/>
      <c r="E765" s="3257" t="s">
        <v>4911</v>
      </c>
      <c r="F765" s="3257">
        <v>37.520000000000003</v>
      </c>
      <c r="G765" s="3255" t="s">
        <v>5056</v>
      </c>
    </row>
    <row r="766" spans="1:7">
      <c r="A766" s="3254">
        <v>764</v>
      </c>
      <c r="B766" s="3618"/>
      <c r="C766" s="3611" t="s">
        <v>5057</v>
      </c>
      <c r="D766" s="3611"/>
      <c r="E766" s="3257" t="s">
        <v>4912</v>
      </c>
      <c r="F766" s="3257">
        <v>37.520000000000003</v>
      </c>
      <c r="G766" s="3255" t="s">
        <v>5056</v>
      </c>
    </row>
    <row r="767" spans="1:7">
      <c r="A767" s="3254">
        <v>765</v>
      </c>
      <c r="B767" s="3618"/>
      <c r="C767" s="3611" t="s">
        <v>5057</v>
      </c>
      <c r="D767" s="3611"/>
      <c r="E767" s="3257" t="s">
        <v>4913</v>
      </c>
      <c r="F767" s="3257">
        <v>37.520000000000003</v>
      </c>
      <c r="G767" s="3255" t="s">
        <v>5056</v>
      </c>
    </row>
    <row r="768" spans="1:7">
      <c r="A768" s="3254">
        <v>766</v>
      </c>
      <c r="B768" s="3618"/>
      <c r="C768" s="3611" t="s">
        <v>5057</v>
      </c>
      <c r="D768" s="3611"/>
      <c r="E768" s="3257" t="s">
        <v>4914</v>
      </c>
      <c r="F768" s="3257">
        <v>39.090000000000003</v>
      </c>
      <c r="G768" s="3255" t="s">
        <v>5056</v>
      </c>
    </row>
    <row r="769" spans="1:7">
      <c r="A769" s="3254">
        <v>767</v>
      </c>
      <c r="B769" s="3618"/>
      <c r="C769" s="3611" t="s">
        <v>5057</v>
      </c>
      <c r="D769" s="3611"/>
      <c r="E769" s="3257" t="s">
        <v>4915</v>
      </c>
      <c r="F769" s="3257">
        <v>39.090000000000003</v>
      </c>
      <c r="G769" s="3255" t="s">
        <v>5056</v>
      </c>
    </row>
    <row r="770" spans="1:7">
      <c r="A770" s="3254">
        <v>768</v>
      </c>
      <c r="B770" s="3618"/>
      <c r="C770" s="3611" t="s">
        <v>5057</v>
      </c>
      <c r="D770" s="3611"/>
      <c r="E770" s="3257" t="s">
        <v>4916</v>
      </c>
      <c r="F770" s="3257">
        <v>39.090000000000003</v>
      </c>
      <c r="G770" s="3255" t="s">
        <v>5056</v>
      </c>
    </row>
    <row r="771" spans="1:7">
      <c r="A771" s="3254">
        <v>769</v>
      </c>
      <c r="B771" s="3618"/>
      <c r="C771" s="3611" t="s">
        <v>5057</v>
      </c>
      <c r="D771" s="3611"/>
      <c r="E771" s="3257" t="s">
        <v>4917</v>
      </c>
      <c r="F771" s="3257">
        <v>39.090000000000003</v>
      </c>
      <c r="G771" s="3255" t="s">
        <v>5056</v>
      </c>
    </row>
    <row r="772" spans="1:7">
      <c r="A772" s="3254">
        <v>770</v>
      </c>
      <c r="B772" s="3618"/>
      <c r="C772" s="3611" t="s">
        <v>5057</v>
      </c>
      <c r="D772" s="3611"/>
      <c r="E772" s="3257" t="s">
        <v>4918</v>
      </c>
      <c r="F772" s="3257">
        <v>39.090000000000003</v>
      </c>
      <c r="G772" s="3255" t="s">
        <v>5056</v>
      </c>
    </row>
    <row r="773" spans="1:7">
      <c r="A773" s="3254">
        <v>771</v>
      </c>
      <c r="B773" s="3618"/>
      <c r="C773" s="3611" t="s">
        <v>5057</v>
      </c>
      <c r="D773" s="3611"/>
      <c r="E773" s="3257" t="s">
        <v>4919</v>
      </c>
      <c r="F773" s="3257">
        <v>39.090000000000003</v>
      </c>
      <c r="G773" s="3255" t="s">
        <v>5056</v>
      </c>
    </row>
    <row r="774" spans="1:7">
      <c r="A774" s="3254">
        <v>772</v>
      </c>
      <c r="B774" s="3618"/>
      <c r="C774" s="3611" t="s">
        <v>5057</v>
      </c>
      <c r="D774" s="3611"/>
      <c r="E774" s="3257" t="s">
        <v>4920</v>
      </c>
      <c r="F774" s="3257">
        <v>39.090000000000003</v>
      </c>
      <c r="G774" s="3255" t="s">
        <v>5056</v>
      </c>
    </row>
    <row r="775" spans="1:7">
      <c r="A775" s="3254">
        <v>773</v>
      </c>
      <c r="B775" s="3618"/>
      <c r="C775" s="3611" t="s">
        <v>5057</v>
      </c>
      <c r="D775" s="3611"/>
      <c r="E775" s="3257" t="s">
        <v>4921</v>
      </c>
      <c r="F775" s="3257">
        <v>39.090000000000003</v>
      </c>
      <c r="G775" s="3255" t="s">
        <v>5056</v>
      </c>
    </row>
    <row r="776" spans="1:7">
      <c r="A776" s="3254">
        <v>774</v>
      </c>
      <c r="B776" s="3618"/>
      <c r="C776" s="3611" t="s">
        <v>5057</v>
      </c>
      <c r="D776" s="3611"/>
      <c r="E776" s="3257" t="s">
        <v>4922</v>
      </c>
      <c r="F776" s="3257">
        <v>39.090000000000003</v>
      </c>
      <c r="G776" s="3255" t="s">
        <v>5056</v>
      </c>
    </row>
    <row r="777" spans="1:7">
      <c r="A777" s="3254">
        <v>775</v>
      </c>
      <c r="B777" s="3618"/>
      <c r="C777" s="3611" t="s">
        <v>5057</v>
      </c>
      <c r="D777" s="3611"/>
      <c r="E777" s="3257" t="s">
        <v>4923</v>
      </c>
      <c r="F777" s="3257">
        <v>36.74</v>
      </c>
      <c r="G777" s="3255" t="s">
        <v>5056</v>
      </c>
    </row>
    <row r="778" spans="1:7">
      <c r="A778" s="3254">
        <v>776</v>
      </c>
      <c r="B778" s="3618"/>
      <c r="C778" s="3611" t="s">
        <v>5057</v>
      </c>
      <c r="D778" s="3611"/>
      <c r="E778" s="3257" t="s">
        <v>4924</v>
      </c>
      <c r="F778" s="3257">
        <v>36.74</v>
      </c>
      <c r="G778" s="3255" t="s">
        <v>5056</v>
      </c>
    </row>
    <row r="779" spans="1:7">
      <c r="A779" s="3254">
        <v>777</v>
      </c>
      <c r="B779" s="3618"/>
      <c r="C779" s="3611" t="s">
        <v>5057</v>
      </c>
      <c r="D779" s="3611"/>
      <c r="E779" s="3257" t="s">
        <v>4925</v>
      </c>
      <c r="F779" s="3257">
        <v>36.74</v>
      </c>
      <c r="G779" s="3255" t="s">
        <v>5056</v>
      </c>
    </row>
    <row r="780" spans="1:7">
      <c r="A780" s="3254">
        <v>778</v>
      </c>
      <c r="B780" s="3618"/>
      <c r="C780" s="3611" t="s">
        <v>5057</v>
      </c>
      <c r="D780" s="3611"/>
      <c r="E780" s="3257" t="s">
        <v>4926</v>
      </c>
      <c r="F780" s="3257">
        <v>36.74</v>
      </c>
      <c r="G780" s="3255" t="s">
        <v>5056</v>
      </c>
    </row>
    <row r="781" spans="1:7">
      <c r="A781" s="3254">
        <v>779</v>
      </c>
      <c r="B781" s="3618"/>
      <c r="C781" s="3611" t="s">
        <v>5057</v>
      </c>
      <c r="D781" s="3611"/>
      <c r="E781" s="3257" t="s">
        <v>4927</v>
      </c>
      <c r="F781" s="3257">
        <v>36.74</v>
      </c>
      <c r="G781" s="3255" t="s">
        <v>5056</v>
      </c>
    </row>
    <row r="782" spans="1:7">
      <c r="A782" s="3254">
        <v>780</v>
      </c>
      <c r="B782" s="3618"/>
      <c r="C782" s="3611" t="s">
        <v>5057</v>
      </c>
      <c r="D782" s="3611"/>
      <c r="E782" s="3257" t="s">
        <v>4928</v>
      </c>
      <c r="F782" s="3257">
        <v>36.74</v>
      </c>
      <c r="G782" s="3255" t="s">
        <v>5056</v>
      </c>
    </row>
    <row r="783" spans="1:7">
      <c r="A783" s="3254">
        <v>781</v>
      </c>
      <c r="B783" s="3618"/>
      <c r="C783" s="3611" t="s">
        <v>5057</v>
      </c>
      <c r="D783" s="3611"/>
      <c r="E783" s="3257" t="s">
        <v>4929</v>
      </c>
      <c r="F783" s="3257">
        <v>36.74</v>
      </c>
      <c r="G783" s="3255" t="s">
        <v>5056</v>
      </c>
    </row>
    <row r="784" spans="1:7">
      <c r="A784" s="3254">
        <v>782</v>
      </c>
      <c r="B784" s="3618"/>
      <c r="C784" s="3611" t="s">
        <v>5057</v>
      </c>
      <c r="D784" s="3611"/>
      <c r="E784" s="3257" t="s">
        <v>4930</v>
      </c>
      <c r="F784" s="3257">
        <v>36.74</v>
      </c>
      <c r="G784" s="3255" t="s">
        <v>5056</v>
      </c>
    </row>
    <row r="785" spans="1:7">
      <c r="A785" s="3254">
        <v>783</v>
      </c>
      <c r="B785" s="3618"/>
      <c r="C785" s="3611" t="s">
        <v>5057</v>
      </c>
      <c r="D785" s="3611"/>
      <c r="E785" s="3257" t="s">
        <v>4931</v>
      </c>
      <c r="F785" s="3257">
        <v>36.74</v>
      </c>
      <c r="G785" s="3255" t="s">
        <v>5056</v>
      </c>
    </row>
    <row r="786" spans="1:7">
      <c r="A786" s="3254">
        <v>784</v>
      </c>
      <c r="B786" s="3618"/>
      <c r="C786" s="3611" t="s">
        <v>5057</v>
      </c>
      <c r="D786" s="3611"/>
      <c r="E786" s="3257" t="s">
        <v>4932</v>
      </c>
      <c r="F786" s="3257">
        <v>39.090000000000003</v>
      </c>
      <c r="G786" s="3255" t="s">
        <v>5056</v>
      </c>
    </row>
    <row r="787" spans="1:7">
      <c r="A787" s="3254">
        <v>785</v>
      </c>
      <c r="B787" s="3618"/>
      <c r="C787" s="3611" t="s">
        <v>5057</v>
      </c>
      <c r="D787" s="3611"/>
      <c r="E787" s="3257" t="s">
        <v>4933</v>
      </c>
      <c r="F787" s="3257">
        <v>39.090000000000003</v>
      </c>
      <c r="G787" s="3255" t="s">
        <v>5056</v>
      </c>
    </row>
    <row r="788" spans="1:7">
      <c r="A788" s="3254">
        <v>786</v>
      </c>
      <c r="B788" s="3618"/>
      <c r="C788" s="3611" t="s">
        <v>5057</v>
      </c>
      <c r="D788" s="3611"/>
      <c r="E788" s="3257" t="s">
        <v>4934</v>
      </c>
      <c r="F788" s="3257">
        <v>39.090000000000003</v>
      </c>
      <c r="G788" s="3255" t="s">
        <v>5056</v>
      </c>
    </row>
    <row r="789" spans="1:7">
      <c r="A789" s="3254">
        <v>787</v>
      </c>
      <c r="B789" s="3618"/>
      <c r="C789" s="3611" t="s">
        <v>5057</v>
      </c>
      <c r="D789" s="3611"/>
      <c r="E789" s="3257" t="s">
        <v>4935</v>
      </c>
      <c r="F789" s="3257">
        <v>39.090000000000003</v>
      </c>
      <c r="G789" s="3255" t="s">
        <v>5056</v>
      </c>
    </row>
    <row r="790" spans="1:7">
      <c r="A790" s="3254">
        <v>788</v>
      </c>
      <c r="B790" s="3618"/>
      <c r="C790" s="3611" t="s">
        <v>5057</v>
      </c>
      <c r="D790" s="3611"/>
      <c r="E790" s="3257" t="s">
        <v>4936</v>
      </c>
      <c r="F790" s="3257">
        <v>39.090000000000003</v>
      </c>
      <c r="G790" s="3255" t="s">
        <v>5056</v>
      </c>
    </row>
    <row r="791" spans="1:7">
      <c r="A791" s="3254">
        <v>789</v>
      </c>
      <c r="B791" s="3618"/>
      <c r="C791" s="3611" t="s">
        <v>5057</v>
      </c>
      <c r="D791" s="3611"/>
      <c r="E791" s="3257" t="s">
        <v>4937</v>
      </c>
      <c r="F791" s="3257">
        <v>39.090000000000003</v>
      </c>
      <c r="G791" s="3255" t="s">
        <v>5056</v>
      </c>
    </row>
    <row r="792" spans="1:7">
      <c r="A792" s="3254">
        <v>790</v>
      </c>
      <c r="B792" s="3618"/>
      <c r="C792" s="3611" t="s">
        <v>5057</v>
      </c>
      <c r="D792" s="3611"/>
      <c r="E792" s="3257" t="s">
        <v>4938</v>
      </c>
      <c r="F792" s="3257">
        <v>39.090000000000003</v>
      </c>
      <c r="G792" s="3255" t="s">
        <v>5056</v>
      </c>
    </row>
    <row r="793" spans="1:7">
      <c r="A793" s="3254">
        <v>791</v>
      </c>
      <c r="B793" s="3618"/>
      <c r="C793" s="3611" t="s">
        <v>5057</v>
      </c>
      <c r="D793" s="3611"/>
      <c r="E793" s="3257" t="s">
        <v>4939</v>
      </c>
      <c r="F793" s="3257">
        <v>36.74</v>
      </c>
      <c r="G793" s="3255" t="s">
        <v>5056</v>
      </c>
    </row>
    <row r="794" spans="1:7">
      <c r="A794" s="3254">
        <v>792</v>
      </c>
      <c r="B794" s="3618"/>
      <c r="C794" s="3611" t="s">
        <v>5057</v>
      </c>
      <c r="D794" s="3611"/>
      <c r="E794" s="3257" t="s">
        <v>4940</v>
      </c>
      <c r="F794" s="3257">
        <v>36.74</v>
      </c>
      <c r="G794" s="3255" t="s">
        <v>5056</v>
      </c>
    </row>
    <row r="795" spans="1:7">
      <c r="A795" s="3254">
        <v>793</v>
      </c>
      <c r="B795" s="3618"/>
      <c r="C795" s="3611" t="s">
        <v>5057</v>
      </c>
      <c r="D795" s="3611"/>
      <c r="E795" s="3257" t="s">
        <v>4941</v>
      </c>
      <c r="F795" s="3257">
        <v>36.770000000000003</v>
      </c>
      <c r="G795" s="3255" t="s">
        <v>5056</v>
      </c>
    </row>
    <row r="796" spans="1:7">
      <c r="A796" s="3254">
        <v>794</v>
      </c>
      <c r="B796" s="3618"/>
      <c r="C796" s="3611" t="s">
        <v>5057</v>
      </c>
      <c r="D796" s="3611"/>
      <c r="E796" s="3257" t="s">
        <v>4942</v>
      </c>
      <c r="F796" s="3257">
        <v>36.770000000000003</v>
      </c>
      <c r="G796" s="3255" t="s">
        <v>5056</v>
      </c>
    </row>
    <row r="797" spans="1:7">
      <c r="A797" s="3254">
        <v>795</v>
      </c>
      <c r="B797" s="3618"/>
      <c r="C797" s="3611" t="s">
        <v>5057</v>
      </c>
      <c r="D797" s="3611"/>
      <c r="E797" s="3257" t="s">
        <v>4943</v>
      </c>
      <c r="F797" s="3257">
        <v>36.770000000000003</v>
      </c>
      <c r="G797" s="3255" t="s">
        <v>5056</v>
      </c>
    </row>
    <row r="798" spans="1:7">
      <c r="A798" s="3254">
        <v>796</v>
      </c>
      <c r="B798" s="3618"/>
      <c r="C798" s="3611" t="s">
        <v>5057</v>
      </c>
      <c r="D798" s="3611"/>
      <c r="E798" s="3257" t="s">
        <v>4944</v>
      </c>
      <c r="F798" s="3257">
        <v>40.65</v>
      </c>
      <c r="G798" s="3255" t="s">
        <v>5056</v>
      </c>
    </row>
    <row r="799" spans="1:7">
      <c r="A799" s="3254">
        <v>797</v>
      </c>
      <c r="B799" s="3618"/>
      <c r="C799" s="3611" t="s">
        <v>5057</v>
      </c>
      <c r="D799" s="3611"/>
      <c r="E799" s="3257" t="s">
        <v>4945</v>
      </c>
      <c r="F799" s="3257">
        <v>37.520000000000003</v>
      </c>
      <c r="G799" s="3255" t="s">
        <v>5056</v>
      </c>
    </row>
    <row r="800" spans="1:7">
      <c r="A800" s="3254">
        <v>798</v>
      </c>
      <c r="B800" s="3618"/>
      <c r="C800" s="3611" t="s">
        <v>5057</v>
      </c>
      <c r="D800" s="3611"/>
      <c r="E800" s="3257" t="s">
        <v>4946</v>
      </c>
      <c r="F800" s="3257">
        <v>37.520000000000003</v>
      </c>
      <c r="G800" s="3255" t="s">
        <v>5056</v>
      </c>
    </row>
    <row r="801" spans="1:7">
      <c r="A801" s="3254">
        <v>799</v>
      </c>
      <c r="B801" s="3618"/>
      <c r="C801" s="3611" t="s">
        <v>5057</v>
      </c>
      <c r="D801" s="3611"/>
      <c r="E801" s="3257" t="s">
        <v>4947</v>
      </c>
      <c r="F801" s="3257">
        <v>37.520000000000003</v>
      </c>
      <c r="G801" s="3255" t="s">
        <v>5056</v>
      </c>
    </row>
    <row r="802" spans="1:7">
      <c r="A802" s="3254">
        <v>800</v>
      </c>
      <c r="B802" s="3618"/>
      <c r="C802" s="3611" t="s">
        <v>5057</v>
      </c>
      <c r="D802" s="3611"/>
      <c r="E802" s="3257" t="s">
        <v>4948</v>
      </c>
      <c r="F802" s="3257">
        <v>37.520000000000003</v>
      </c>
      <c r="G802" s="3255" t="s">
        <v>5056</v>
      </c>
    </row>
    <row r="803" spans="1:7">
      <c r="A803" s="3254">
        <v>801</v>
      </c>
      <c r="B803" s="3618"/>
      <c r="C803" s="3611" t="s">
        <v>5057</v>
      </c>
      <c r="D803" s="3611"/>
      <c r="E803" s="3257" t="s">
        <v>4949</v>
      </c>
      <c r="F803" s="3257">
        <v>37.520000000000003</v>
      </c>
      <c r="G803" s="3255" t="s">
        <v>5056</v>
      </c>
    </row>
    <row r="804" spans="1:7">
      <c r="A804" s="3254">
        <v>802</v>
      </c>
      <c r="B804" s="3618"/>
      <c r="C804" s="3611" t="s">
        <v>5057</v>
      </c>
      <c r="D804" s="3611"/>
      <c r="E804" s="3257" t="s">
        <v>4950</v>
      </c>
      <c r="F804" s="3257">
        <v>37.520000000000003</v>
      </c>
      <c r="G804" s="3255" t="s">
        <v>5056</v>
      </c>
    </row>
    <row r="805" spans="1:7">
      <c r="A805" s="3254">
        <v>803</v>
      </c>
      <c r="B805" s="3618"/>
      <c r="C805" s="3611" t="s">
        <v>5057</v>
      </c>
      <c r="D805" s="3611"/>
      <c r="E805" s="3257" t="s">
        <v>4951</v>
      </c>
      <c r="F805" s="3257">
        <v>37.520000000000003</v>
      </c>
      <c r="G805" s="3255" t="s">
        <v>5056</v>
      </c>
    </row>
    <row r="806" spans="1:7">
      <c r="A806" s="3254">
        <v>804</v>
      </c>
      <c r="B806" s="3618"/>
      <c r="C806" s="3611" t="s">
        <v>5057</v>
      </c>
      <c r="D806" s="3611"/>
      <c r="E806" s="3257" t="s">
        <v>4952</v>
      </c>
      <c r="F806" s="3257">
        <v>37.520000000000003</v>
      </c>
      <c r="G806" s="3255" t="s">
        <v>5056</v>
      </c>
    </row>
    <row r="807" spans="1:7">
      <c r="A807" s="3254">
        <v>805</v>
      </c>
      <c r="B807" s="3618"/>
      <c r="C807" s="3611" t="s">
        <v>5057</v>
      </c>
      <c r="D807" s="3611"/>
      <c r="E807" s="3257" t="s">
        <v>4953</v>
      </c>
      <c r="F807" s="3257">
        <v>36.020000000000003</v>
      </c>
      <c r="G807" s="3255" t="s">
        <v>5056</v>
      </c>
    </row>
    <row r="808" spans="1:7">
      <c r="A808" s="3254">
        <v>806</v>
      </c>
      <c r="B808" s="3618"/>
      <c r="C808" s="3611" t="s">
        <v>5057</v>
      </c>
      <c r="D808" s="3611"/>
      <c r="E808" s="3257" t="s">
        <v>4954</v>
      </c>
      <c r="F808" s="3257">
        <v>36.020000000000003</v>
      </c>
      <c r="G808" s="3255" t="s">
        <v>5056</v>
      </c>
    </row>
    <row r="809" spans="1:7">
      <c r="A809" s="3254">
        <v>807</v>
      </c>
      <c r="B809" s="3618"/>
      <c r="C809" s="3611" t="s">
        <v>5057</v>
      </c>
      <c r="D809" s="3611"/>
      <c r="E809" s="3257" t="s">
        <v>4955</v>
      </c>
      <c r="F809" s="3257">
        <v>36.020000000000003</v>
      </c>
      <c r="G809" s="3255" t="s">
        <v>5056</v>
      </c>
    </row>
    <row r="810" spans="1:7">
      <c r="A810" s="3254">
        <v>808</v>
      </c>
      <c r="B810" s="3618"/>
      <c r="C810" s="3611" t="s">
        <v>5057</v>
      </c>
      <c r="D810" s="3611"/>
      <c r="E810" s="3257" t="s">
        <v>4956</v>
      </c>
      <c r="F810" s="3257">
        <v>36.020000000000003</v>
      </c>
      <c r="G810" s="3255" t="s">
        <v>5056</v>
      </c>
    </row>
    <row r="811" spans="1:7">
      <c r="A811" s="3254">
        <v>809</v>
      </c>
      <c r="B811" s="3618"/>
      <c r="C811" s="3611" t="s">
        <v>5057</v>
      </c>
      <c r="D811" s="3611"/>
      <c r="E811" s="3257" t="s">
        <v>4957</v>
      </c>
      <c r="F811" s="3257">
        <v>36.020000000000003</v>
      </c>
      <c r="G811" s="3255" t="s">
        <v>5056</v>
      </c>
    </row>
    <row r="812" spans="1:7">
      <c r="A812" s="3254">
        <v>810</v>
      </c>
      <c r="B812" s="3618"/>
      <c r="C812" s="3611" t="s">
        <v>5057</v>
      </c>
      <c r="D812" s="3611"/>
      <c r="E812" s="3257" t="s">
        <v>4958</v>
      </c>
      <c r="F812" s="3257">
        <v>36.020000000000003</v>
      </c>
      <c r="G812" s="3255" t="s">
        <v>5056</v>
      </c>
    </row>
    <row r="813" spans="1:7">
      <c r="A813" s="3254">
        <v>811</v>
      </c>
      <c r="B813" s="3618"/>
      <c r="C813" s="3611" t="s">
        <v>5057</v>
      </c>
      <c r="D813" s="3611"/>
      <c r="E813" s="3257" t="s">
        <v>4959</v>
      </c>
      <c r="F813" s="3257">
        <v>36.020000000000003</v>
      </c>
      <c r="G813" s="3255" t="s">
        <v>5056</v>
      </c>
    </row>
    <row r="814" spans="1:7">
      <c r="A814" s="3254">
        <v>812</v>
      </c>
      <c r="B814" s="3618"/>
      <c r="C814" s="3611" t="s">
        <v>5057</v>
      </c>
      <c r="D814" s="3611"/>
      <c r="E814" s="3257" t="s">
        <v>4960</v>
      </c>
      <c r="F814" s="3257">
        <v>39.090000000000003</v>
      </c>
      <c r="G814" s="3255" t="s">
        <v>5056</v>
      </c>
    </row>
    <row r="815" spans="1:7">
      <c r="A815" s="3254">
        <v>813</v>
      </c>
      <c r="B815" s="3618"/>
      <c r="C815" s="3611" t="s">
        <v>5057</v>
      </c>
      <c r="D815" s="3611"/>
      <c r="E815" s="3257" t="s">
        <v>4961</v>
      </c>
      <c r="F815" s="3257">
        <v>39.090000000000003</v>
      </c>
      <c r="G815" s="3255" t="s">
        <v>5056</v>
      </c>
    </row>
    <row r="816" spans="1:7">
      <c r="A816" s="3254">
        <v>814</v>
      </c>
      <c r="B816" s="3618"/>
      <c r="C816" s="3611" t="s">
        <v>5057</v>
      </c>
      <c r="D816" s="3611"/>
      <c r="E816" s="3257" t="s">
        <v>4962</v>
      </c>
      <c r="F816" s="3257">
        <v>39.090000000000003</v>
      </c>
      <c r="G816" s="3255" t="s">
        <v>5056</v>
      </c>
    </row>
    <row r="817" spans="1:7">
      <c r="A817" s="3254">
        <v>815</v>
      </c>
      <c r="B817" s="3618"/>
      <c r="C817" s="3611" t="s">
        <v>5057</v>
      </c>
      <c r="D817" s="3611"/>
      <c r="E817" s="3257" t="s">
        <v>4963</v>
      </c>
      <c r="F817" s="3257">
        <v>36.020000000000003</v>
      </c>
      <c r="G817" s="3255" t="s">
        <v>5056</v>
      </c>
    </row>
    <row r="818" spans="1:7">
      <c r="A818" s="3254">
        <v>816</v>
      </c>
      <c r="B818" s="3618"/>
      <c r="C818" s="3611" t="s">
        <v>5057</v>
      </c>
      <c r="D818" s="3611"/>
      <c r="E818" s="3257" t="s">
        <v>4964</v>
      </c>
      <c r="F818" s="3257">
        <v>36.020000000000003</v>
      </c>
      <c r="G818" s="3255" t="s">
        <v>5056</v>
      </c>
    </row>
    <row r="819" spans="1:7">
      <c r="A819" s="3254">
        <v>817</v>
      </c>
      <c r="B819" s="3618"/>
      <c r="C819" s="3611" t="s">
        <v>5057</v>
      </c>
      <c r="D819" s="3611"/>
      <c r="E819" s="3257" t="s">
        <v>4965</v>
      </c>
      <c r="F819" s="3257">
        <v>36.020000000000003</v>
      </c>
      <c r="G819" s="3255" t="s">
        <v>5056</v>
      </c>
    </row>
    <row r="820" spans="1:7">
      <c r="A820" s="3254">
        <v>818</v>
      </c>
      <c r="B820" s="3618"/>
      <c r="C820" s="3611" t="s">
        <v>5057</v>
      </c>
      <c r="D820" s="3611"/>
      <c r="E820" s="3257" t="s">
        <v>4966</v>
      </c>
      <c r="F820" s="3257">
        <v>39.090000000000003</v>
      </c>
      <c r="G820" s="3255" t="s">
        <v>5056</v>
      </c>
    </row>
    <row r="821" spans="1:7">
      <c r="A821" s="3254">
        <v>819</v>
      </c>
      <c r="B821" s="3618"/>
      <c r="C821" s="3611" t="s">
        <v>5057</v>
      </c>
      <c r="D821" s="3611"/>
      <c r="E821" s="3257" t="s">
        <v>4967</v>
      </c>
      <c r="F821" s="3257">
        <v>39.090000000000003</v>
      </c>
      <c r="G821" s="3255" t="s">
        <v>5056</v>
      </c>
    </row>
    <row r="822" spans="1:7">
      <c r="A822" s="3254">
        <v>820</v>
      </c>
      <c r="B822" s="3618"/>
      <c r="C822" s="3611" t="s">
        <v>5057</v>
      </c>
      <c r="D822" s="3611"/>
      <c r="E822" s="3257" t="s">
        <v>4968</v>
      </c>
      <c r="F822" s="3257">
        <v>39.090000000000003</v>
      </c>
      <c r="G822" s="3255" t="s">
        <v>5056</v>
      </c>
    </row>
    <row r="823" spans="1:7">
      <c r="A823" s="3254">
        <v>821</v>
      </c>
      <c r="B823" s="3618"/>
      <c r="C823" s="3611" t="s">
        <v>5057</v>
      </c>
      <c r="D823" s="3611"/>
      <c r="E823" s="3257" t="s">
        <v>4969</v>
      </c>
      <c r="F823" s="3257">
        <v>39.090000000000003</v>
      </c>
      <c r="G823" s="3255" t="s">
        <v>5056</v>
      </c>
    </row>
    <row r="824" spans="1:7">
      <c r="A824" s="3254">
        <v>822</v>
      </c>
      <c r="B824" s="3618"/>
      <c r="C824" s="3611" t="s">
        <v>5057</v>
      </c>
      <c r="D824" s="3611"/>
      <c r="E824" s="3257" t="s">
        <v>4970</v>
      </c>
      <c r="F824" s="3257">
        <v>39.090000000000003</v>
      </c>
      <c r="G824" s="3255" t="s">
        <v>5056</v>
      </c>
    </row>
    <row r="825" spans="1:7">
      <c r="A825" s="3254">
        <v>823</v>
      </c>
      <c r="B825" s="3618"/>
      <c r="C825" s="3611" t="s">
        <v>5057</v>
      </c>
      <c r="D825" s="3611"/>
      <c r="E825" s="3257" t="s">
        <v>4971</v>
      </c>
      <c r="F825" s="3257">
        <v>39.090000000000003</v>
      </c>
      <c r="G825" s="3255" t="s">
        <v>5056</v>
      </c>
    </row>
    <row r="826" spans="1:7">
      <c r="A826" s="3254">
        <v>824</v>
      </c>
      <c r="B826" s="3618"/>
      <c r="C826" s="3611" t="s">
        <v>5057</v>
      </c>
      <c r="D826" s="3611"/>
      <c r="E826" s="3257" t="s">
        <v>4972</v>
      </c>
      <c r="F826" s="3257">
        <v>36.74</v>
      </c>
      <c r="G826" s="3255" t="s">
        <v>5056</v>
      </c>
    </row>
    <row r="827" spans="1:7">
      <c r="A827" s="3254">
        <v>825</v>
      </c>
      <c r="B827" s="3618"/>
      <c r="C827" s="3611" t="s">
        <v>5057</v>
      </c>
      <c r="D827" s="3611"/>
      <c r="E827" s="3257" t="s">
        <v>4973</v>
      </c>
      <c r="F827" s="3257">
        <v>36.74</v>
      </c>
      <c r="G827" s="3255" t="s">
        <v>5056</v>
      </c>
    </row>
    <row r="828" spans="1:7">
      <c r="A828" s="3254">
        <v>826</v>
      </c>
      <c r="B828" s="3618"/>
      <c r="C828" s="3611" t="s">
        <v>5057</v>
      </c>
      <c r="D828" s="3611"/>
      <c r="E828" s="3257" t="s">
        <v>4974</v>
      </c>
      <c r="F828" s="3257">
        <v>36.74</v>
      </c>
      <c r="G828" s="3255" t="s">
        <v>5056</v>
      </c>
    </row>
    <row r="829" spans="1:7">
      <c r="A829" s="3254">
        <v>827</v>
      </c>
      <c r="B829" s="3618"/>
      <c r="C829" s="3611" t="s">
        <v>5057</v>
      </c>
      <c r="D829" s="3611"/>
      <c r="E829" s="3257" t="s">
        <v>4975</v>
      </c>
      <c r="F829" s="3257">
        <v>36.74</v>
      </c>
      <c r="G829" s="3255" t="s">
        <v>5056</v>
      </c>
    </row>
    <row r="830" spans="1:7">
      <c r="A830" s="3254">
        <v>828</v>
      </c>
      <c r="B830" s="3618"/>
      <c r="C830" s="3611" t="s">
        <v>5057</v>
      </c>
      <c r="D830" s="3611"/>
      <c r="E830" s="3257" t="s">
        <v>4976</v>
      </c>
      <c r="F830" s="3257">
        <v>36.74</v>
      </c>
      <c r="G830" s="3255" t="s">
        <v>5056</v>
      </c>
    </row>
    <row r="831" spans="1:7">
      <c r="A831" s="3254">
        <v>829</v>
      </c>
      <c r="B831" s="3618"/>
      <c r="C831" s="3611" t="s">
        <v>5057</v>
      </c>
      <c r="D831" s="3611"/>
      <c r="E831" s="3257" t="s">
        <v>4977</v>
      </c>
      <c r="F831" s="3257">
        <v>36.74</v>
      </c>
      <c r="G831" s="3255" t="s">
        <v>5056</v>
      </c>
    </row>
    <row r="832" spans="1:7">
      <c r="A832" s="3254">
        <v>830</v>
      </c>
      <c r="B832" s="3618"/>
      <c r="C832" s="3611" t="s">
        <v>5057</v>
      </c>
      <c r="D832" s="3611"/>
      <c r="E832" s="3257" t="s">
        <v>4978</v>
      </c>
      <c r="F832" s="3257">
        <v>39.090000000000003</v>
      </c>
      <c r="G832" s="3255" t="s">
        <v>5056</v>
      </c>
    </row>
    <row r="833" spans="1:7">
      <c r="A833" s="3254">
        <v>831</v>
      </c>
      <c r="B833" s="3618"/>
      <c r="C833" s="3611" t="s">
        <v>5057</v>
      </c>
      <c r="D833" s="3611"/>
      <c r="E833" s="3257" t="s">
        <v>4979</v>
      </c>
      <c r="F833" s="3257">
        <v>39.090000000000003</v>
      </c>
      <c r="G833" s="3255" t="s">
        <v>5056</v>
      </c>
    </row>
    <row r="834" spans="1:7">
      <c r="A834" s="3254">
        <v>832</v>
      </c>
      <c r="B834" s="3618"/>
      <c r="C834" s="3611" t="s">
        <v>5057</v>
      </c>
      <c r="D834" s="3611"/>
      <c r="E834" s="3257" t="s">
        <v>4980</v>
      </c>
      <c r="F834" s="3257">
        <v>39.090000000000003</v>
      </c>
      <c r="G834" s="3255" t="s">
        <v>5056</v>
      </c>
    </row>
    <row r="835" spans="1:7">
      <c r="A835" s="3254">
        <v>833</v>
      </c>
      <c r="B835" s="3618"/>
      <c r="C835" s="3611" t="s">
        <v>5057</v>
      </c>
      <c r="D835" s="3611"/>
      <c r="E835" s="3257" t="s">
        <v>4981</v>
      </c>
      <c r="F835" s="3257">
        <v>39.090000000000003</v>
      </c>
      <c r="G835" s="3255" t="s">
        <v>5056</v>
      </c>
    </row>
    <row r="836" spans="1:7">
      <c r="A836" s="3254">
        <v>834</v>
      </c>
      <c r="B836" s="3618"/>
      <c r="C836" s="3611" t="s">
        <v>5057</v>
      </c>
      <c r="D836" s="3611"/>
      <c r="E836" s="3257" t="s">
        <v>4982</v>
      </c>
      <c r="F836" s="3257">
        <v>39.090000000000003</v>
      </c>
      <c r="G836" s="3255" t="s">
        <v>5056</v>
      </c>
    </row>
    <row r="837" spans="1:7">
      <c r="A837" s="3254">
        <v>835</v>
      </c>
      <c r="B837" s="3618"/>
      <c r="C837" s="3611" t="s">
        <v>5057</v>
      </c>
      <c r="D837" s="3611"/>
      <c r="E837" s="3257" t="s">
        <v>4983</v>
      </c>
      <c r="F837" s="3257">
        <v>39.090000000000003</v>
      </c>
      <c r="G837" s="3255" t="s">
        <v>5056</v>
      </c>
    </row>
    <row r="838" spans="1:7">
      <c r="A838" s="3254">
        <v>836</v>
      </c>
      <c r="B838" s="3618"/>
      <c r="C838" s="3611" t="s">
        <v>5057</v>
      </c>
      <c r="D838" s="3611"/>
      <c r="E838" s="3257" t="s">
        <v>4984</v>
      </c>
      <c r="F838" s="3257">
        <v>39.090000000000003</v>
      </c>
      <c r="G838" s="3255" t="s">
        <v>5056</v>
      </c>
    </row>
    <row r="839" spans="1:7">
      <c r="A839" s="3254">
        <v>837</v>
      </c>
      <c r="B839" s="3618"/>
      <c r="C839" s="3611" t="s">
        <v>5057</v>
      </c>
      <c r="D839" s="3611"/>
      <c r="E839" s="3257" t="s">
        <v>4985</v>
      </c>
      <c r="F839" s="3257">
        <v>39.090000000000003</v>
      </c>
      <c r="G839" s="3255" t="s">
        <v>5056</v>
      </c>
    </row>
    <row r="840" spans="1:7">
      <c r="A840" s="3254">
        <v>838</v>
      </c>
      <c r="B840" s="3618"/>
      <c r="C840" s="3611" t="s">
        <v>5057</v>
      </c>
      <c r="D840" s="3611"/>
      <c r="E840" s="3257" t="s">
        <v>4986</v>
      </c>
      <c r="F840" s="3257">
        <v>39.090000000000003</v>
      </c>
      <c r="G840" s="3255" t="s">
        <v>5056</v>
      </c>
    </row>
    <row r="841" spans="1:7">
      <c r="A841" s="3254">
        <v>839</v>
      </c>
      <c r="B841" s="3618"/>
      <c r="C841" s="3611" t="s">
        <v>5057</v>
      </c>
      <c r="D841" s="3611"/>
      <c r="E841" s="3257" t="s">
        <v>4987</v>
      </c>
      <c r="F841" s="3257">
        <v>39.090000000000003</v>
      </c>
      <c r="G841" s="3255" t="s">
        <v>5056</v>
      </c>
    </row>
    <row r="842" spans="1:7">
      <c r="A842" s="3254">
        <v>840</v>
      </c>
      <c r="B842" s="3618"/>
      <c r="C842" s="3611" t="s">
        <v>5057</v>
      </c>
      <c r="D842" s="3611"/>
      <c r="E842" s="3257" t="s">
        <v>4988</v>
      </c>
      <c r="F842" s="3257">
        <v>39.090000000000003</v>
      </c>
      <c r="G842" s="3255" t="s">
        <v>5056</v>
      </c>
    </row>
    <row r="843" spans="1:7">
      <c r="A843" s="3254">
        <v>841</v>
      </c>
      <c r="B843" s="3618"/>
      <c r="C843" s="3611" t="s">
        <v>5057</v>
      </c>
      <c r="D843" s="3611"/>
      <c r="E843" s="3257" t="s">
        <v>4989</v>
      </c>
      <c r="F843" s="3257">
        <v>39.090000000000003</v>
      </c>
      <c r="G843" s="3255" t="s">
        <v>5056</v>
      </c>
    </row>
    <row r="844" spans="1:7">
      <c r="A844" s="3254">
        <v>842</v>
      </c>
      <c r="B844" s="3618"/>
      <c r="C844" s="3611" t="s">
        <v>5057</v>
      </c>
      <c r="D844" s="3611"/>
      <c r="E844" s="3257" t="s">
        <v>4990</v>
      </c>
      <c r="F844" s="3257">
        <v>36.74</v>
      </c>
      <c r="G844" s="3255" t="s">
        <v>5056</v>
      </c>
    </row>
    <row r="845" spans="1:7">
      <c r="A845" s="3254">
        <v>843</v>
      </c>
      <c r="B845" s="3618"/>
      <c r="C845" s="3611" t="s">
        <v>5057</v>
      </c>
      <c r="D845" s="3611"/>
      <c r="E845" s="3257" t="s">
        <v>4991</v>
      </c>
      <c r="F845" s="3257">
        <v>36.74</v>
      </c>
      <c r="G845" s="3255" t="s">
        <v>5056</v>
      </c>
    </row>
    <row r="846" spans="1:7">
      <c r="A846" s="3254">
        <v>844</v>
      </c>
      <c r="B846" s="3618"/>
      <c r="C846" s="3611" t="s">
        <v>5057</v>
      </c>
      <c r="D846" s="3611"/>
      <c r="E846" s="3257" t="s">
        <v>4992</v>
      </c>
      <c r="F846" s="3257">
        <v>36.74</v>
      </c>
      <c r="G846" s="3255" t="s">
        <v>5056</v>
      </c>
    </row>
    <row r="847" spans="1:7">
      <c r="A847" s="3254">
        <v>845</v>
      </c>
      <c r="B847" s="3618"/>
      <c r="C847" s="3611" t="s">
        <v>5057</v>
      </c>
      <c r="D847" s="3611"/>
      <c r="E847" s="3257" t="s">
        <v>4993</v>
      </c>
      <c r="F847" s="3257">
        <v>36.74</v>
      </c>
      <c r="G847" s="3255" t="s">
        <v>5056</v>
      </c>
    </row>
    <row r="848" spans="1:7">
      <c r="A848" s="3254">
        <v>846</v>
      </c>
      <c r="B848" s="3618"/>
      <c r="C848" s="3611" t="s">
        <v>5057</v>
      </c>
      <c r="D848" s="3611"/>
      <c r="E848" s="3257" t="s">
        <v>4994</v>
      </c>
      <c r="F848" s="3257">
        <v>36.74</v>
      </c>
      <c r="G848" s="3255" t="s">
        <v>5056</v>
      </c>
    </row>
    <row r="849" spans="1:7">
      <c r="A849" s="3254">
        <v>847</v>
      </c>
      <c r="B849" s="3618"/>
      <c r="C849" s="3611" t="s">
        <v>5057</v>
      </c>
      <c r="D849" s="3611"/>
      <c r="E849" s="3257" t="s">
        <v>4995</v>
      </c>
      <c r="F849" s="3257">
        <v>36.74</v>
      </c>
      <c r="G849" s="3255" t="s">
        <v>5056</v>
      </c>
    </row>
    <row r="850" spans="1:7">
      <c r="A850" s="3254">
        <v>848</v>
      </c>
      <c r="B850" s="3618"/>
      <c r="C850" s="3611" t="s">
        <v>5057</v>
      </c>
      <c r="D850" s="3611"/>
      <c r="E850" s="3257" t="s">
        <v>4996</v>
      </c>
      <c r="F850" s="3257">
        <v>36.74</v>
      </c>
      <c r="G850" s="3255" t="s">
        <v>5056</v>
      </c>
    </row>
    <row r="851" spans="1:7">
      <c r="A851" s="3254">
        <v>849</v>
      </c>
      <c r="B851" s="3618"/>
      <c r="C851" s="3611" t="s">
        <v>5057</v>
      </c>
      <c r="D851" s="3611"/>
      <c r="E851" s="3257" t="s">
        <v>4997</v>
      </c>
      <c r="F851" s="3257">
        <v>36.74</v>
      </c>
      <c r="G851" s="3255" t="s">
        <v>5056</v>
      </c>
    </row>
    <row r="852" spans="1:7">
      <c r="A852" s="3254">
        <v>850</v>
      </c>
      <c r="B852" s="3618"/>
      <c r="C852" s="3611" t="s">
        <v>5057</v>
      </c>
      <c r="D852" s="3611"/>
      <c r="E852" s="3257" t="s">
        <v>4998</v>
      </c>
      <c r="F852" s="3257">
        <v>39.090000000000003</v>
      </c>
      <c r="G852" s="3255" t="s">
        <v>5056</v>
      </c>
    </row>
    <row r="853" spans="1:7">
      <c r="A853" s="3254">
        <v>851</v>
      </c>
      <c r="B853" s="3618"/>
      <c r="C853" s="3611" t="s">
        <v>5057</v>
      </c>
      <c r="D853" s="3611"/>
      <c r="E853" s="3257" t="s">
        <v>4999</v>
      </c>
      <c r="F853" s="3257">
        <v>39.090000000000003</v>
      </c>
      <c r="G853" s="3255" t="s">
        <v>5056</v>
      </c>
    </row>
    <row r="854" spans="1:7">
      <c r="A854" s="3254">
        <v>852</v>
      </c>
      <c r="B854" s="3618"/>
      <c r="C854" s="3611" t="s">
        <v>5057</v>
      </c>
      <c r="D854" s="3611"/>
      <c r="E854" s="3257" t="s">
        <v>5000</v>
      </c>
      <c r="F854" s="3257">
        <v>39.090000000000003</v>
      </c>
      <c r="G854" s="3255" t="s">
        <v>5056</v>
      </c>
    </row>
    <row r="855" spans="1:7">
      <c r="A855" s="3254">
        <v>853</v>
      </c>
      <c r="B855" s="3618"/>
      <c r="C855" s="3611" t="s">
        <v>5057</v>
      </c>
      <c r="D855" s="3611"/>
      <c r="E855" s="3257" t="s">
        <v>5001</v>
      </c>
      <c r="F855" s="3257">
        <v>39.090000000000003</v>
      </c>
      <c r="G855" s="3255" t="s">
        <v>5056</v>
      </c>
    </row>
    <row r="856" spans="1:7">
      <c r="A856" s="3254">
        <v>854</v>
      </c>
      <c r="B856" s="3618"/>
      <c r="C856" s="3611" t="s">
        <v>5057</v>
      </c>
      <c r="D856" s="3611"/>
      <c r="E856" s="3257" t="s">
        <v>5002</v>
      </c>
      <c r="F856" s="3257">
        <v>39.090000000000003</v>
      </c>
      <c r="G856" s="3255" t="s">
        <v>5056</v>
      </c>
    </row>
    <row r="857" spans="1:7">
      <c r="A857" s="3254">
        <v>855</v>
      </c>
      <c r="B857" s="3618"/>
      <c r="C857" s="3611" t="s">
        <v>5057</v>
      </c>
      <c r="D857" s="3611"/>
      <c r="E857" s="3257" t="s">
        <v>5003</v>
      </c>
      <c r="F857" s="3257">
        <v>32.83</v>
      </c>
      <c r="G857" s="3255" t="s">
        <v>5056</v>
      </c>
    </row>
    <row r="858" spans="1:7">
      <c r="A858" s="3254">
        <v>856</v>
      </c>
      <c r="B858" s="3618"/>
      <c r="C858" s="3611" t="s">
        <v>5057</v>
      </c>
      <c r="D858" s="3611"/>
      <c r="E858" s="3257" t="s">
        <v>5004</v>
      </c>
      <c r="F858" s="3257">
        <v>39.090000000000003</v>
      </c>
      <c r="G858" s="3255" t="s">
        <v>5056</v>
      </c>
    </row>
    <row r="859" spans="1:7">
      <c r="A859" s="3254">
        <v>857</v>
      </c>
      <c r="B859" s="3618"/>
      <c r="C859" s="3611" t="s">
        <v>5057</v>
      </c>
      <c r="D859" s="3611"/>
      <c r="E859" s="3257" t="s">
        <v>5005</v>
      </c>
      <c r="F859" s="3257">
        <v>37.520000000000003</v>
      </c>
      <c r="G859" s="3255" t="s">
        <v>5056</v>
      </c>
    </row>
    <row r="860" spans="1:7">
      <c r="A860" s="3254">
        <v>858</v>
      </c>
      <c r="B860" s="3618"/>
      <c r="C860" s="3611" t="s">
        <v>5057</v>
      </c>
      <c r="D860" s="3611"/>
      <c r="E860" s="3257" t="s">
        <v>5006</v>
      </c>
      <c r="F860" s="3257">
        <v>37.520000000000003</v>
      </c>
      <c r="G860" s="3255" t="s">
        <v>5056</v>
      </c>
    </row>
    <row r="861" spans="1:7">
      <c r="A861" s="3254">
        <v>859</v>
      </c>
      <c r="B861" s="3618"/>
      <c r="C861" s="3611" t="s">
        <v>5057</v>
      </c>
      <c r="D861" s="3611"/>
      <c r="E861" s="3257" t="s">
        <v>5007</v>
      </c>
      <c r="F861" s="3257">
        <v>37.520000000000003</v>
      </c>
      <c r="G861" s="3255" t="s">
        <v>5056</v>
      </c>
    </row>
    <row r="862" spans="1:7">
      <c r="A862" s="3254">
        <v>860</v>
      </c>
      <c r="B862" s="3618"/>
      <c r="C862" s="3611" t="s">
        <v>5057</v>
      </c>
      <c r="D862" s="3611"/>
      <c r="E862" s="3257" t="s">
        <v>5008</v>
      </c>
      <c r="F862" s="3257">
        <v>37.520000000000003</v>
      </c>
      <c r="G862" s="3255" t="s">
        <v>5056</v>
      </c>
    </row>
    <row r="863" spans="1:7">
      <c r="A863" s="3254">
        <v>861</v>
      </c>
      <c r="B863" s="3618"/>
      <c r="C863" s="3611" t="s">
        <v>5057</v>
      </c>
      <c r="D863" s="3611"/>
      <c r="E863" s="3257" t="s">
        <v>5009</v>
      </c>
      <c r="F863" s="3257">
        <v>37.520000000000003</v>
      </c>
      <c r="G863" s="3255" t="s">
        <v>5056</v>
      </c>
    </row>
    <row r="864" spans="1:7">
      <c r="A864" s="3254">
        <v>862</v>
      </c>
      <c r="B864" s="3618"/>
      <c r="C864" s="3611" t="s">
        <v>5057</v>
      </c>
      <c r="D864" s="3611"/>
      <c r="E864" s="3257" t="s">
        <v>5010</v>
      </c>
      <c r="F864" s="3257">
        <v>37.520000000000003</v>
      </c>
      <c r="G864" s="3255" t="s">
        <v>5056</v>
      </c>
    </row>
    <row r="865" spans="1:7">
      <c r="A865" s="3254">
        <v>863</v>
      </c>
      <c r="B865" s="3618"/>
      <c r="C865" s="3611" t="s">
        <v>5057</v>
      </c>
      <c r="D865" s="3611"/>
      <c r="E865" s="3257" t="s">
        <v>5011</v>
      </c>
      <c r="F865" s="3257">
        <v>32.270000000000003</v>
      </c>
      <c r="G865" s="3255" t="s">
        <v>5056</v>
      </c>
    </row>
    <row r="866" spans="1:7">
      <c r="A866" s="3254">
        <v>864</v>
      </c>
      <c r="B866" s="3618"/>
      <c r="C866" s="3611" t="s">
        <v>5057</v>
      </c>
      <c r="D866" s="3611"/>
      <c r="E866" s="3257" t="s">
        <v>5012</v>
      </c>
      <c r="F866" s="3257">
        <v>32.270000000000003</v>
      </c>
      <c r="G866" s="3255" t="s">
        <v>5056</v>
      </c>
    </row>
    <row r="867" spans="1:7">
      <c r="A867" s="3254">
        <v>865</v>
      </c>
      <c r="B867" s="3618"/>
      <c r="C867" s="3611" t="s">
        <v>5057</v>
      </c>
      <c r="D867" s="3611"/>
      <c r="E867" s="3257" t="s">
        <v>5013</v>
      </c>
      <c r="F867" s="3257">
        <v>32.270000000000003</v>
      </c>
      <c r="G867" s="3255" t="s">
        <v>5056</v>
      </c>
    </row>
    <row r="868" spans="1:7">
      <c r="A868" s="3254">
        <v>866</v>
      </c>
      <c r="B868" s="3618"/>
      <c r="C868" s="3611" t="s">
        <v>5057</v>
      </c>
      <c r="D868" s="3611"/>
      <c r="E868" s="3257" t="s">
        <v>5014</v>
      </c>
      <c r="F868" s="3257">
        <v>39.090000000000003</v>
      </c>
      <c r="G868" s="3255" t="s">
        <v>5056</v>
      </c>
    </row>
    <row r="869" spans="1:7">
      <c r="A869" s="3254">
        <v>867</v>
      </c>
      <c r="B869" s="3618"/>
      <c r="C869" s="3611" t="s">
        <v>5057</v>
      </c>
      <c r="D869" s="3611"/>
      <c r="E869" s="3257" t="s">
        <v>5015</v>
      </c>
      <c r="F869" s="3257">
        <v>38.31</v>
      </c>
      <c r="G869" s="3255" t="s">
        <v>5056</v>
      </c>
    </row>
    <row r="870" spans="1:7">
      <c r="A870" s="3254">
        <v>868</v>
      </c>
      <c r="B870" s="3618"/>
      <c r="C870" s="3611" t="s">
        <v>5057</v>
      </c>
      <c r="D870" s="3611"/>
      <c r="E870" s="3257" t="s">
        <v>5016</v>
      </c>
      <c r="F870" s="3257">
        <v>39.090000000000003</v>
      </c>
      <c r="G870" s="3255" t="s">
        <v>5056</v>
      </c>
    </row>
    <row r="871" spans="1:7">
      <c r="A871" s="3254">
        <v>869</v>
      </c>
      <c r="B871" s="3618"/>
      <c r="C871" s="3611" t="s">
        <v>5057</v>
      </c>
      <c r="D871" s="3611"/>
      <c r="E871" s="3257" t="s">
        <v>5017</v>
      </c>
      <c r="F871" s="3257">
        <v>39.090000000000003</v>
      </c>
      <c r="G871" s="3255" t="s">
        <v>5056</v>
      </c>
    </row>
    <row r="872" spans="1:7">
      <c r="A872" s="3254">
        <v>870</v>
      </c>
      <c r="B872" s="3618"/>
      <c r="C872" s="3611" t="s">
        <v>5057</v>
      </c>
      <c r="D872" s="3611"/>
      <c r="E872" s="3257" t="s">
        <v>5018</v>
      </c>
      <c r="F872" s="3257">
        <v>36.74</v>
      </c>
      <c r="G872" s="3255" t="s">
        <v>5056</v>
      </c>
    </row>
    <row r="873" spans="1:7">
      <c r="A873" s="3254">
        <v>871</v>
      </c>
      <c r="B873" s="3618"/>
      <c r="C873" s="3611" t="s">
        <v>5057</v>
      </c>
      <c r="D873" s="3611"/>
      <c r="E873" s="3257" t="s">
        <v>5019</v>
      </c>
      <c r="F873" s="3257">
        <v>36.74</v>
      </c>
      <c r="G873" s="3255" t="s">
        <v>5056</v>
      </c>
    </row>
    <row r="874" spans="1:7">
      <c r="A874" s="3254">
        <v>872</v>
      </c>
      <c r="B874" s="3618"/>
      <c r="C874" s="3611" t="s">
        <v>5057</v>
      </c>
      <c r="D874" s="3611"/>
      <c r="E874" s="3257" t="s">
        <v>5020</v>
      </c>
      <c r="F874" s="3257">
        <v>36.74</v>
      </c>
      <c r="G874" s="3255" t="s">
        <v>5056</v>
      </c>
    </row>
    <row r="875" spans="1:7">
      <c r="A875" s="3254">
        <v>873</v>
      </c>
      <c r="B875" s="3618"/>
      <c r="C875" s="3611" t="s">
        <v>5057</v>
      </c>
      <c r="D875" s="3611"/>
      <c r="E875" s="3257" t="s">
        <v>5021</v>
      </c>
      <c r="F875" s="3257">
        <v>36.74</v>
      </c>
      <c r="G875" s="3255" t="s">
        <v>5056</v>
      </c>
    </row>
    <row r="876" spans="1:7">
      <c r="A876" s="3254">
        <v>874</v>
      </c>
      <c r="B876" s="3618"/>
      <c r="C876" s="3611" t="s">
        <v>5057</v>
      </c>
      <c r="D876" s="3611"/>
      <c r="E876" s="3257" t="s">
        <v>5022</v>
      </c>
      <c r="F876" s="3257">
        <v>39.090000000000003</v>
      </c>
      <c r="G876" s="3255" t="s">
        <v>5056</v>
      </c>
    </row>
    <row r="877" spans="1:7">
      <c r="A877" s="3254">
        <v>875</v>
      </c>
      <c r="B877" s="3618"/>
      <c r="C877" s="3611" t="s">
        <v>5057</v>
      </c>
      <c r="D877" s="3611"/>
      <c r="E877" s="3257" t="s">
        <v>5023</v>
      </c>
      <c r="F877" s="3257">
        <v>39.090000000000003</v>
      </c>
      <c r="G877" s="3255" t="s">
        <v>5056</v>
      </c>
    </row>
    <row r="878" spans="1:7">
      <c r="A878" s="3254">
        <v>876</v>
      </c>
      <c r="B878" s="3618"/>
      <c r="C878" s="3611" t="s">
        <v>5057</v>
      </c>
      <c r="D878" s="3611"/>
      <c r="E878" s="3257" t="s">
        <v>5024</v>
      </c>
      <c r="F878" s="3257">
        <v>39.090000000000003</v>
      </c>
      <c r="G878" s="3255" t="s">
        <v>5056</v>
      </c>
    </row>
    <row r="879" spans="1:7">
      <c r="A879" s="3254">
        <v>877</v>
      </c>
      <c r="B879" s="3618"/>
      <c r="C879" s="3611" t="s">
        <v>5057</v>
      </c>
      <c r="D879" s="3611"/>
      <c r="E879" s="3257" t="s">
        <v>5025</v>
      </c>
      <c r="F879" s="3257">
        <v>39.090000000000003</v>
      </c>
      <c r="G879" s="3255" t="s">
        <v>5056</v>
      </c>
    </row>
    <row r="880" spans="1:7">
      <c r="A880" s="3254">
        <v>878</v>
      </c>
      <c r="B880" s="3618"/>
      <c r="C880" s="3611" t="s">
        <v>5057</v>
      </c>
      <c r="D880" s="3611"/>
      <c r="E880" s="3257" t="s">
        <v>5026</v>
      </c>
      <c r="F880" s="3257">
        <v>39.090000000000003</v>
      </c>
      <c r="G880" s="3255" t="s">
        <v>5056</v>
      </c>
    </row>
    <row r="881" spans="1:7">
      <c r="A881" s="3254">
        <v>879</v>
      </c>
      <c r="B881" s="3618"/>
      <c r="C881" s="3611" t="s">
        <v>5057</v>
      </c>
      <c r="D881" s="3611"/>
      <c r="E881" s="3257" t="s">
        <v>5027</v>
      </c>
      <c r="F881" s="3257">
        <v>39.090000000000003</v>
      </c>
      <c r="G881" s="3255" t="s">
        <v>5056</v>
      </c>
    </row>
    <row r="882" spans="1:7">
      <c r="A882" s="3254">
        <v>880</v>
      </c>
      <c r="B882" s="3618"/>
      <c r="C882" s="3611" t="s">
        <v>5057</v>
      </c>
      <c r="D882" s="3611"/>
      <c r="E882" s="3257" t="s">
        <v>5028</v>
      </c>
      <c r="F882" s="3257">
        <v>36.74</v>
      </c>
      <c r="G882" s="3255" t="s">
        <v>5056</v>
      </c>
    </row>
    <row r="883" spans="1:7">
      <c r="A883" s="3254">
        <v>881</v>
      </c>
      <c r="B883" s="3618"/>
      <c r="C883" s="3611" t="s">
        <v>5057</v>
      </c>
      <c r="D883" s="3611"/>
      <c r="E883" s="3257" t="s">
        <v>5029</v>
      </c>
      <c r="F883" s="3257">
        <v>36.74</v>
      </c>
      <c r="G883" s="3255" t="s">
        <v>5056</v>
      </c>
    </row>
    <row r="884" spans="1:7">
      <c r="A884" s="3254">
        <v>882</v>
      </c>
      <c r="B884" s="3618"/>
      <c r="C884" s="3611" t="s">
        <v>5057</v>
      </c>
      <c r="D884" s="3611"/>
      <c r="E884" s="3257" t="s">
        <v>5030</v>
      </c>
      <c r="F884" s="3257">
        <v>36.74</v>
      </c>
      <c r="G884" s="3255" t="s">
        <v>5056</v>
      </c>
    </row>
    <row r="885" spans="1:7">
      <c r="A885" s="3254">
        <v>883</v>
      </c>
      <c r="B885" s="3618"/>
      <c r="C885" s="3611" t="s">
        <v>5057</v>
      </c>
      <c r="D885" s="3611"/>
      <c r="E885" s="3257" t="s">
        <v>5031</v>
      </c>
      <c r="F885" s="3257">
        <v>36.74</v>
      </c>
      <c r="G885" s="3255" t="s">
        <v>5056</v>
      </c>
    </row>
    <row r="886" spans="1:7">
      <c r="A886" s="3254">
        <v>884</v>
      </c>
      <c r="B886" s="3618"/>
      <c r="C886" s="3611" t="s">
        <v>5057</v>
      </c>
      <c r="D886" s="3611"/>
      <c r="E886" s="3257" t="s">
        <v>5032</v>
      </c>
      <c r="F886" s="3257">
        <v>36.74</v>
      </c>
      <c r="G886" s="3255" t="s">
        <v>5056</v>
      </c>
    </row>
    <row r="887" spans="1:7">
      <c r="A887" s="3254">
        <v>885</v>
      </c>
      <c r="B887" s="3618"/>
      <c r="C887" s="3611" t="s">
        <v>5057</v>
      </c>
      <c r="D887" s="3611"/>
      <c r="E887" s="3257" t="s">
        <v>5033</v>
      </c>
      <c r="F887" s="3257">
        <v>36.74</v>
      </c>
      <c r="G887" s="3255" t="s">
        <v>5056</v>
      </c>
    </row>
    <row r="888" spans="1:7">
      <c r="A888" s="3254">
        <v>886</v>
      </c>
      <c r="B888" s="3618"/>
      <c r="C888" s="3611" t="s">
        <v>5057</v>
      </c>
      <c r="D888" s="3611"/>
      <c r="E888" s="3257" t="s">
        <v>5034</v>
      </c>
      <c r="F888" s="3257">
        <v>39.090000000000003</v>
      </c>
      <c r="G888" s="3255" t="s">
        <v>5056</v>
      </c>
    </row>
    <row r="889" spans="1:7">
      <c r="A889" s="3254">
        <v>887</v>
      </c>
      <c r="B889" s="3618"/>
      <c r="C889" s="3611" t="s">
        <v>5057</v>
      </c>
      <c r="D889" s="3611"/>
      <c r="E889" s="3257" t="s">
        <v>5035</v>
      </c>
      <c r="F889" s="3257">
        <v>39.090000000000003</v>
      </c>
      <c r="G889" s="3255" t="s">
        <v>5056</v>
      </c>
    </row>
    <row r="890" spans="1:7">
      <c r="A890" s="3254">
        <v>888</v>
      </c>
      <c r="B890" s="3618"/>
      <c r="C890" s="3611" t="s">
        <v>5057</v>
      </c>
      <c r="D890" s="3611"/>
      <c r="E890" s="3257" t="s">
        <v>5036</v>
      </c>
      <c r="F890" s="3257">
        <v>39.090000000000003</v>
      </c>
      <c r="G890" s="3255" t="s">
        <v>5056</v>
      </c>
    </row>
    <row r="891" spans="1:7">
      <c r="A891" s="3254">
        <v>889</v>
      </c>
      <c r="B891" s="3618"/>
      <c r="C891" s="3611" t="s">
        <v>5057</v>
      </c>
      <c r="D891" s="3611"/>
      <c r="E891" s="3257" t="s">
        <v>5037</v>
      </c>
      <c r="F891" s="3257">
        <v>39.090000000000003</v>
      </c>
      <c r="G891" s="3255" t="s">
        <v>5056</v>
      </c>
    </row>
    <row r="892" spans="1:7">
      <c r="A892" s="3254">
        <v>890</v>
      </c>
      <c r="B892" s="3618"/>
      <c r="C892" s="3611" t="s">
        <v>5057</v>
      </c>
      <c r="D892" s="3611"/>
      <c r="E892" s="3257" t="s">
        <v>5038</v>
      </c>
      <c r="F892" s="3257">
        <v>39.090000000000003</v>
      </c>
      <c r="G892" s="3255" t="s">
        <v>5056</v>
      </c>
    </row>
    <row r="893" spans="1:7">
      <c r="A893" s="3254">
        <v>891</v>
      </c>
      <c r="B893" s="3618"/>
      <c r="C893" s="3611" t="s">
        <v>5057</v>
      </c>
      <c r="D893" s="3611"/>
      <c r="E893" s="3257" t="s">
        <v>5039</v>
      </c>
      <c r="F893" s="3257">
        <v>39.090000000000003</v>
      </c>
      <c r="G893" s="3255" t="s">
        <v>5056</v>
      </c>
    </row>
    <row r="894" spans="1:7">
      <c r="A894" s="3254">
        <v>892</v>
      </c>
      <c r="B894" s="3618"/>
      <c r="C894" s="3611" t="s">
        <v>5057</v>
      </c>
      <c r="D894" s="3611"/>
      <c r="E894" s="3257" t="s">
        <v>5040</v>
      </c>
      <c r="F894" s="3257">
        <v>39.090000000000003</v>
      </c>
      <c r="G894" s="3255" t="s">
        <v>5056</v>
      </c>
    </row>
    <row r="895" spans="1:7">
      <c r="A895" s="3254">
        <v>893</v>
      </c>
      <c r="B895" s="3618"/>
      <c r="C895" s="3611" t="s">
        <v>5057</v>
      </c>
      <c r="D895" s="3611"/>
      <c r="E895" s="3257" t="s">
        <v>5041</v>
      </c>
      <c r="F895" s="3257">
        <v>39.090000000000003</v>
      </c>
      <c r="G895" s="3255" t="s">
        <v>5056</v>
      </c>
    </row>
    <row r="896" spans="1:7">
      <c r="A896" s="3254">
        <v>894</v>
      </c>
      <c r="B896" s="3618"/>
      <c r="C896" s="3611" t="s">
        <v>5057</v>
      </c>
      <c r="D896" s="3611"/>
      <c r="E896" s="3257" t="s">
        <v>5042</v>
      </c>
      <c r="F896" s="3257">
        <v>36.74</v>
      </c>
      <c r="G896" s="3255" t="s">
        <v>5056</v>
      </c>
    </row>
    <row r="897" spans="1:7">
      <c r="A897" s="3254">
        <v>895</v>
      </c>
      <c r="B897" s="3618"/>
      <c r="C897" s="3611" t="s">
        <v>5057</v>
      </c>
      <c r="D897" s="3611"/>
      <c r="E897" s="3257" t="s">
        <v>5043</v>
      </c>
      <c r="F897" s="3257">
        <v>36.74</v>
      </c>
      <c r="G897" s="3255" t="s">
        <v>5056</v>
      </c>
    </row>
    <row r="898" spans="1:7">
      <c r="A898" s="3254">
        <v>896</v>
      </c>
      <c r="B898" s="3618"/>
      <c r="C898" s="3611" t="s">
        <v>5057</v>
      </c>
      <c r="D898" s="3611"/>
      <c r="E898" s="3257" t="s">
        <v>5044</v>
      </c>
      <c r="F898" s="3257">
        <v>36.74</v>
      </c>
      <c r="G898" s="3255" t="s">
        <v>5056</v>
      </c>
    </row>
    <row r="899" spans="1:7">
      <c r="A899" s="3254">
        <v>897</v>
      </c>
      <c r="B899" s="3618"/>
      <c r="C899" s="3611" t="s">
        <v>5057</v>
      </c>
      <c r="D899" s="3611"/>
      <c r="E899" s="3257" t="s">
        <v>5045</v>
      </c>
      <c r="F899" s="3257">
        <v>37.520000000000003</v>
      </c>
      <c r="G899" s="3255" t="s">
        <v>5056</v>
      </c>
    </row>
    <row r="900" spans="1:7">
      <c r="A900" s="3254">
        <v>898</v>
      </c>
      <c r="B900" s="3618"/>
      <c r="C900" s="3611" t="s">
        <v>5057</v>
      </c>
      <c r="D900" s="3611"/>
      <c r="E900" s="3257" t="s">
        <v>5046</v>
      </c>
      <c r="F900" s="3257">
        <v>37.520000000000003</v>
      </c>
      <c r="G900" s="3255" t="s">
        <v>5056</v>
      </c>
    </row>
    <row r="901" spans="1:7">
      <c r="A901" s="3254">
        <v>899</v>
      </c>
      <c r="B901" s="3618"/>
      <c r="C901" s="3611" t="s">
        <v>5057</v>
      </c>
      <c r="D901" s="3611"/>
      <c r="E901" s="3257" t="s">
        <v>5047</v>
      </c>
      <c r="F901" s="3257">
        <v>39.090000000000003</v>
      </c>
      <c r="G901" s="3255" t="s">
        <v>5056</v>
      </c>
    </row>
    <row r="902" spans="1:7">
      <c r="A902" s="3254">
        <v>900</v>
      </c>
      <c r="B902" s="3618"/>
      <c r="C902" s="3611" t="s">
        <v>5057</v>
      </c>
      <c r="D902" s="3611"/>
      <c r="E902" s="3257" t="s">
        <v>5048</v>
      </c>
      <c r="F902" s="3257">
        <v>39.090000000000003</v>
      </c>
      <c r="G902" s="3255" t="s">
        <v>5056</v>
      </c>
    </row>
    <row r="903" spans="1:7">
      <c r="A903" s="3612" t="s">
        <v>4440</v>
      </c>
      <c r="B903" s="3612"/>
      <c r="C903" s="3612"/>
      <c r="D903" s="3612"/>
      <c r="E903" s="3612"/>
      <c r="F903" s="3255">
        <f>SUM(F295:F902)</f>
        <v>22728.580000000144</v>
      </c>
      <c r="G903" s="3255" t="s">
        <v>70</v>
      </c>
    </row>
    <row r="904" spans="1:7">
      <c r="A904" s="3612" t="s">
        <v>5058</v>
      </c>
      <c r="B904" s="3612"/>
      <c r="C904" s="3612"/>
      <c r="D904" s="3612"/>
      <c r="E904" s="3612"/>
      <c r="F904" s="3255">
        <f>SUM(F903,F294)</f>
        <v>32206.890000000203</v>
      </c>
      <c r="G904" s="3255" t="s">
        <v>70</v>
      </c>
    </row>
  </sheetData>
  <mergeCells count="906">
    <mergeCell ref="C10:D10"/>
    <mergeCell ref="C11:D11"/>
    <mergeCell ref="C12:D12"/>
    <mergeCell ref="C13:D13"/>
    <mergeCell ref="C14:D14"/>
    <mergeCell ref="C15:D15"/>
    <mergeCell ref="C1:D1"/>
    <mergeCell ref="C2:D2"/>
    <mergeCell ref="C3:D3"/>
    <mergeCell ref="C4:D4"/>
    <mergeCell ref="C5:D5"/>
    <mergeCell ref="C6:D6"/>
    <mergeCell ref="C7:D7"/>
    <mergeCell ref="C8:D8"/>
    <mergeCell ref="C9:D9"/>
    <mergeCell ref="C22:D22"/>
    <mergeCell ref="C23:D23"/>
    <mergeCell ref="C24:D24"/>
    <mergeCell ref="C25:D25"/>
    <mergeCell ref="C26:D26"/>
    <mergeCell ref="C27:D27"/>
    <mergeCell ref="C16:D16"/>
    <mergeCell ref="C17:D17"/>
    <mergeCell ref="C18:D18"/>
    <mergeCell ref="C19:D19"/>
    <mergeCell ref="C20:D20"/>
    <mergeCell ref="C21:D21"/>
    <mergeCell ref="C34:D34"/>
    <mergeCell ref="C35:D35"/>
    <mergeCell ref="C36:D36"/>
    <mergeCell ref="C37:D37"/>
    <mergeCell ref="C38:D38"/>
    <mergeCell ref="C39:D39"/>
    <mergeCell ref="C28:D28"/>
    <mergeCell ref="C29:D29"/>
    <mergeCell ref="C30:D30"/>
    <mergeCell ref="C31:D31"/>
    <mergeCell ref="C32:D32"/>
    <mergeCell ref="C33:D33"/>
    <mergeCell ref="C46:D46"/>
    <mergeCell ref="C47:D47"/>
    <mergeCell ref="C48:D48"/>
    <mergeCell ref="C49:D49"/>
    <mergeCell ref="C50:D50"/>
    <mergeCell ref="C51:D51"/>
    <mergeCell ref="C40:D40"/>
    <mergeCell ref="C41:D41"/>
    <mergeCell ref="C42:D42"/>
    <mergeCell ref="C43:D43"/>
    <mergeCell ref="C44:D44"/>
    <mergeCell ref="C45:D45"/>
    <mergeCell ref="C58:D58"/>
    <mergeCell ref="C59:D59"/>
    <mergeCell ref="C60:D60"/>
    <mergeCell ref="C61:D61"/>
    <mergeCell ref="C62:D62"/>
    <mergeCell ref="C63:D63"/>
    <mergeCell ref="C52:D52"/>
    <mergeCell ref="C53:D53"/>
    <mergeCell ref="C54:D54"/>
    <mergeCell ref="C55:D55"/>
    <mergeCell ref="C56:D56"/>
    <mergeCell ref="C57:D57"/>
    <mergeCell ref="C70:D70"/>
    <mergeCell ref="C71:D71"/>
    <mergeCell ref="C72:D72"/>
    <mergeCell ref="C73:D73"/>
    <mergeCell ref="C74:D74"/>
    <mergeCell ref="C75:D75"/>
    <mergeCell ref="C64:D64"/>
    <mergeCell ref="C65:D65"/>
    <mergeCell ref="C66:D66"/>
    <mergeCell ref="C67:D67"/>
    <mergeCell ref="C68:D68"/>
    <mergeCell ref="C69:D69"/>
    <mergeCell ref="C82:D82"/>
    <mergeCell ref="C83:D83"/>
    <mergeCell ref="C84:D84"/>
    <mergeCell ref="C85:D85"/>
    <mergeCell ref="C86:D86"/>
    <mergeCell ref="C87:D87"/>
    <mergeCell ref="C76:D76"/>
    <mergeCell ref="C77:D77"/>
    <mergeCell ref="C78:D78"/>
    <mergeCell ref="C79:D79"/>
    <mergeCell ref="C80:D80"/>
    <mergeCell ref="C81:D81"/>
    <mergeCell ref="C94:D94"/>
    <mergeCell ref="C95:D95"/>
    <mergeCell ref="C96:D96"/>
    <mergeCell ref="C97:D97"/>
    <mergeCell ref="C98:D98"/>
    <mergeCell ref="C99:D99"/>
    <mergeCell ref="C88:D88"/>
    <mergeCell ref="C89:D89"/>
    <mergeCell ref="C90:D90"/>
    <mergeCell ref="C91:D91"/>
    <mergeCell ref="C92:D92"/>
    <mergeCell ref="C93:D93"/>
    <mergeCell ref="C106:D106"/>
    <mergeCell ref="C107:D107"/>
    <mergeCell ref="C108:D108"/>
    <mergeCell ref="C109:D109"/>
    <mergeCell ref="C110:D110"/>
    <mergeCell ref="C111:D111"/>
    <mergeCell ref="C100:D100"/>
    <mergeCell ref="C101:D101"/>
    <mergeCell ref="C102:D102"/>
    <mergeCell ref="C103:D103"/>
    <mergeCell ref="C104:D104"/>
    <mergeCell ref="C105:D105"/>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90:D190"/>
    <mergeCell ref="C191:D191"/>
    <mergeCell ref="C192:D192"/>
    <mergeCell ref="C193:D193"/>
    <mergeCell ref="C194:D194"/>
    <mergeCell ref="C195:D195"/>
    <mergeCell ref="C184:D184"/>
    <mergeCell ref="C185:D185"/>
    <mergeCell ref="C186:D186"/>
    <mergeCell ref="C187:D187"/>
    <mergeCell ref="C188:D188"/>
    <mergeCell ref="C189:D189"/>
    <mergeCell ref="C202:D202"/>
    <mergeCell ref="C203:D203"/>
    <mergeCell ref="C204:D204"/>
    <mergeCell ref="C205:D205"/>
    <mergeCell ref="C206:D206"/>
    <mergeCell ref="C207:D207"/>
    <mergeCell ref="C196:D196"/>
    <mergeCell ref="C197:D197"/>
    <mergeCell ref="C198:D198"/>
    <mergeCell ref="C199:D199"/>
    <mergeCell ref="C200:D200"/>
    <mergeCell ref="C201:D201"/>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86:D286"/>
    <mergeCell ref="C287:D287"/>
    <mergeCell ref="C288:D288"/>
    <mergeCell ref="C289:D289"/>
    <mergeCell ref="C290:D290"/>
    <mergeCell ref="C291:D291"/>
    <mergeCell ref="C280:D280"/>
    <mergeCell ref="C281:D281"/>
    <mergeCell ref="C282:D282"/>
    <mergeCell ref="C283:D283"/>
    <mergeCell ref="C284:D284"/>
    <mergeCell ref="C285:D285"/>
    <mergeCell ref="C301:D301"/>
    <mergeCell ref="C302:D302"/>
    <mergeCell ref="C303:D303"/>
    <mergeCell ref="C304:D304"/>
    <mergeCell ref="C305:D305"/>
    <mergeCell ref="C306:D306"/>
    <mergeCell ref="C292:D292"/>
    <mergeCell ref="A294:E294"/>
    <mergeCell ref="B295:B902"/>
    <mergeCell ref="C295:D295"/>
    <mergeCell ref="C296:D296"/>
    <mergeCell ref="C297:D297"/>
    <mergeCell ref="C298:D298"/>
    <mergeCell ref="C299:D299"/>
    <mergeCell ref="C300:D300"/>
    <mergeCell ref="C313:D313"/>
    <mergeCell ref="C314:D314"/>
    <mergeCell ref="C315:D315"/>
    <mergeCell ref="C316:D316"/>
    <mergeCell ref="C317:D317"/>
    <mergeCell ref="C318:D318"/>
    <mergeCell ref="C307:D307"/>
    <mergeCell ref="C308:D308"/>
    <mergeCell ref="C309:D309"/>
    <mergeCell ref="C310:D310"/>
    <mergeCell ref="C311:D311"/>
    <mergeCell ref="C312:D312"/>
    <mergeCell ref="C325:D325"/>
    <mergeCell ref="C326:D326"/>
    <mergeCell ref="C327:D327"/>
    <mergeCell ref="C328:D328"/>
    <mergeCell ref="C329:D329"/>
    <mergeCell ref="C330:D330"/>
    <mergeCell ref="C319:D319"/>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C333:D333"/>
    <mergeCell ref="C334:D334"/>
    <mergeCell ref="C335:D335"/>
    <mergeCell ref="C336:D336"/>
    <mergeCell ref="C349:D349"/>
    <mergeCell ref="C350:D350"/>
    <mergeCell ref="C351:D351"/>
    <mergeCell ref="C352:D352"/>
    <mergeCell ref="C353:D353"/>
    <mergeCell ref="C354:D354"/>
    <mergeCell ref="C343:D343"/>
    <mergeCell ref="C344:D344"/>
    <mergeCell ref="C345:D345"/>
    <mergeCell ref="C346:D346"/>
    <mergeCell ref="C347:D347"/>
    <mergeCell ref="C348:D348"/>
    <mergeCell ref="C361:D361"/>
    <mergeCell ref="C362:D362"/>
    <mergeCell ref="C363:D363"/>
    <mergeCell ref="C364:D364"/>
    <mergeCell ref="C365:D365"/>
    <mergeCell ref="C366:D366"/>
    <mergeCell ref="C355:D355"/>
    <mergeCell ref="C356:D356"/>
    <mergeCell ref="C357:D357"/>
    <mergeCell ref="C358:D358"/>
    <mergeCell ref="C359:D359"/>
    <mergeCell ref="C360:D360"/>
    <mergeCell ref="C373:D373"/>
    <mergeCell ref="C374:D374"/>
    <mergeCell ref="C375:D375"/>
    <mergeCell ref="C376:D376"/>
    <mergeCell ref="C377:D377"/>
    <mergeCell ref="C378:D378"/>
    <mergeCell ref="C367:D367"/>
    <mergeCell ref="C368:D368"/>
    <mergeCell ref="C369:D369"/>
    <mergeCell ref="C370:D370"/>
    <mergeCell ref="C371:D371"/>
    <mergeCell ref="C372:D372"/>
    <mergeCell ref="C385:D385"/>
    <mergeCell ref="C386:D386"/>
    <mergeCell ref="C387:D387"/>
    <mergeCell ref="C388:D388"/>
    <mergeCell ref="C389:D389"/>
    <mergeCell ref="C390:D390"/>
    <mergeCell ref="C379:D379"/>
    <mergeCell ref="C380:D380"/>
    <mergeCell ref="C381:D381"/>
    <mergeCell ref="C382:D382"/>
    <mergeCell ref="C383:D383"/>
    <mergeCell ref="C384:D384"/>
    <mergeCell ref="C397:D397"/>
    <mergeCell ref="C398:D398"/>
    <mergeCell ref="C399:D399"/>
    <mergeCell ref="C400:D400"/>
    <mergeCell ref="C401:D401"/>
    <mergeCell ref="C402:D402"/>
    <mergeCell ref="C391:D391"/>
    <mergeCell ref="C392:D392"/>
    <mergeCell ref="C393:D393"/>
    <mergeCell ref="C394:D394"/>
    <mergeCell ref="C395:D395"/>
    <mergeCell ref="C396:D396"/>
    <mergeCell ref="C409:D409"/>
    <mergeCell ref="C410:D410"/>
    <mergeCell ref="C411:D411"/>
    <mergeCell ref="C412:D412"/>
    <mergeCell ref="C413:D413"/>
    <mergeCell ref="C414:D414"/>
    <mergeCell ref="C403:D403"/>
    <mergeCell ref="C404:D404"/>
    <mergeCell ref="C405:D405"/>
    <mergeCell ref="C406:D406"/>
    <mergeCell ref="C407:D407"/>
    <mergeCell ref="C408:D408"/>
    <mergeCell ref="C421:D421"/>
    <mergeCell ref="C422:D422"/>
    <mergeCell ref="C423:D423"/>
    <mergeCell ref="C424:D424"/>
    <mergeCell ref="C425:D425"/>
    <mergeCell ref="C426:D426"/>
    <mergeCell ref="C415:D415"/>
    <mergeCell ref="C416:D416"/>
    <mergeCell ref="C417:D417"/>
    <mergeCell ref="C418:D418"/>
    <mergeCell ref="C419:D419"/>
    <mergeCell ref="C420:D420"/>
    <mergeCell ref="C433:D433"/>
    <mergeCell ref="C434:D434"/>
    <mergeCell ref="C435:D435"/>
    <mergeCell ref="C436:D436"/>
    <mergeCell ref="C437:D437"/>
    <mergeCell ref="C438:D438"/>
    <mergeCell ref="C427:D427"/>
    <mergeCell ref="C428:D428"/>
    <mergeCell ref="C429:D429"/>
    <mergeCell ref="C430:D430"/>
    <mergeCell ref="C431:D431"/>
    <mergeCell ref="C432:D432"/>
    <mergeCell ref="C445:D445"/>
    <mergeCell ref="C446:D446"/>
    <mergeCell ref="C447:D447"/>
    <mergeCell ref="C448:D448"/>
    <mergeCell ref="C449:D449"/>
    <mergeCell ref="C450:D450"/>
    <mergeCell ref="C439:D439"/>
    <mergeCell ref="C440:D440"/>
    <mergeCell ref="C441:D441"/>
    <mergeCell ref="C442:D442"/>
    <mergeCell ref="C443:D443"/>
    <mergeCell ref="C444:D444"/>
    <mergeCell ref="C457:D457"/>
    <mergeCell ref="C458:D458"/>
    <mergeCell ref="C459:D459"/>
    <mergeCell ref="C460:D460"/>
    <mergeCell ref="C461:D461"/>
    <mergeCell ref="C462:D462"/>
    <mergeCell ref="C451:D451"/>
    <mergeCell ref="C452:D452"/>
    <mergeCell ref="C453:D453"/>
    <mergeCell ref="C454:D454"/>
    <mergeCell ref="C455:D455"/>
    <mergeCell ref="C456:D456"/>
    <mergeCell ref="C469:D469"/>
    <mergeCell ref="C470:D470"/>
    <mergeCell ref="C471:D471"/>
    <mergeCell ref="C472:D472"/>
    <mergeCell ref="C473:D473"/>
    <mergeCell ref="C474:D474"/>
    <mergeCell ref="C463:D463"/>
    <mergeCell ref="C464:D464"/>
    <mergeCell ref="C465:D465"/>
    <mergeCell ref="C466:D466"/>
    <mergeCell ref="C467:D467"/>
    <mergeCell ref="C468:D468"/>
    <mergeCell ref="C481:D481"/>
    <mergeCell ref="C482:D482"/>
    <mergeCell ref="C483:D483"/>
    <mergeCell ref="C484:D484"/>
    <mergeCell ref="C485:D485"/>
    <mergeCell ref="C486:D486"/>
    <mergeCell ref="C475:D475"/>
    <mergeCell ref="C476:D476"/>
    <mergeCell ref="C477:D477"/>
    <mergeCell ref="C478:D478"/>
    <mergeCell ref="C479:D479"/>
    <mergeCell ref="C480:D480"/>
    <mergeCell ref="C493:D493"/>
    <mergeCell ref="C494:D494"/>
    <mergeCell ref="C495:D495"/>
    <mergeCell ref="C496:D496"/>
    <mergeCell ref="C497:D497"/>
    <mergeCell ref="C498:D498"/>
    <mergeCell ref="C487:D487"/>
    <mergeCell ref="C488:D488"/>
    <mergeCell ref="C489:D489"/>
    <mergeCell ref="C490:D490"/>
    <mergeCell ref="C491:D491"/>
    <mergeCell ref="C492:D492"/>
    <mergeCell ref="C505:D505"/>
    <mergeCell ref="C506:D506"/>
    <mergeCell ref="C507:D507"/>
    <mergeCell ref="C508:D508"/>
    <mergeCell ref="C509:D509"/>
    <mergeCell ref="C510:D510"/>
    <mergeCell ref="C499:D499"/>
    <mergeCell ref="C500:D500"/>
    <mergeCell ref="C501:D501"/>
    <mergeCell ref="C502:D502"/>
    <mergeCell ref="C503:D503"/>
    <mergeCell ref="C504:D504"/>
    <mergeCell ref="C517:D517"/>
    <mergeCell ref="C518:D518"/>
    <mergeCell ref="C519:D519"/>
    <mergeCell ref="C520:D520"/>
    <mergeCell ref="C521:D521"/>
    <mergeCell ref="C522:D522"/>
    <mergeCell ref="C511:D511"/>
    <mergeCell ref="C512:D512"/>
    <mergeCell ref="C513:D513"/>
    <mergeCell ref="C514:D514"/>
    <mergeCell ref="C515:D515"/>
    <mergeCell ref="C516:D516"/>
    <mergeCell ref="C529:D529"/>
    <mergeCell ref="C530:D530"/>
    <mergeCell ref="C531:D531"/>
    <mergeCell ref="C532:D532"/>
    <mergeCell ref="C533:D533"/>
    <mergeCell ref="C534:D534"/>
    <mergeCell ref="C523:D523"/>
    <mergeCell ref="C524:D524"/>
    <mergeCell ref="C525:D525"/>
    <mergeCell ref="C526:D526"/>
    <mergeCell ref="C527:D527"/>
    <mergeCell ref="C528:D528"/>
    <mergeCell ref="C541:D541"/>
    <mergeCell ref="C542:D542"/>
    <mergeCell ref="C543:D543"/>
    <mergeCell ref="C544:D544"/>
    <mergeCell ref="C545:D545"/>
    <mergeCell ref="C546:D546"/>
    <mergeCell ref="C535:D535"/>
    <mergeCell ref="C536:D536"/>
    <mergeCell ref="C537:D537"/>
    <mergeCell ref="C538:D538"/>
    <mergeCell ref="C539:D539"/>
    <mergeCell ref="C540:D540"/>
    <mergeCell ref="C553:D553"/>
    <mergeCell ref="C554:D554"/>
    <mergeCell ref="C555:D555"/>
    <mergeCell ref="C556:D556"/>
    <mergeCell ref="C557:D557"/>
    <mergeCell ref="C558:D558"/>
    <mergeCell ref="C547:D547"/>
    <mergeCell ref="C548:D548"/>
    <mergeCell ref="C549:D549"/>
    <mergeCell ref="C550:D550"/>
    <mergeCell ref="C551:D551"/>
    <mergeCell ref="C552:D552"/>
    <mergeCell ref="C565:D565"/>
    <mergeCell ref="C566:D566"/>
    <mergeCell ref="C567:D567"/>
    <mergeCell ref="C568:D568"/>
    <mergeCell ref="C569:D569"/>
    <mergeCell ref="C570:D570"/>
    <mergeCell ref="C559:D559"/>
    <mergeCell ref="C560:D560"/>
    <mergeCell ref="C561:D561"/>
    <mergeCell ref="C562:D562"/>
    <mergeCell ref="C563:D563"/>
    <mergeCell ref="C564:D564"/>
    <mergeCell ref="C577:D577"/>
    <mergeCell ref="C578:D578"/>
    <mergeCell ref="C579:D579"/>
    <mergeCell ref="C580:D580"/>
    <mergeCell ref="C581:D581"/>
    <mergeCell ref="C582:D582"/>
    <mergeCell ref="C571:D571"/>
    <mergeCell ref="C572:D572"/>
    <mergeCell ref="C573:D573"/>
    <mergeCell ref="C574:D574"/>
    <mergeCell ref="C575:D575"/>
    <mergeCell ref="C576:D576"/>
    <mergeCell ref="C589:D589"/>
    <mergeCell ref="C590:D590"/>
    <mergeCell ref="C591:D591"/>
    <mergeCell ref="C592:D592"/>
    <mergeCell ref="C593:D593"/>
    <mergeCell ref="C594:D594"/>
    <mergeCell ref="C583:D583"/>
    <mergeCell ref="C584:D584"/>
    <mergeCell ref="C585:D585"/>
    <mergeCell ref="C586:D586"/>
    <mergeCell ref="C587:D587"/>
    <mergeCell ref="C588:D588"/>
    <mergeCell ref="C601:D601"/>
    <mergeCell ref="C602:D602"/>
    <mergeCell ref="C603:D603"/>
    <mergeCell ref="C604:D604"/>
    <mergeCell ref="C605:D605"/>
    <mergeCell ref="C606:D606"/>
    <mergeCell ref="C595:D595"/>
    <mergeCell ref="C596:D596"/>
    <mergeCell ref="C597:D597"/>
    <mergeCell ref="C598:D598"/>
    <mergeCell ref="C599:D599"/>
    <mergeCell ref="C600:D600"/>
    <mergeCell ref="C613:D613"/>
    <mergeCell ref="C614:D614"/>
    <mergeCell ref="C615:D615"/>
    <mergeCell ref="C616:D616"/>
    <mergeCell ref="C617:D617"/>
    <mergeCell ref="C618:D618"/>
    <mergeCell ref="C607:D607"/>
    <mergeCell ref="C608:D608"/>
    <mergeCell ref="C609:D609"/>
    <mergeCell ref="C610:D610"/>
    <mergeCell ref="C611:D611"/>
    <mergeCell ref="C612:D612"/>
    <mergeCell ref="C625:D625"/>
    <mergeCell ref="C626:D626"/>
    <mergeCell ref="C627:D627"/>
    <mergeCell ref="C628:D628"/>
    <mergeCell ref="C629:D629"/>
    <mergeCell ref="C630:D630"/>
    <mergeCell ref="C619:D619"/>
    <mergeCell ref="C620:D620"/>
    <mergeCell ref="C621:D621"/>
    <mergeCell ref="C622:D622"/>
    <mergeCell ref="C623:D623"/>
    <mergeCell ref="C624:D624"/>
    <mergeCell ref="C637:D637"/>
    <mergeCell ref="C638:D638"/>
    <mergeCell ref="C639:D639"/>
    <mergeCell ref="C640:D640"/>
    <mergeCell ref="C641:D641"/>
    <mergeCell ref="C642:D642"/>
    <mergeCell ref="C631:D631"/>
    <mergeCell ref="C632:D632"/>
    <mergeCell ref="C633:D633"/>
    <mergeCell ref="C634:D634"/>
    <mergeCell ref="C635:D635"/>
    <mergeCell ref="C636:D636"/>
    <mergeCell ref="C649:D649"/>
    <mergeCell ref="C650:D650"/>
    <mergeCell ref="C651:D651"/>
    <mergeCell ref="C652:D652"/>
    <mergeCell ref="C653:D653"/>
    <mergeCell ref="C654:D654"/>
    <mergeCell ref="C643:D643"/>
    <mergeCell ref="C644:D644"/>
    <mergeCell ref="C645:D645"/>
    <mergeCell ref="C646:D646"/>
    <mergeCell ref="C647:D647"/>
    <mergeCell ref="C648:D648"/>
    <mergeCell ref="C661:D661"/>
    <mergeCell ref="C662:D662"/>
    <mergeCell ref="C663:D663"/>
    <mergeCell ref="C664:D664"/>
    <mergeCell ref="C665:D665"/>
    <mergeCell ref="C666:D666"/>
    <mergeCell ref="C655:D655"/>
    <mergeCell ref="C656:D656"/>
    <mergeCell ref="C657:D657"/>
    <mergeCell ref="C658:D658"/>
    <mergeCell ref="C659:D659"/>
    <mergeCell ref="C660:D660"/>
    <mergeCell ref="C673:D673"/>
    <mergeCell ref="C674:D674"/>
    <mergeCell ref="C675:D675"/>
    <mergeCell ref="C676:D676"/>
    <mergeCell ref="C677:D677"/>
    <mergeCell ref="C678:D678"/>
    <mergeCell ref="C667:D667"/>
    <mergeCell ref="C668:D668"/>
    <mergeCell ref="C669:D669"/>
    <mergeCell ref="C670:D670"/>
    <mergeCell ref="C671:D671"/>
    <mergeCell ref="C672:D672"/>
    <mergeCell ref="C685:D685"/>
    <mergeCell ref="C686:D686"/>
    <mergeCell ref="C687:D687"/>
    <mergeCell ref="C688:D688"/>
    <mergeCell ref="C689:D689"/>
    <mergeCell ref="C690:D690"/>
    <mergeCell ref="C679:D679"/>
    <mergeCell ref="C680:D680"/>
    <mergeCell ref="C681:D681"/>
    <mergeCell ref="C682:D682"/>
    <mergeCell ref="C683:D683"/>
    <mergeCell ref="C684:D684"/>
    <mergeCell ref="C697:D697"/>
    <mergeCell ref="C698:D698"/>
    <mergeCell ref="C699:D699"/>
    <mergeCell ref="C700:D700"/>
    <mergeCell ref="C701:D701"/>
    <mergeCell ref="C702:D702"/>
    <mergeCell ref="C691:D691"/>
    <mergeCell ref="C692:D692"/>
    <mergeCell ref="C693:D693"/>
    <mergeCell ref="C694:D694"/>
    <mergeCell ref="C695:D695"/>
    <mergeCell ref="C696:D696"/>
    <mergeCell ref="C709:D709"/>
    <mergeCell ref="C710:D710"/>
    <mergeCell ref="C711:D711"/>
    <mergeCell ref="C712:D712"/>
    <mergeCell ref="C713:D713"/>
    <mergeCell ref="C714:D714"/>
    <mergeCell ref="C703:D703"/>
    <mergeCell ref="C704:D704"/>
    <mergeCell ref="C705:D705"/>
    <mergeCell ref="C706:D706"/>
    <mergeCell ref="C707:D707"/>
    <mergeCell ref="C708:D708"/>
    <mergeCell ref="C721:D721"/>
    <mergeCell ref="C722:D722"/>
    <mergeCell ref="C723:D723"/>
    <mergeCell ref="C724:D724"/>
    <mergeCell ref="C725:D725"/>
    <mergeCell ref="C726:D726"/>
    <mergeCell ref="C715:D715"/>
    <mergeCell ref="C716:D716"/>
    <mergeCell ref="C717:D717"/>
    <mergeCell ref="C718:D718"/>
    <mergeCell ref="C719:D719"/>
    <mergeCell ref="C720:D720"/>
    <mergeCell ref="C733:D733"/>
    <mergeCell ref="C734:D734"/>
    <mergeCell ref="C735:D735"/>
    <mergeCell ref="C736:D736"/>
    <mergeCell ref="C737:D737"/>
    <mergeCell ref="C738:D738"/>
    <mergeCell ref="C727:D727"/>
    <mergeCell ref="C728:D728"/>
    <mergeCell ref="C729:D729"/>
    <mergeCell ref="C730:D730"/>
    <mergeCell ref="C731:D731"/>
    <mergeCell ref="C732:D732"/>
    <mergeCell ref="C745:D745"/>
    <mergeCell ref="C746:D746"/>
    <mergeCell ref="C747:D747"/>
    <mergeCell ref="C748:D748"/>
    <mergeCell ref="C749:D749"/>
    <mergeCell ref="C750:D750"/>
    <mergeCell ref="C739:D739"/>
    <mergeCell ref="C740:D740"/>
    <mergeCell ref="C741:D741"/>
    <mergeCell ref="C742:D742"/>
    <mergeCell ref="C743:D743"/>
    <mergeCell ref="C744:D744"/>
    <mergeCell ref="C757:D757"/>
    <mergeCell ref="C758:D758"/>
    <mergeCell ref="C759:D759"/>
    <mergeCell ref="C760:D760"/>
    <mergeCell ref="C761:D761"/>
    <mergeCell ref="C762:D762"/>
    <mergeCell ref="C751:D751"/>
    <mergeCell ref="C752:D752"/>
    <mergeCell ref="C753:D753"/>
    <mergeCell ref="C754:D754"/>
    <mergeCell ref="C755:D755"/>
    <mergeCell ref="C756:D756"/>
    <mergeCell ref="C769:D769"/>
    <mergeCell ref="C770:D770"/>
    <mergeCell ref="C771:D771"/>
    <mergeCell ref="C772:D772"/>
    <mergeCell ref="C773:D773"/>
    <mergeCell ref="C774:D774"/>
    <mergeCell ref="C763:D763"/>
    <mergeCell ref="C764:D764"/>
    <mergeCell ref="C765:D765"/>
    <mergeCell ref="C766:D766"/>
    <mergeCell ref="C767:D767"/>
    <mergeCell ref="C768:D768"/>
    <mergeCell ref="C781:D781"/>
    <mergeCell ref="C782:D782"/>
    <mergeCell ref="C783:D783"/>
    <mergeCell ref="C784:D784"/>
    <mergeCell ref="C785:D785"/>
    <mergeCell ref="C786:D786"/>
    <mergeCell ref="C775:D775"/>
    <mergeCell ref="C776:D776"/>
    <mergeCell ref="C777:D777"/>
    <mergeCell ref="C778:D778"/>
    <mergeCell ref="C779:D779"/>
    <mergeCell ref="C780:D780"/>
    <mergeCell ref="C793:D793"/>
    <mergeCell ref="C794:D794"/>
    <mergeCell ref="C795:D795"/>
    <mergeCell ref="C796:D796"/>
    <mergeCell ref="C797:D797"/>
    <mergeCell ref="C798:D798"/>
    <mergeCell ref="C787:D787"/>
    <mergeCell ref="C788:D788"/>
    <mergeCell ref="C789:D789"/>
    <mergeCell ref="C790:D790"/>
    <mergeCell ref="C791:D791"/>
    <mergeCell ref="C792:D792"/>
    <mergeCell ref="C805:D805"/>
    <mergeCell ref="C806:D806"/>
    <mergeCell ref="C807:D807"/>
    <mergeCell ref="C808:D808"/>
    <mergeCell ref="C809:D809"/>
    <mergeCell ref="C810:D810"/>
    <mergeCell ref="C799:D799"/>
    <mergeCell ref="C800:D800"/>
    <mergeCell ref="C801:D801"/>
    <mergeCell ref="C802:D802"/>
    <mergeCell ref="C803:D803"/>
    <mergeCell ref="C804:D804"/>
    <mergeCell ref="C817:D817"/>
    <mergeCell ref="C818:D818"/>
    <mergeCell ref="C819:D819"/>
    <mergeCell ref="C820:D820"/>
    <mergeCell ref="C821:D821"/>
    <mergeCell ref="C822:D822"/>
    <mergeCell ref="C811:D811"/>
    <mergeCell ref="C812:D812"/>
    <mergeCell ref="C813:D813"/>
    <mergeCell ref="C814:D814"/>
    <mergeCell ref="C815:D815"/>
    <mergeCell ref="C816:D816"/>
    <mergeCell ref="C829:D829"/>
    <mergeCell ref="C830:D830"/>
    <mergeCell ref="C831:D831"/>
    <mergeCell ref="C832:D832"/>
    <mergeCell ref="C833:D833"/>
    <mergeCell ref="C834:D834"/>
    <mergeCell ref="C823:D823"/>
    <mergeCell ref="C824:D824"/>
    <mergeCell ref="C825:D825"/>
    <mergeCell ref="C826:D826"/>
    <mergeCell ref="C827:D827"/>
    <mergeCell ref="C828:D828"/>
    <mergeCell ref="C841:D841"/>
    <mergeCell ref="C842:D842"/>
    <mergeCell ref="C843:D843"/>
    <mergeCell ref="C844:D844"/>
    <mergeCell ref="C845:D845"/>
    <mergeCell ref="C846:D846"/>
    <mergeCell ref="C835:D835"/>
    <mergeCell ref="C836:D836"/>
    <mergeCell ref="C837:D837"/>
    <mergeCell ref="C838:D838"/>
    <mergeCell ref="C839:D839"/>
    <mergeCell ref="C840:D840"/>
    <mergeCell ref="C853:D853"/>
    <mergeCell ref="C854:D854"/>
    <mergeCell ref="C855:D855"/>
    <mergeCell ref="C856:D856"/>
    <mergeCell ref="C857:D857"/>
    <mergeCell ref="C858:D858"/>
    <mergeCell ref="C847:D847"/>
    <mergeCell ref="C848:D848"/>
    <mergeCell ref="C849:D849"/>
    <mergeCell ref="C850:D850"/>
    <mergeCell ref="C851:D851"/>
    <mergeCell ref="C852:D852"/>
    <mergeCell ref="C865:D865"/>
    <mergeCell ref="C866:D866"/>
    <mergeCell ref="C867:D867"/>
    <mergeCell ref="C868:D868"/>
    <mergeCell ref="C869:D869"/>
    <mergeCell ref="C870:D870"/>
    <mergeCell ref="C859:D859"/>
    <mergeCell ref="C860:D860"/>
    <mergeCell ref="C861:D861"/>
    <mergeCell ref="C862:D862"/>
    <mergeCell ref="C863:D863"/>
    <mergeCell ref="C864:D864"/>
    <mergeCell ref="C877:D877"/>
    <mergeCell ref="C878:D878"/>
    <mergeCell ref="C879:D879"/>
    <mergeCell ref="C880:D880"/>
    <mergeCell ref="C881:D881"/>
    <mergeCell ref="C882:D882"/>
    <mergeCell ref="C871:D871"/>
    <mergeCell ref="C872:D872"/>
    <mergeCell ref="C873:D873"/>
    <mergeCell ref="C874:D874"/>
    <mergeCell ref="C875:D875"/>
    <mergeCell ref="C876:D876"/>
    <mergeCell ref="C901:D901"/>
    <mergeCell ref="C902:D902"/>
    <mergeCell ref="A903:E903"/>
    <mergeCell ref="A904:E904"/>
    <mergeCell ref="B2:B293"/>
    <mergeCell ref="C293:D293"/>
    <mergeCell ref="C895:D895"/>
    <mergeCell ref="C896:D896"/>
    <mergeCell ref="C897:D897"/>
    <mergeCell ref="C898:D898"/>
    <mergeCell ref="C899:D899"/>
    <mergeCell ref="C900:D900"/>
    <mergeCell ref="C889:D889"/>
    <mergeCell ref="C890:D890"/>
    <mergeCell ref="C891:D891"/>
    <mergeCell ref="C892:D892"/>
    <mergeCell ref="C893:D893"/>
    <mergeCell ref="C894:D894"/>
    <mergeCell ref="C883:D883"/>
    <mergeCell ref="C884:D884"/>
    <mergeCell ref="C885:D885"/>
    <mergeCell ref="C886:D886"/>
    <mergeCell ref="C887:D887"/>
    <mergeCell ref="C888:D888"/>
  </mergeCells>
  <phoneticPr fontId="141"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3"/>
  <sheetViews>
    <sheetView topLeftCell="A863" workbookViewId="0">
      <selection sqref="A1:G902"/>
    </sheetView>
  </sheetViews>
  <sheetFormatPr defaultRowHeight="12.75"/>
  <cols>
    <col min="1" max="3" width="9" style="3624"/>
    <col min="4" max="4" width="11.5" style="3624" customWidth="1"/>
    <col min="5" max="5" width="9" style="3624"/>
    <col min="6" max="6" width="14" style="3624" customWidth="1"/>
    <col min="7" max="7" width="10.375" style="3624" customWidth="1"/>
    <col min="8" max="16384" width="9" style="3624"/>
  </cols>
  <sheetData>
    <row r="1" spans="1:7" ht="14.25">
      <c r="A1" s="3619" t="s">
        <v>5066</v>
      </c>
      <c r="B1" s="3619"/>
      <c r="C1" s="3620" t="s">
        <v>5067</v>
      </c>
      <c r="D1" s="3621" t="s">
        <v>5065</v>
      </c>
      <c r="E1" s="3622" t="s">
        <v>5064</v>
      </c>
      <c r="F1" s="3623" t="s">
        <v>5068</v>
      </c>
      <c r="G1" s="3622" t="s">
        <v>5063</v>
      </c>
    </row>
    <row r="2" spans="1:7" ht="14.25" customHeight="1">
      <c r="A2" s="3625" t="s">
        <v>5069</v>
      </c>
      <c r="B2" s="3625"/>
      <c r="C2" s="3626" t="s">
        <v>4146</v>
      </c>
      <c r="D2" s="3626">
        <v>33.93</v>
      </c>
      <c r="E2" s="3623">
        <f>典型户型修正!C24</f>
        <v>1</v>
      </c>
      <c r="F2" s="3623">
        <f ca="1">典型户型修正!R24</f>
        <v>5764</v>
      </c>
      <c r="G2" s="3623">
        <f ca="1">典型户型修正!S24</f>
        <v>20</v>
      </c>
    </row>
    <row r="3" spans="1:7">
      <c r="A3" s="3625" t="s">
        <v>5069</v>
      </c>
      <c r="B3" s="3625"/>
      <c r="C3" s="3626" t="s">
        <v>4147</v>
      </c>
      <c r="D3" s="3626">
        <v>33.93</v>
      </c>
      <c r="E3" s="3623">
        <f>典型户型修正!C25</f>
        <v>1</v>
      </c>
      <c r="F3" s="3623">
        <f ca="1">典型户型修正!R25</f>
        <v>5764</v>
      </c>
      <c r="G3" s="3623">
        <f ca="1">典型户型修正!S25</f>
        <v>20</v>
      </c>
    </row>
    <row r="4" spans="1:7">
      <c r="A4" s="3625" t="s">
        <v>5069</v>
      </c>
      <c r="B4" s="3625"/>
      <c r="C4" s="3626" t="s">
        <v>4148</v>
      </c>
      <c r="D4" s="3626">
        <v>33.93</v>
      </c>
      <c r="E4" s="3623">
        <f>典型户型修正!C26</f>
        <v>1</v>
      </c>
      <c r="F4" s="3623">
        <f ca="1">典型户型修正!R26</f>
        <v>5764</v>
      </c>
      <c r="G4" s="3623">
        <f ca="1">典型户型修正!S26</f>
        <v>20</v>
      </c>
    </row>
    <row r="5" spans="1:7">
      <c r="A5" s="3625" t="s">
        <v>5069</v>
      </c>
      <c r="B5" s="3625"/>
      <c r="C5" s="3626" t="s">
        <v>4149</v>
      </c>
      <c r="D5" s="3626">
        <v>33.93</v>
      </c>
      <c r="E5" s="3623">
        <f>典型户型修正!C27</f>
        <v>1</v>
      </c>
      <c r="F5" s="3623">
        <f ca="1">典型户型修正!R27</f>
        <v>5764</v>
      </c>
      <c r="G5" s="3623">
        <f ca="1">典型户型修正!S27</f>
        <v>20</v>
      </c>
    </row>
    <row r="6" spans="1:7">
      <c r="A6" s="3625" t="s">
        <v>5069</v>
      </c>
      <c r="B6" s="3625"/>
      <c r="C6" s="3626" t="s">
        <v>4150</v>
      </c>
      <c r="D6" s="3626">
        <v>33.93</v>
      </c>
      <c r="E6" s="3623">
        <f>典型户型修正!C28</f>
        <v>1</v>
      </c>
      <c r="F6" s="3623">
        <f ca="1">典型户型修正!R28</f>
        <v>5764</v>
      </c>
      <c r="G6" s="3623">
        <f ca="1">典型户型修正!S28</f>
        <v>20</v>
      </c>
    </row>
    <row r="7" spans="1:7">
      <c r="A7" s="3625" t="s">
        <v>5069</v>
      </c>
      <c r="B7" s="3625"/>
      <c r="C7" s="3626" t="s">
        <v>4151</v>
      </c>
      <c r="D7" s="3626">
        <v>33.93</v>
      </c>
      <c r="E7" s="3623">
        <f>典型户型修正!C29</f>
        <v>1</v>
      </c>
      <c r="F7" s="3623">
        <f ca="1">典型户型修正!R29</f>
        <v>5764</v>
      </c>
      <c r="G7" s="3623">
        <f ca="1">典型户型修正!S29</f>
        <v>20</v>
      </c>
    </row>
    <row r="8" spans="1:7">
      <c r="A8" s="3625" t="s">
        <v>5069</v>
      </c>
      <c r="B8" s="3625"/>
      <c r="C8" s="3626" t="s">
        <v>4152</v>
      </c>
      <c r="D8" s="3626">
        <v>33.93</v>
      </c>
      <c r="E8" s="3623">
        <f>典型户型修正!C30</f>
        <v>1</v>
      </c>
      <c r="F8" s="3623">
        <f ca="1">典型户型修正!R30</f>
        <v>5764</v>
      </c>
      <c r="G8" s="3623">
        <f ca="1">典型户型修正!S30</f>
        <v>20</v>
      </c>
    </row>
    <row r="9" spans="1:7">
      <c r="A9" s="3625" t="s">
        <v>5069</v>
      </c>
      <c r="B9" s="3625"/>
      <c r="C9" s="3626" t="s">
        <v>4153</v>
      </c>
      <c r="D9" s="3626">
        <v>33.93</v>
      </c>
      <c r="E9" s="3623">
        <f>典型户型修正!C31</f>
        <v>1</v>
      </c>
      <c r="F9" s="3623">
        <f ca="1">典型户型修正!R31</f>
        <v>5764</v>
      </c>
      <c r="G9" s="3623">
        <f ca="1">典型户型修正!S31</f>
        <v>20</v>
      </c>
    </row>
    <row r="10" spans="1:7">
      <c r="A10" s="3625" t="s">
        <v>5069</v>
      </c>
      <c r="B10" s="3625"/>
      <c r="C10" s="3626" t="s">
        <v>4154</v>
      </c>
      <c r="D10" s="3626">
        <v>33.93</v>
      </c>
      <c r="E10" s="3623">
        <f>典型户型修正!C32</f>
        <v>1</v>
      </c>
      <c r="F10" s="3623">
        <f ca="1">典型户型修正!R32</f>
        <v>5764</v>
      </c>
      <c r="G10" s="3623">
        <f ca="1">典型户型修正!S32</f>
        <v>20</v>
      </c>
    </row>
    <row r="11" spans="1:7">
      <c r="A11" s="3625" t="s">
        <v>5069</v>
      </c>
      <c r="B11" s="3625"/>
      <c r="C11" s="3626" t="s">
        <v>4155</v>
      </c>
      <c r="D11" s="3626">
        <v>33.93</v>
      </c>
      <c r="E11" s="3623">
        <f>典型户型修正!C33</f>
        <v>1</v>
      </c>
      <c r="F11" s="3623">
        <f ca="1">典型户型修正!R33</f>
        <v>5764</v>
      </c>
      <c r="G11" s="3623">
        <f ca="1">典型户型修正!S33</f>
        <v>20</v>
      </c>
    </row>
    <row r="12" spans="1:7">
      <c r="A12" s="3625" t="s">
        <v>5069</v>
      </c>
      <c r="B12" s="3625"/>
      <c r="C12" s="3626" t="s">
        <v>4156</v>
      </c>
      <c r="D12" s="3626">
        <v>33.93</v>
      </c>
      <c r="E12" s="3623">
        <f>典型户型修正!C34</f>
        <v>1</v>
      </c>
      <c r="F12" s="3623">
        <f ca="1">典型户型修正!R34</f>
        <v>5764</v>
      </c>
      <c r="G12" s="3623">
        <f ca="1">典型户型修正!S34</f>
        <v>20</v>
      </c>
    </row>
    <row r="13" spans="1:7">
      <c r="A13" s="3625" t="s">
        <v>5069</v>
      </c>
      <c r="B13" s="3625"/>
      <c r="C13" s="3626" t="s">
        <v>4157</v>
      </c>
      <c r="D13" s="3626">
        <v>33.93</v>
      </c>
      <c r="E13" s="3623">
        <f>典型户型修正!C35</f>
        <v>1</v>
      </c>
      <c r="F13" s="3623">
        <f ca="1">典型户型修正!R35</f>
        <v>5764</v>
      </c>
      <c r="G13" s="3623">
        <f ca="1">典型户型修正!S35</f>
        <v>20</v>
      </c>
    </row>
    <row r="14" spans="1:7">
      <c r="A14" s="3625" t="s">
        <v>5069</v>
      </c>
      <c r="B14" s="3625"/>
      <c r="C14" s="3626" t="s">
        <v>4158</v>
      </c>
      <c r="D14" s="3626">
        <v>33.93</v>
      </c>
      <c r="E14" s="3623">
        <f>典型户型修正!C36</f>
        <v>1</v>
      </c>
      <c r="F14" s="3623">
        <f ca="1">典型户型修正!R36</f>
        <v>5764</v>
      </c>
      <c r="G14" s="3623">
        <f ca="1">典型户型修正!S36</f>
        <v>20</v>
      </c>
    </row>
    <row r="15" spans="1:7">
      <c r="A15" s="3625" t="s">
        <v>5069</v>
      </c>
      <c r="B15" s="3625"/>
      <c r="C15" s="3626" t="s">
        <v>4159</v>
      </c>
      <c r="D15" s="3626">
        <v>33.93</v>
      </c>
      <c r="E15" s="3623">
        <f>典型户型修正!C37</f>
        <v>1</v>
      </c>
      <c r="F15" s="3623">
        <f ca="1">典型户型修正!R37</f>
        <v>5764</v>
      </c>
      <c r="G15" s="3623">
        <f ca="1">典型户型修正!S37</f>
        <v>20</v>
      </c>
    </row>
    <row r="16" spans="1:7">
      <c r="A16" s="3625" t="s">
        <v>5069</v>
      </c>
      <c r="B16" s="3625"/>
      <c r="C16" s="3626" t="s">
        <v>4160</v>
      </c>
      <c r="D16" s="3626">
        <v>32.58</v>
      </c>
      <c r="E16" s="3623">
        <f>典型户型修正!C38</f>
        <v>1</v>
      </c>
      <c r="F16" s="3623">
        <f ca="1">典型户型修正!R38</f>
        <v>5764</v>
      </c>
      <c r="G16" s="3623">
        <f ca="1">典型户型修正!S38</f>
        <v>19</v>
      </c>
    </row>
    <row r="17" spans="1:7">
      <c r="A17" s="3625" t="s">
        <v>5069</v>
      </c>
      <c r="B17" s="3625"/>
      <c r="C17" s="3626" t="s">
        <v>4161</v>
      </c>
      <c r="D17" s="3626">
        <v>33.93</v>
      </c>
      <c r="E17" s="3623">
        <f>典型户型修正!C39</f>
        <v>1</v>
      </c>
      <c r="F17" s="3623">
        <f ca="1">典型户型修正!R39</f>
        <v>5764</v>
      </c>
      <c r="G17" s="3623">
        <f ca="1">典型户型修正!S39</f>
        <v>20</v>
      </c>
    </row>
    <row r="18" spans="1:7">
      <c r="A18" s="3625" t="s">
        <v>5069</v>
      </c>
      <c r="B18" s="3625"/>
      <c r="C18" s="3626" t="s">
        <v>4162</v>
      </c>
      <c r="D18" s="3626">
        <v>33.93</v>
      </c>
      <c r="E18" s="3623">
        <f>典型户型修正!C40</f>
        <v>1</v>
      </c>
      <c r="F18" s="3623">
        <f ca="1">典型户型修正!R40</f>
        <v>5764</v>
      </c>
      <c r="G18" s="3623">
        <f ca="1">典型户型修正!S40</f>
        <v>20</v>
      </c>
    </row>
    <row r="19" spans="1:7">
      <c r="A19" s="3625" t="s">
        <v>5069</v>
      </c>
      <c r="B19" s="3625"/>
      <c r="C19" s="3626" t="s">
        <v>4163</v>
      </c>
      <c r="D19" s="3626">
        <v>33.93</v>
      </c>
      <c r="E19" s="3623">
        <f>典型户型修正!C41</f>
        <v>1</v>
      </c>
      <c r="F19" s="3623">
        <f ca="1">典型户型修正!R41</f>
        <v>5764</v>
      </c>
      <c r="G19" s="3623">
        <f ca="1">典型户型修正!S41</f>
        <v>20</v>
      </c>
    </row>
    <row r="20" spans="1:7">
      <c r="A20" s="3625" t="s">
        <v>5069</v>
      </c>
      <c r="B20" s="3625"/>
      <c r="C20" s="3626" t="s">
        <v>4164</v>
      </c>
      <c r="D20" s="3626">
        <v>33.93</v>
      </c>
      <c r="E20" s="3623">
        <f>典型户型修正!C42</f>
        <v>1</v>
      </c>
      <c r="F20" s="3623">
        <f ca="1">典型户型修正!R42</f>
        <v>5764</v>
      </c>
      <c r="G20" s="3623">
        <f ca="1">典型户型修正!S42</f>
        <v>20</v>
      </c>
    </row>
    <row r="21" spans="1:7">
      <c r="A21" s="3625" t="s">
        <v>5069</v>
      </c>
      <c r="B21" s="3625"/>
      <c r="C21" s="3626" t="s">
        <v>4165</v>
      </c>
      <c r="D21" s="3626">
        <v>33.93</v>
      </c>
      <c r="E21" s="3623">
        <f>典型户型修正!C43</f>
        <v>1</v>
      </c>
      <c r="F21" s="3623">
        <f ca="1">典型户型修正!R43</f>
        <v>5764</v>
      </c>
      <c r="G21" s="3623">
        <f ca="1">典型户型修正!S43</f>
        <v>20</v>
      </c>
    </row>
    <row r="22" spans="1:7">
      <c r="A22" s="3625" t="s">
        <v>5069</v>
      </c>
      <c r="B22" s="3625"/>
      <c r="C22" s="3626" t="s">
        <v>4166</v>
      </c>
      <c r="D22" s="3626">
        <v>32.58</v>
      </c>
      <c r="E22" s="3623">
        <f>典型户型修正!C44</f>
        <v>1</v>
      </c>
      <c r="F22" s="3623">
        <f ca="1">典型户型修正!R44</f>
        <v>5764</v>
      </c>
      <c r="G22" s="3623">
        <f ca="1">典型户型修正!S44</f>
        <v>19</v>
      </c>
    </row>
    <row r="23" spans="1:7">
      <c r="A23" s="3625" t="s">
        <v>5069</v>
      </c>
      <c r="B23" s="3625"/>
      <c r="C23" s="3626" t="s">
        <v>4167</v>
      </c>
      <c r="D23" s="3626">
        <v>33.93</v>
      </c>
      <c r="E23" s="3623">
        <f>典型户型修正!C45</f>
        <v>1</v>
      </c>
      <c r="F23" s="3623">
        <f ca="1">典型户型修正!R45</f>
        <v>5764</v>
      </c>
      <c r="G23" s="3623">
        <f ca="1">典型户型修正!S45</f>
        <v>20</v>
      </c>
    </row>
    <row r="24" spans="1:7">
      <c r="A24" s="3625" t="s">
        <v>5069</v>
      </c>
      <c r="B24" s="3625"/>
      <c r="C24" s="3626" t="s">
        <v>4168</v>
      </c>
      <c r="D24" s="3626">
        <v>33.93</v>
      </c>
      <c r="E24" s="3623">
        <f>典型户型修正!C46</f>
        <v>1</v>
      </c>
      <c r="F24" s="3623">
        <f ca="1">典型户型修正!R46</f>
        <v>5764</v>
      </c>
      <c r="G24" s="3623">
        <f ca="1">典型户型修正!S46</f>
        <v>20</v>
      </c>
    </row>
    <row r="25" spans="1:7">
      <c r="A25" s="3625" t="s">
        <v>5069</v>
      </c>
      <c r="B25" s="3625"/>
      <c r="C25" s="3626" t="s">
        <v>4169</v>
      </c>
      <c r="D25" s="3626">
        <v>33.93</v>
      </c>
      <c r="E25" s="3623">
        <f>典型户型修正!C47</f>
        <v>1</v>
      </c>
      <c r="F25" s="3623">
        <f ca="1">典型户型修正!R47</f>
        <v>5764</v>
      </c>
      <c r="G25" s="3623">
        <f ca="1">典型户型修正!S47</f>
        <v>20</v>
      </c>
    </row>
    <row r="26" spans="1:7">
      <c r="A26" s="3625" t="s">
        <v>5069</v>
      </c>
      <c r="B26" s="3625"/>
      <c r="C26" s="3626" t="s">
        <v>4170</v>
      </c>
      <c r="D26" s="3626">
        <v>32.58</v>
      </c>
      <c r="E26" s="3623">
        <f>典型户型修正!C48</f>
        <v>1</v>
      </c>
      <c r="F26" s="3623">
        <f ca="1">典型户型修正!R48</f>
        <v>5764</v>
      </c>
      <c r="G26" s="3623">
        <f ca="1">典型户型修正!S48</f>
        <v>19</v>
      </c>
    </row>
    <row r="27" spans="1:7">
      <c r="A27" s="3625" t="s">
        <v>5069</v>
      </c>
      <c r="B27" s="3625"/>
      <c r="C27" s="3626" t="s">
        <v>4171</v>
      </c>
      <c r="D27" s="3626">
        <v>32.58</v>
      </c>
      <c r="E27" s="3623">
        <f>典型户型修正!C49</f>
        <v>1</v>
      </c>
      <c r="F27" s="3623">
        <f ca="1">典型户型修正!R49</f>
        <v>5764</v>
      </c>
      <c r="G27" s="3623">
        <f ca="1">典型户型修正!S49</f>
        <v>19</v>
      </c>
    </row>
    <row r="28" spans="1:7">
      <c r="A28" s="3625" t="s">
        <v>5069</v>
      </c>
      <c r="B28" s="3625"/>
      <c r="C28" s="3626" t="s">
        <v>4172</v>
      </c>
      <c r="D28" s="3626">
        <v>32.58</v>
      </c>
      <c r="E28" s="3623">
        <f>典型户型修正!C50</f>
        <v>1</v>
      </c>
      <c r="F28" s="3623">
        <f ca="1">典型户型修正!R50</f>
        <v>5764</v>
      </c>
      <c r="G28" s="3623">
        <f ca="1">典型户型修正!S50</f>
        <v>19</v>
      </c>
    </row>
    <row r="29" spans="1:7">
      <c r="A29" s="3625" t="s">
        <v>5069</v>
      </c>
      <c r="B29" s="3625"/>
      <c r="C29" s="3626" t="s">
        <v>4173</v>
      </c>
      <c r="D29" s="3626">
        <v>32.58</v>
      </c>
      <c r="E29" s="3623">
        <f>典型户型修正!C51</f>
        <v>1</v>
      </c>
      <c r="F29" s="3623">
        <f ca="1">典型户型修正!R51</f>
        <v>5764</v>
      </c>
      <c r="G29" s="3623">
        <f ca="1">典型户型修正!S51</f>
        <v>19</v>
      </c>
    </row>
    <row r="30" spans="1:7">
      <c r="A30" s="3625" t="s">
        <v>5069</v>
      </c>
      <c r="B30" s="3625"/>
      <c r="C30" s="3626" t="s">
        <v>4174</v>
      </c>
      <c r="D30" s="3626">
        <v>32.58</v>
      </c>
      <c r="E30" s="3623">
        <f>典型户型修正!C52</f>
        <v>1</v>
      </c>
      <c r="F30" s="3623">
        <f ca="1">典型户型修正!R52</f>
        <v>5764</v>
      </c>
      <c r="G30" s="3623">
        <f ca="1">典型户型修正!S52</f>
        <v>19</v>
      </c>
    </row>
    <row r="31" spans="1:7">
      <c r="A31" s="3625" t="s">
        <v>5069</v>
      </c>
      <c r="B31" s="3625"/>
      <c r="C31" s="3626" t="s">
        <v>4175</v>
      </c>
      <c r="D31" s="3626">
        <v>32.58</v>
      </c>
      <c r="E31" s="3623">
        <f>典型户型修正!C53</f>
        <v>1</v>
      </c>
      <c r="F31" s="3623">
        <f ca="1">典型户型修正!R53</f>
        <v>5764</v>
      </c>
      <c r="G31" s="3623">
        <f ca="1">典型户型修正!S53</f>
        <v>19</v>
      </c>
    </row>
    <row r="32" spans="1:7">
      <c r="A32" s="3625" t="s">
        <v>5069</v>
      </c>
      <c r="B32" s="3625"/>
      <c r="C32" s="3626" t="s">
        <v>4176</v>
      </c>
      <c r="D32" s="3626">
        <v>32.58</v>
      </c>
      <c r="E32" s="3623">
        <f>典型户型修正!C54</f>
        <v>1</v>
      </c>
      <c r="F32" s="3623">
        <f ca="1">典型户型修正!R54</f>
        <v>5764</v>
      </c>
      <c r="G32" s="3623">
        <f ca="1">典型户型修正!S54</f>
        <v>19</v>
      </c>
    </row>
    <row r="33" spans="1:7">
      <c r="A33" s="3625" t="s">
        <v>5069</v>
      </c>
      <c r="B33" s="3625"/>
      <c r="C33" s="3626" t="s">
        <v>4177</v>
      </c>
      <c r="D33" s="3626">
        <v>32.58</v>
      </c>
      <c r="E33" s="3623">
        <f>典型户型修正!C55</f>
        <v>1</v>
      </c>
      <c r="F33" s="3623">
        <f ca="1">典型户型修正!R55</f>
        <v>5764</v>
      </c>
      <c r="G33" s="3623">
        <f ca="1">典型户型修正!S55</f>
        <v>19</v>
      </c>
    </row>
    <row r="34" spans="1:7">
      <c r="A34" s="3625" t="s">
        <v>5069</v>
      </c>
      <c r="B34" s="3625"/>
      <c r="C34" s="3626" t="s">
        <v>4178</v>
      </c>
      <c r="D34" s="3626">
        <v>32.58</v>
      </c>
      <c r="E34" s="3623">
        <f>典型户型修正!C56</f>
        <v>1</v>
      </c>
      <c r="F34" s="3623">
        <f ca="1">典型户型修正!R56</f>
        <v>5764</v>
      </c>
      <c r="G34" s="3623">
        <f ca="1">典型户型修正!S56</f>
        <v>19</v>
      </c>
    </row>
    <row r="35" spans="1:7">
      <c r="A35" s="3625" t="s">
        <v>5069</v>
      </c>
      <c r="B35" s="3625"/>
      <c r="C35" s="3626" t="s">
        <v>4179</v>
      </c>
      <c r="D35" s="3626">
        <v>32.58</v>
      </c>
      <c r="E35" s="3623">
        <f>典型户型修正!C57</f>
        <v>1</v>
      </c>
      <c r="F35" s="3623">
        <f ca="1">典型户型修正!R57</f>
        <v>5764</v>
      </c>
      <c r="G35" s="3623">
        <f ca="1">典型户型修正!S57</f>
        <v>19</v>
      </c>
    </row>
    <row r="36" spans="1:7">
      <c r="A36" s="3625" t="s">
        <v>5069</v>
      </c>
      <c r="B36" s="3625"/>
      <c r="C36" s="3626" t="s">
        <v>4180</v>
      </c>
      <c r="D36" s="3626">
        <v>32.58</v>
      </c>
      <c r="E36" s="3623">
        <f>典型户型修正!C58</f>
        <v>1</v>
      </c>
      <c r="F36" s="3623">
        <f ca="1">典型户型修正!R58</f>
        <v>5764</v>
      </c>
      <c r="G36" s="3623">
        <f ca="1">典型户型修正!S58</f>
        <v>19</v>
      </c>
    </row>
    <row r="37" spans="1:7">
      <c r="A37" s="3625" t="s">
        <v>5069</v>
      </c>
      <c r="B37" s="3625"/>
      <c r="C37" s="3626" t="s">
        <v>4181</v>
      </c>
      <c r="D37" s="3626">
        <v>32.58</v>
      </c>
      <c r="E37" s="3623">
        <f>典型户型修正!C59</f>
        <v>1</v>
      </c>
      <c r="F37" s="3623">
        <f ca="1">典型户型修正!R59</f>
        <v>5764</v>
      </c>
      <c r="G37" s="3623">
        <f ca="1">典型户型修正!S59</f>
        <v>19</v>
      </c>
    </row>
    <row r="38" spans="1:7">
      <c r="A38" s="3625" t="s">
        <v>5069</v>
      </c>
      <c r="B38" s="3625"/>
      <c r="C38" s="3626" t="s">
        <v>4182</v>
      </c>
      <c r="D38" s="3626">
        <v>32.58</v>
      </c>
      <c r="E38" s="3623">
        <f>典型户型修正!C60</f>
        <v>1</v>
      </c>
      <c r="F38" s="3623">
        <f ca="1">典型户型修正!R60</f>
        <v>5764</v>
      </c>
      <c r="G38" s="3623">
        <f ca="1">典型户型修正!S60</f>
        <v>19</v>
      </c>
    </row>
    <row r="39" spans="1:7">
      <c r="A39" s="3625" t="s">
        <v>5069</v>
      </c>
      <c r="B39" s="3625"/>
      <c r="C39" s="3626" t="s">
        <v>4183</v>
      </c>
      <c r="D39" s="3626">
        <v>32.58</v>
      </c>
      <c r="E39" s="3623">
        <f>典型户型修正!C61</f>
        <v>1</v>
      </c>
      <c r="F39" s="3623">
        <f ca="1">典型户型修正!R61</f>
        <v>5764</v>
      </c>
      <c r="G39" s="3623">
        <f ca="1">典型户型修正!S61</f>
        <v>19</v>
      </c>
    </row>
    <row r="40" spans="1:7">
      <c r="A40" s="3625" t="s">
        <v>5069</v>
      </c>
      <c r="B40" s="3625"/>
      <c r="C40" s="3626" t="s">
        <v>4184</v>
      </c>
      <c r="D40" s="3626">
        <v>32.58</v>
      </c>
      <c r="E40" s="3623">
        <f>典型户型修正!C62</f>
        <v>1</v>
      </c>
      <c r="F40" s="3623">
        <f ca="1">典型户型修正!R62</f>
        <v>5764</v>
      </c>
      <c r="G40" s="3623">
        <f ca="1">典型户型修正!S62</f>
        <v>19</v>
      </c>
    </row>
    <row r="41" spans="1:7">
      <c r="A41" s="3625" t="s">
        <v>5069</v>
      </c>
      <c r="B41" s="3625"/>
      <c r="C41" s="3626" t="s">
        <v>4185</v>
      </c>
      <c r="D41" s="3626">
        <v>32.58</v>
      </c>
      <c r="E41" s="3623">
        <f>典型户型修正!C63</f>
        <v>1</v>
      </c>
      <c r="F41" s="3623">
        <f ca="1">典型户型修正!R63</f>
        <v>5764</v>
      </c>
      <c r="G41" s="3623">
        <f ca="1">典型户型修正!S63</f>
        <v>19</v>
      </c>
    </row>
    <row r="42" spans="1:7">
      <c r="A42" s="3625" t="s">
        <v>5069</v>
      </c>
      <c r="B42" s="3625"/>
      <c r="C42" s="3626" t="s">
        <v>4186</v>
      </c>
      <c r="D42" s="3626">
        <v>32.58</v>
      </c>
      <c r="E42" s="3623">
        <f>典型户型修正!C64</f>
        <v>1</v>
      </c>
      <c r="F42" s="3623">
        <f ca="1">典型户型修正!R64</f>
        <v>5764</v>
      </c>
      <c r="G42" s="3623">
        <f ca="1">典型户型修正!S64</f>
        <v>19</v>
      </c>
    </row>
    <row r="43" spans="1:7">
      <c r="A43" s="3625" t="s">
        <v>5069</v>
      </c>
      <c r="B43" s="3625"/>
      <c r="C43" s="3626" t="s">
        <v>4187</v>
      </c>
      <c r="D43" s="3626">
        <v>32.58</v>
      </c>
      <c r="E43" s="3623">
        <f>典型户型修正!C65</f>
        <v>1</v>
      </c>
      <c r="F43" s="3623">
        <f ca="1">典型户型修正!R65</f>
        <v>5764</v>
      </c>
      <c r="G43" s="3623">
        <f ca="1">典型户型修正!S65</f>
        <v>19</v>
      </c>
    </row>
    <row r="44" spans="1:7">
      <c r="A44" s="3625" t="s">
        <v>5069</v>
      </c>
      <c r="B44" s="3625"/>
      <c r="C44" s="3626" t="s">
        <v>4188</v>
      </c>
      <c r="D44" s="3626">
        <v>32.58</v>
      </c>
      <c r="E44" s="3623">
        <f>典型户型修正!C66</f>
        <v>1</v>
      </c>
      <c r="F44" s="3623">
        <f ca="1">典型户型修正!R66</f>
        <v>5764</v>
      </c>
      <c r="G44" s="3623">
        <f ca="1">典型户型修正!S66</f>
        <v>19</v>
      </c>
    </row>
    <row r="45" spans="1:7">
      <c r="A45" s="3625" t="s">
        <v>5069</v>
      </c>
      <c r="B45" s="3625"/>
      <c r="C45" s="3626" t="s">
        <v>4189</v>
      </c>
      <c r="D45" s="3626">
        <v>32.58</v>
      </c>
      <c r="E45" s="3623">
        <f>典型户型修正!C67</f>
        <v>1</v>
      </c>
      <c r="F45" s="3623">
        <f ca="1">典型户型修正!R67</f>
        <v>5764</v>
      </c>
      <c r="G45" s="3623">
        <f ca="1">典型户型修正!S67</f>
        <v>19</v>
      </c>
    </row>
    <row r="46" spans="1:7">
      <c r="A46" s="3625" t="s">
        <v>5069</v>
      </c>
      <c r="B46" s="3625"/>
      <c r="C46" s="3626" t="s">
        <v>4190</v>
      </c>
      <c r="D46" s="3626">
        <v>32.58</v>
      </c>
      <c r="E46" s="3623">
        <f>典型户型修正!C68</f>
        <v>1</v>
      </c>
      <c r="F46" s="3623">
        <f ca="1">典型户型修正!R68</f>
        <v>5764</v>
      </c>
      <c r="G46" s="3623">
        <f ca="1">典型户型修正!S68</f>
        <v>19</v>
      </c>
    </row>
    <row r="47" spans="1:7">
      <c r="A47" s="3625" t="s">
        <v>5069</v>
      </c>
      <c r="B47" s="3625"/>
      <c r="C47" s="3626" t="s">
        <v>4191</v>
      </c>
      <c r="D47" s="3626">
        <v>32.58</v>
      </c>
      <c r="E47" s="3623">
        <f>典型户型修正!C69</f>
        <v>1</v>
      </c>
      <c r="F47" s="3623">
        <f ca="1">典型户型修正!R69</f>
        <v>5764</v>
      </c>
      <c r="G47" s="3623">
        <f ca="1">典型户型修正!S69</f>
        <v>19</v>
      </c>
    </row>
    <row r="48" spans="1:7">
      <c r="A48" s="3625" t="s">
        <v>5069</v>
      </c>
      <c r="B48" s="3625"/>
      <c r="C48" s="3626" t="s">
        <v>4192</v>
      </c>
      <c r="D48" s="3626">
        <v>32.58</v>
      </c>
      <c r="E48" s="3623">
        <f>典型户型修正!C70</f>
        <v>1</v>
      </c>
      <c r="F48" s="3623">
        <f ca="1">典型户型修正!R70</f>
        <v>5764</v>
      </c>
      <c r="G48" s="3623">
        <f ca="1">典型户型修正!S70</f>
        <v>19</v>
      </c>
    </row>
    <row r="49" spans="1:7">
      <c r="A49" s="3625" t="s">
        <v>5069</v>
      </c>
      <c r="B49" s="3625"/>
      <c r="C49" s="3626" t="s">
        <v>4193</v>
      </c>
      <c r="D49" s="3626">
        <v>32.58</v>
      </c>
      <c r="E49" s="3623">
        <f>典型户型修正!C71</f>
        <v>1</v>
      </c>
      <c r="F49" s="3623">
        <f ca="1">典型户型修正!R71</f>
        <v>5764</v>
      </c>
      <c r="G49" s="3623">
        <f ca="1">典型户型修正!S71</f>
        <v>19</v>
      </c>
    </row>
    <row r="50" spans="1:7">
      <c r="A50" s="3625" t="s">
        <v>5069</v>
      </c>
      <c r="B50" s="3625"/>
      <c r="C50" s="3626" t="s">
        <v>4194</v>
      </c>
      <c r="D50" s="3626">
        <v>32.58</v>
      </c>
      <c r="E50" s="3623">
        <f>典型户型修正!C72</f>
        <v>1</v>
      </c>
      <c r="F50" s="3623">
        <f ca="1">典型户型修正!R72</f>
        <v>5764</v>
      </c>
      <c r="G50" s="3623">
        <f ca="1">典型户型修正!S72</f>
        <v>19</v>
      </c>
    </row>
    <row r="51" spans="1:7">
      <c r="A51" s="3625" t="s">
        <v>5069</v>
      </c>
      <c r="B51" s="3625"/>
      <c r="C51" s="3626" t="s">
        <v>4195</v>
      </c>
      <c r="D51" s="3626">
        <v>32.58</v>
      </c>
      <c r="E51" s="3623">
        <f>典型户型修正!C73</f>
        <v>1</v>
      </c>
      <c r="F51" s="3623">
        <f ca="1">典型户型修正!R73</f>
        <v>5764</v>
      </c>
      <c r="G51" s="3623">
        <f ca="1">典型户型修正!S73</f>
        <v>19</v>
      </c>
    </row>
    <row r="52" spans="1:7">
      <c r="A52" s="3625" t="s">
        <v>5069</v>
      </c>
      <c r="B52" s="3625"/>
      <c r="C52" s="3626" t="s">
        <v>4196</v>
      </c>
      <c r="D52" s="3626">
        <v>32.58</v>
      </c>
      <c r="E52" s="3623">
        <f>典型户型修正!C74</f>
        <v>1</v>
      </c>
      <c r="F52" s="3623">
        <f ca="1">典型户型修正!R74</f>
        <v>5764</v>
      </c>
      <c r="G52" s="3623">
        <f ca="1">典型户型修正!S74</f>
        <v>19</v>
      </c>
    </row>
    <row r="53" spans="1:7">
      <c r="A53" s="3625" t="s">
        <v>5069</v>
      </c>
      <c r="B53" s="3625"/>
      <c r="C53" s="3626" t="s">
        <v>4197</v>
      </c>
      <c r="D53" s="3626">
        <v>32.58</v>
      </c>
      <c r="E53" s="3623">
        <f>典型户型修正!C75</f>
        <v>1</v>
      </c>
      <c r="F53" s="3623">
        <f ca="1">典型户型修正!R75</f>
        <v>5764</v>
      </c>
      <c r="G53" s="3623">
        <f ca="1">典型户型修正!S75</f>
        <v>19</v>
      </c>
    </row>
    <row r="54" spans="1:7">
      <c r="A54" s="3625" t="s">
        <v>5069</v>
      </c>
      <c r="B54" s="3625"/>
      <c r="C54" s="3626" t="s">
        <v>4198</v>
      </c>
      <c r="D54" s="3626">
        <v>32.58</v>
      </c>
      <c r="E54" s="3623">
        <f>典型户型修正!C76</f>
        <v>1</v>
      </c>
      <c r="F54" s="3623">
        <f ca="1">典型户型修正!R76</f>
        <v>5764</v>
      </c>
      <c r="G54" s="3623">
        <f ca="1">典型户型修正!S76</f>
        <v>19</v>
      </c>
    </row>
    <row r="55" spans="1:7">
      <c r="A55" s="3625" t="s">
        <v>5069</v>
      </c>
      <c r="B55" s="3625"/>
      <c r="C55" s="3626" t="s">
        <v>4199</v>
      </c>
      <c r="D55" s="3626">
        <v>32.58</v>
      </c>
      <c r="E55" s="3623">
        <f>典型户型修正!C77</f>
        <v>1</v>
      </c>
      <c r="F55" s="3623">
        <f ca="1">典型户型修正!R77</f>
        <v>5764</v>
      </c>
      <c r="G55" s="3623">
        <f ca="1">典型户型修正!S77</f>
        <v>19</v>
      </c>
    </row>
    <row r="56" spans="1:7">
      <c r="A56" s="3625" t="s">
        <v>5069</v>
      </c>
      <c r="B56" s="3625"/>
      <c r="C56" s="3626" t="s">
        <v>4200</v>
      </c>
      <c r="D56" s="3626">
        <v>32.58</v>
      </c>
      <c r="E56" s="3623">
        <f>典型户型修正!C78</f>
        <v>1</v>
      </c>
      <c r="F56" s="3623">
        <f ca="1">典型户型修正!R78</f>
        <v>5764</v>
      </c>
      <c r="G56" s="3623">
        <f ca="1">典型户型修正!S78</f>
        <v>19</v>
      </c>
    </row>
    <row r="57" spans="1:7">
      <c r="A57" s="3625" t="s">
        <v>5069</v>
      </c>
      <c r="B57" s="3625"/>
      <c r="C57" s="3626" t="s">
        <v>4201</v>
      </c>
      <c r="D57" s="3626">
        <v>32.58</v>
      </c>
      <c r="E57" s="3623">
        <f>典型户型修正!C79</f>
        <v>1</v>
      </c>
      <c r="F57" s="3623">
        <f ca="1">典型户型修正!R79</f>
        <v>5764</v>
      </c>
      <c r="G57" s="3623">
        <f ca="1">典型户型修正!S79</f>
        <v>19</v>
      </c>
    </row>
    <row r="58" spans="1:7">
      <c r="A58" s="3625" t="s">
        <v>5069</v>
      </c>
      <c r="B58" s="3625"/>
      <c r="C58" s="3626" t="s">
        <v>4202</v>
      </c>
      <c r="D58" s="3626">
        <v>32.58</v>
      </c>
      <c r="E58" s="3623">
        <f>典型户型修正!C80</f>
        <v>1</v>
      </c>
      <c r="F58" s="3623">
        <f ca="1">典型户型修正!R80</f>
        <v>5764</v>
      </c>
      <c r="G58" s="3623">
        <f ca="1">典型户型修正!S80</f>
        <v>19</v>
      </c>
    </row>
    <row r="59" spans="1:7">
      <c r="A59" s="3625" t="s">
        <v>5069</v>
      </c>
      <c r="B59" s="3625"/>
      <c r="C59" s="3626" t="s">
        <v>4203</v>
      </c>
      <c r="D59" s="3626">
        <v>32.58</v>
      </c>
      <c r="E59" s="3623">
        <f>典型户型修正!C81</f>
        <v>1</v>
      </c>
      <c r="F59" s="3623">
        <f ca="1">典型户型修正!R81</f>
        <v>5764</v>
      </c>
      <c r="G59" s="3623">
        <f ca="1">典型户型修正!S81</f>
        <v>19</v>
      </c>
    </row>
    <row r="60" spans="1:7">
      <c r="A60" s="3625" t="s">
        <v>5069</v>
      </c>
      <c r="B60" s="3625"/>
      <c r="C60" s="3626" t="s">
        <v>4204</v>
      </c>
      <c r="D60" s="3626">
        <v>32.58</v>
      </c>
      <c r="E60" s="3623">
        <f>典型户型修正!C82</f>
        <v>1</v>
      </c>
      <c r="F60" s="3623">
        <f ca="1">典型户型修正!R82</f>
        <v>5764</v>
      </c>
      <c r="G60" s="3623">
        <f ca="1">典型户型修正!S82</f>
        <v>19</v>
      </c>
    </row>
    <row r="61" spans="1:7">
      <c r="A61" s="3625" t="s">
        <v>5069</v>
      </c>
      <c r="B61" s="3625"/>
      <c r="C61" s="3626" t="s">
        <v>4205</v>
      </c>
      <c r="D61" s="3626">
        <v>32.58</v>
      </c>
      <c r="E61" s="3623">
        <f>典型户型修正!C83</f>
        <v>1</v>
      </c>
      <c r="F61" s="3623">
        <f ca="1">典型户型修正!R83</f>
        <v>5764</v>
      </c>
      <c r="G61" s="3623">
        <f ca="1">典型户型修正!S83</f>
        <v>19</v>
      </c>
    </row>
    <row r="62" spans="1:7">
      <c r="A62" s="3625" t="s">
        <v>5069</v>
      </c>
      <c r="B62" s="3625"/>
      <c r="C62" s="3626" t="s">
        <v>4206</v>
      </c>
      <c r="D62" s="3626">
        <v>32.58</v>
      </c>
      <c r="E62" s="3623">
        <f>典型户型修正!C84</f>
        <v>1</v>
      </c>
      <c r="F62" s="3623">
        <f ca="1">典型户型修正!R84</f>
        <v>5764</v>
      </c>
      <c r="G62" s="3623">
        <f ca="1">典型户型修正!S84</f>
        <v>19</v>
      </c>
    </row>
    <row r="63" spans="1:7">
      <c r="A63" s="3625" t="s">
        <v>5069</v>
      </c>
      <c r="B63" s="3625"/>
      <c r="C63" s="3626" t="s">
        <v>4207</v>
      </c>
      <c r="D63" s="3626">
        <v>32.58</v>
      </c>
      <c r="E63" s="3623">
        <f>典型户型修正!C85</f>
        <v>1</v>
      </c>
      <c r="F63" s="3623">
        <f ca="1">典型户型修正!R85</f>
        <v>5764</v>
      </c>
      <c r="G63" s="3623">
        <f ca="1">典型户型修正!S85</f>
        <v>19</v>
      </c>
    </row>
    <row r="64" spans="1:7">
      <c r="A64" s="3625" t="s">
        <v>5069</v>
      </c>
      <c r="B64" s="3625"/>
      <c r="C64" s="3626" t="s">
        <v>4208</v>
      </c>
      <c r="D64" s="3626">
        <v>32.58</v>
      </c>
      <c r="E64" s="3623">
        <f>典型户型修正!C86</f>
        <v>1</v>
      </c>
      <c r="F64" s="3623">
        <f ca="1">典型户型修正!R86</f>
        <v>5764</v>
      </c>
      <c r="G64" s="3623">
        <f ca="1">典型户型修正!S86</f>
        <v>19</v>
      </c>
    </row>
    <row r="65" spans="1:7">
      <c r="A65" s="3625" t="s">
        <v>5069</v>
      </c>
      <c r="B65" s="3625"/>
      <c r="C65" s="3626" t="s">
        <v>4209</v>
      </c>
      <c r="D65" s="3626">
        <v>32.58</v>
      </c>
      <c r="E65" s="3623">
        <f>典型户型修正!C87</f>
        <v>1</v>
      </c>
      <c r="F65" s="3623">
        <f ca="1">典型户型修正!R87</f>
        <v>5764</v>
      </c>
      <c r="G65" s="3623">
        <f ca="1">典型户型修正!S87</f>
        <v>19</v>
      </c>
    </row>
    <row r="66" spans="1:7">
      <c r="A66" s="3625" t="s">
        <v>5069</v>
      </c>
      <c r="B66" s="3625"/>
      <c r="C66" s="3626" t="s">
        <v>4210</v>
      </c>
      <c r="D66" s="3626">
        <v>32.58</v>
      </c>
      <c r="E66" s="3623">
        <f>典型户型修正!C88</f>
        <v>1</v>
      </c>
      <c r="F66" s="3623">
        <f ca="1">典型户型修正!R88</f>
        <v>5764</v>
      </c>
      <c r="G66" s="3623">
        <f ca="1">典型户型修正!S88</f>
        <v>19</v>
      </c>
    </row>
    <row r="67" spans="1:7">
      <c r="A67" s="3625" t="s">
        <v>5069</v>
      </c>
      <c r="B67" s="3625"/>
      <c r="C67" s="3626" t="s">
        <v>4211</v>
      </c>
      <c r="D67" s="3626">
        <v>32.58</v>
      </c>
      <c r="E67" s="3623">
        <f>典型户型修正!C89</f>
        <v>1</v>
      </c>
      <c r="F67" s="3623">
        <f ca="1">典型户型修正!R89</f>
        <v>5764</v>
      </c>
      <c r="G67" s="3623">
        <f ca="1">典型户型修正!S89</f>
        <v>19</v>
      </c>
    </row>
    <row r="68" spans="1:7">
      <c r="A68" s="3625" t="s">
        <v>5069</v>
      </c>
      <c r="B68" s="3625"/>
      <c r="C68" s="3626" t="s">
        <v>4212</v>
      </c>
      <c r="D68" s="3626">
        <v>32.58</v>
      </c>
      <c r="E68" s="3623">
        <f>典型户型修正!C90</f>
        <v>1</v>
      </c>
      <c r="F68" s="3623">
        <f ca="1">典型户型修正!R90</f>
        <v>5764</v>
      </c>
      <c r="G68" s="3623">
        <f ca="1">典型户型修正!S90</f>
        <v>19</v>
      </c>
    </row>
    <row r="69" spans="1:7">
      <c r="A69" s="3625" t="s">
        <v>5069</v>
      </c>
      <c r="B69" s="3625"/>
      <c r="C69" s="3626" t="s">
        <v>4213</v>
      </c>
      <c r="D69" s="3626">
        <v>32.58</v>
      </c>
      <c r="E69" s="3623">
        <f>典型户型修正!C91</f>
        <v>1</v>
      </c>
      <c r="F69" s="3623">
        <f ca="1">典型户型修正!R91</f>
        <v>5764</v>
      </c>
      <c r="G69" s="3623">
        <f ca="1">典型户型修正!S91</f>
        <v>19</v>
      </c>
    </row>
    <row r="70" spans="1:7">
      <c r="A70" s="3625" t="s">
        <v>5069</v>
      </c>
      <c r="B70" s="3625"/>
      <c r="C70" s="3626" t="s">
        <v>4214</v>
      </c>
      <c r="D70" s="3626">
        <v>32.58</v>
      </c>
      <c r="E70" s="3623">
        <f>典型户型修正!C92</f>
        <v>1</v>
      </c>
      <c r="F70" s="3623">
        <f ca="1">典型户型修正!R92</f>
        <v>5764</v>
      </c>
      <c r="G70" s="3623">
        <f ca="1">典型户型修正!S92</f>
        <v>19</v>
      </c>
    </row>
    <row r="71" spans="1:7">
      <c r="A71" s="3625" t="s">
        <v>5069</v>
      </c>
      <c r="B71" s="3625"/>
      <c r="C71" s="3626" t="s">
        <v>4215</v>
      </c>
      <c r="D71" s="3626">
        <v>32.58</v>
      </c>
      <c r="E71" s="3623">
        <f>典型户型修正!C93</f>
        <v>1</v>
      </c>
      <c r="F71" s="3623">
        <f ca="1">典型户型修正!R93</f>
        <v>5764</v>
      </c>
      <c r="G71" s="3623">
        <f ca="1">典型户型修正!S93</f>
        <v>19</v>
      </c>
    </row>
    <row r="72" spans="1:7">
      <c r="A72" s="3625" t="s">
        <v>5069</v>
      </c>
      <c r="B72" s="3625"/>
      <c r="C72" s="3626" t="s">
        <v>4216</v>
      </c>
      <c r="D72" s="3626">
        <v>32.58</v>
      </c>
      <c r="E72" s="3623">
        <f>典型户型修正!C94</f>
        <v>1</v>
      </c>
      <c r="F72" s="3623">
        <f ca="1">典型户型修正!R94</f>
        <v>5764</v>
      </c>
      <c r="G72" s="3623">
        <f ca="1">典型户型修正!S94</f>
        <v>19</v>
      </c>
    </row>
    <row r="73" spans="1:7">
      <c r="A73" s="3625" t="s">
        <v>5069</v>
      </c>
      <c r="B73" s="3625"/>
      <c r="C73" s="3626" t="s">
        <v>4217</v>
      </c>
      <c r="D73" s="3626">
        <v>32.58</v>
      </c>
      <c r="E73" s="3623">
        <f>典型户型修正!C95</f>
        <v>1</v>
      </c>
      <c r="F73" s="3623">
        <f ca="1">典型户型修正!R95</f>
        <v>5764</v>
      </c>
      <c r="G73" s="3623">
        <f ca="1">典型户型修正!S95</f>
        <v>19</v>
      </c>
    </row>
    <row r="74" spans="1:7">
      <c r="A74" s="3625" t="s">
        <v>5069</v>
      </c>
      <c r="B74" s="3625"/>
      <c r="C74" s="3626" t="s">
        <v>4218</v>
      </c>
      <c r="D74" s="3626">
        <v>32.58</v>
      </c>
      <c r="E74" s="3623">
        <f>典型户型修正!C96</f>
        <v>1</v>
      </c>
      <c r="F74" s="3623">
        <f ca="1">典型户型修正!R96</f>
        <v>5764</v>
      </c>
      <c r="G74" s="3623">
        <f ca="1">典型户型修正!S96</f>
        <v>19</v>
      </c>
    </row>
    <row r="75" spans="1:7">
      <c r="A75" s="3625" t="s">
        <v>5069</v>
      </c>
      <c r="B75" s="3625"/>
      <c r="C75" s="3626" t="s">
        <v>4219</v>
      </c>
      <c r="D75" s="3626">
        <v>32.58</v>
      </c>
      <c r="E75" s="3623">
        <f>典型户型修正!C97</f>
        <v>1</v>
      </c>
      <c r="F75" s="3623">
        <f ca="1">典型户型修正!R97</f>
        <v>5764</v>
      </c>
      <c r="G75" s="3623">
        <f ca="1">典型户型修正!S97</f>
        <v>19</v>
      </c>
    </row>
    <row r="76" spans="1:7">
      <c r="A76" s="3625" t="s">
        <v>5069</v>
      </c>
      <c r="B76" s="3625"/>
      <c r="C76" s="3626" t="s">
        <v>4220</v>
      </c>
      <c r="D76" s="3626">
        <v>33.93</v>
      </c>
      <c r="E76" s="3623">
        <f>典型户型修正!C98</f>
        <v>1</v>
      </c>
      <c r="F76" s="3623">
        <f ca="1">典型户型修正!R98</f>
        <v>5764</v>
      </c>
      <c r="G76" s="3623">
        <f ca="1">典型户型修正!S98</f>
        <v>20</v>
      </c>
    </row>
    <row r="77" spans="1:7">
      <c r="A77" s="3625" t="s">
        <v>5069</v>
      </c>
      <c r="B77" s="3625"/>
      <c r="C77" s="3626" t="s">
        <v>4221</v>
      </c>
      <c r="D77" s="3626">
        <v>33.93</v>
      </c>
      <c r="E77" s="3623">
        <f>典型户型修正!C99</f>
        <v>1</v>
      </c>
      <c r="F77" s="3623">
        <f ca="1">典型户型修正!R99</f>
        <v>5764</v>
      </c>
      <c r="G77" s="3623">
        <f ca="1">典型户型修正!S99</f>
        <v>20</v>
      </c>
    </row>
    <row r="78" spans="1:7">
      <c r="A78" s="3625" t="s">
        <v>5069</v>
      </c>
      <c r="B78" s="3625"/>
      <c r="C78" s="3626" t="s">
        <v>4222</v>
      </c>
      <c r="D78" s="3626">
        <v>33.93</v>
      </c>
      <c r="E78" s="3623">
        <f>典型户型修正!C100</f>
        <v>1</v>
      </c>
      <c r="F78" s="3623">
        <f ca="1">典型户型修正!R100</f>
        <v>5764</v>
      </c>
      <c r="G78" s="3623">
        <f ca="1">典型户型修正!S100</f>
        <v>20</v>
      </c>
    </row>
    <row r="79" spans="1:7">
      <c r="A79" s="3625" t="s">
        <v>5069</v>
      </c>
      <c r="B79" s="3625"/>
      <c r="C79" s="3626" t="s">
        <v>4223</v>
      </c>
      <c r="D79" s="3626">
        <v>33.93</v>
      </c>
      <c r="E79" s="3623">
        <f>典型户型修正!C101</f>
        <v>1</v>
      </c>
      <c r="F79" s="3623">
        <f ca="1">典型户型修正!R101</f>
        <v>5764</v>
      </c>
      <c r="G79" s="3623">
        <f ca="1">典型户型修正!S101</f>
        <v>20</v>
      </c>
    </row>
    <row r="80" spans="1:7">
      <c r="A80" s="3625" t="s">
        <v>5069</v>
      </c>
      <c r="B80" s="3625"/>
      <c r="C80" s="3626" t="s">
        <v>4224</v>
      </c>
      <c r="D80" s="3626">
        <v>33.93</v>
      </c>
      <c r="E80" s="3623">
        <f>典型户型修正!C102</f>
        <v>1</v>
      </c>
      <c r="F80" s="3623">
        <f ca="1">典型户型修正!R102</f>
        <v>5764</v>
      </c>
      <c r="G80" s="3623">
        <f ca="1">典型户型修正!S102</f>
        <v>20</v>
      </c>
    </row>
    <row r="81" spans="1:7">
      <c r="A81" s="3625" t="s">
        <v>5069</v>
      </c>
      <c r="B81" s="3625"/>
      <c r="C81" s="3626" t="s">
        <v>4225</v>
      </c>
      <c r="D81" s="3626">
        <v>33.93</v>
      </c>
      <c r="E81" s="3623">
        <f>典型户型修正!C103</f>
        <v>1</v>
      </c>
      <c r="F81" s="3623">
        <f ca="1">典型户型修正!R103</f>
        <v>5764</v>
      </c>
      <c r="G81" s="3623">
        <f ca="1">典型户型修正!S103</f>
        <v>20</v>
      </c>
    </row>
    <row r="82" spans="1:7">
      <c r="A82" s="3625" t="s">
        <v>5069</v>
      </c>
      <c r="B82" s="3625"/>
      <c r="C82" s="3626" t="s">
        <v>4226</v>
      </c>
      <c r="D82" s="3626">
        <v>33.93</v>
      </c>
      <c r="E82" s="3623">
        <f>典型户型修正!C104</f>
        <v>1</v>
      </c>
      <c r="F82" s="3623">
        <f ca="1">典型户型修正!R104</f>
        <v>5764</v>
      </c>
      <c r="G82" s="3623">
        <f ca="1">典型户型修正!S104</f>
        <v>20</v>
      </c>
    </row>
    <row r="83" spans="1:7">
      <c r="A83" s="3625" t="s">
        <v>5069</v>
      </c>
      <c r="B83" s="3625"/>
      <c r="C83" s="3626" t="s">
        <v>4227</v>
      </c>
      <c r="D83" s="3626">
        <v>33.93</v>
      </c>
      <c r="E83" s="3623">
        <f>典型户型修正!C105</f>
        <v>1</v>
      </c>
      <c r="F83" s="3623">
        <f ca="1">典型户型修正!R105</f>
        <v>5764</v>
      </c>
      <c r="G83" s="3623">
        <f ca="1">典型户型修正!S105</f>
        <v>20</v>
      </c>
    </row>
    <row r="84" spans="1:7">
      <c r="A84" s="3625" t="s">
        <v>5069</v>
      </c>
      <c r="B84" s="3625"/>
      <c r="C84" s="3626" t="s">
        <v>4228</v>
      </c>
      <c r="D84" s="3626">
        <v>33.93</v>
      </c>
      <c r="E84" s="3623">
        <f>典型户型修正!C106</f>
        <v>1</v>
      </c>
      <c r="F84" s="3623">
        <f ca="1">典型户型修正!R106</f>
        <v>5764</v>
      </c>
      <c r="G84" s="3623">
        <f ca="1">典型户型修正!S106</f>
        <v>20</v>
      </c>
    </row>
    <row r="85" spans="1:7">
      <c r="A85" s="3625" t="s">
        <v>5069</v>
      </c>
      <c r="B85" s="3625"/>
      <c r="C85" s="3626" t="s">
        <v>4229</v>
      </c>
      <c r="D85" s="3626">
        <v>33.93</v>
      </c>
      <c r="E85" s="3623">
        <f>典型户型修正!C107</f>
        <v>1</v>
      </c>
      <c r="F85" s="3623">
        <f ca="1">典型户型修正!R107</f>
        <v>5764</v>
      </c>
      <c r="G85" s="3623">
        <f ca="1">典型户型修正!S107</f>
        <v>20</v>
      </c>
    </row>
    <row r="86" spans="1:7">
      <c r="A86" s="3625" t="s">
        <v>5069</v>
      </c>
      <c r="B86" s="3625"/>
      <c r="C86" s="3626" t="s">
        <v>4230</v>
      </c>
      <c r="D86" s="3626">
        <v>33.93</v>
      </c>
      <c r="E86" s="3623">
        <f>典型户型修正!C108</f>
        <v>1</v>
      </c>
      <c r="F86" s="3623">
        <f ca="1">典型户型修正!R108</f>
        <v>5764</v>
      </c>
      <c r="G86" s="3623">
        <f ca="1">典型户型修正!S108</f>
        <v>20</v>
      </c>
    </row>
    <row r="87" spans="1:7">
      <c r="A87" s="3625" t="s">
        <v>5069</v>
      </c>
      <c r="B87" s="3625"/>
      <c r="C87" s="3626" t="s">
        <v>4231</v>
      </c>
      <c r="D87" s="3626">
        <v>33.93</v>
      </c>
      <c r="E87" s="3623">
        <f>典型户型修正!C109</f>
        <v>1</v>
      </c>
      <c r="F87" s="3623">
        <f ca="1">典型户型修正!R109</f>
        <v>5764</v>
      </c>
      <c r="G87" s="3623">
        <f ca="1">典型户型修正!S109</f>
        <v>20</v>
      </c>
    </row>
    <row r="88" spans="1:7">
      <c r="A88" s="3625" t="s">
        <v>5069</v>
      </c>
      <c r="B88" s="3625"/>
      <c r="C88" s="3626" t="s">
        <v>4232</v>
      </c>
      <c r="D88" s="3626">
        <v>33.36</v>
      </c>
      <c r="E88" s="3623">
        <f>典型户型修正!C110</f>
        <v>1</v>
      </c>
      <c r="F88" s="3623">
        <f ca="1">典型户型修正!R110</f>
        <v>5764</v>
      </c>
      <c r="G88" s="3623">
        <f ca="1">典型户型修正!S110</f>
        <v>19</v>
      </c>
    </row>
    <row r="89" spans="1:7">
      <c r="A89" s="3625" t="s">
        <v>5069</v>
      </c>
      <c r="B89" s="3625"/>
      <c r="C89" s="3626" t="s">
        <v>4233</v>
      </c>
      <c r="D89" s="3626">
        <v>33.36</v>
      </c>
      <c r="E89" s="3623">
        <f>典型户型修正!C111</f>
        <v>1</v>
      </c>
      <c r="F89" s="3623">
        <f ca="1">典型户型修正!R111</f>
        <v>5764</v>
      </c>
      <c r="G89" s="3623">
        <f ca="1">典型户型修正!S111</f>
        <v>19</v>
      </c>
    </row>
    <row r="90" spans="1:7">
      <c r="A90" s="3625" t="s">
        <v>5069</v>
      </c>
      <c r="B90" s="3625"/>
      <c r="C90" s="3626" t="s">
        <v>4234</v>
      </c>
      <c r="D90" s="3626">
        <v>32.020000000000003</v>
      </c>
      <c r="E90" s="3623">
        <f>典型户型修正!C112</f>
        <v>1</v>
      </c>
      <c r="F90" s="3623">
        <f ca="1">典型户型修正!R112</f>
        <v>5764</v>
      </c>
      <c r="G90" s="3623">
        <f ca="1">典型户型修正!S112</f>
        <v>18</v>
      </c>
    </row>
    <row r="91" spans="1:7">
      <c r="A91" s="3625" t="s">
        <v>5069</v>
      </c>
      <c r="B91" s="3625"/>
      <c r="C91" s="3626" t="s">
        <v>4235</v>
      </c>
      <c r="D91" s="3626">
        <v>32.020000000000003</v>
      </c>
      <c r="E91" s="3623">
        <f>典型户型修正!C113</f>
        <v>1</v>
      </c>
      <c r="F91" s="3623">
        <f ca="1">典型户型修正!R113</f>
        <v>5764</v>
      </c>
      <c r="G91" s="3623">
        <f ca="1">典型户型修正!S113</f>
        <v>18</v>
      </c>
    </row>
    <row r="92" spans="1:7">
      <c r="A92" s="3625" t="s">
        <v>5069</v>
      </c>
      <c r="B92" s="3625"/>
      <c r="C92" s="3626" t="s">
        <v>4236</v>
      </c>
      <c r="D92" s="3626">
        <v>32.020000000000003</v>
      </c>
      <c r="E92" s="3623">
        <f>典型户型修正!C114</f>
        <v>1</v>
      </c>
      <c r="F92" s="3623">
        <f ca="1">典型户型修正!R114</f>
        <v>5764</v>
      </c>
      <c r="G92" s="3623">
        <f ca="1">典型户型修正!S114</f>
        <v>18</v>
      </c>
    </row>
    <row r="93" spans="1:7">
      <c r="A93" s="3625" t="s">
        <v>5069</v>
      </c>
      <c r="B93" s="3625"/>
      <c r="C93" s="3626" t="s">
        <v>4237</v>
      </c>
      <c r="D93" s="3626">
        <v>32.020000000000003</v>
      </c>
      <c r="E93" s="3623">
        <f>典型户型修正!C115</f>
        <v>1</v>
      </c>
      <c r="F93" s="3623">
        <f ca="1">典型户型修正!R115</f>
        <v>5764</v>
      </c>
      <c r="G93" s="3623">
        <f ca="1">典型户型修正!S115</f>
        <v>18</v>
      </c>
    </row>
    <row r="94" spans="1:7">
      <c r="A94" s="3625" t="s">
        <v>5069</v>
      </c>
      <c r="B94" s="3625"/>
      <c r="C94" s="3626" t="s">
        <v>4238</v>
      </c>
      <c r="D94" s="3626">
        <v>32.020000000000003</v>
      </c>
      <c r="E94" s="3623">
        <f>典型户型修正!C116</f>
        <v>1</v>
      </c>
      <c r="F94" s="3623">
        <f ca="1">典型户型修正!R116</f>
        <v>5764</v>
      </c>
      <c r="G94" s="3623">
        <f ca="1">典型户型修正!S116</f>
        <v>18</v>
      </c>
    </row>
    <row r="95" spans="1:7">
      <c r="A95" s="3625" t="s">
        <v>5069</v>
      </c>
      <c r="B95" s="3625"/>
      <c r="C95" s="3626" t="s">
        <v>4239</v>
      </c>
      <c r="D95" s="3626">
        <v>32.020000000000003</v>
      </c>
      <c r="E95" s="3623">
        <f>典型户型修正!C117</f>
        <v>1</v>
      </c>
      <c r="F95" s="3623">
        <f ca="1">典型户型修正!R117</f>
        <v>5764</v>
      </c>
      <c r="G95" s="3623">
        <f ca="1">典型户型修正!S117</f>
        <v>18</v>
      </c>
    </row>
    <row r="96" spans="1:7">
      <c r="A96" s="3625" t="s">
        <v>5069</v>
      </c>
      <c r="B96" s="3625"/>
      <c r="C96" s="3626" t="s">
        <v>4240</v>
      </c>
      <c r="D96" s="3626">
        <v>32.020000000000003</v>
      </c>
      <c r="E96" s="3623">
        <f>典型户型修正!C118</f>
        <v>1</v>
      </c>
      <c r="F96" s="3623">
        <f ca="1">典型户型修正!R118</f>
        <v>5764</v>
      </c>
      <c r="G96" s="3623">
        <f ca="1">典型户型修正!S118</f>
        <v>18</v>
      </c>
    </row>
    <row r="97" spans="1:7">
      <c r="A97" s="3625" t="s">
        <v>5069</v>
      </c>
      <c r="B97" s="3625"/>
      <c r="C97" s="3626" t="s">
        <v>4241</v>
      </c>
      <c r="D97" s="3626">
        <v>32.020000000000003</v>
      </c>
      <c r="E97" s="3623">
        <f>典型户型修正!C119</f>
        <v>1</v>
      </c>
      <c r="F97" s="3623">
        <f ca="1">典型户型修正!R119</f>
        <v>5764</v>
      </c>
      <c r="G97" s="3623">
        <f ca="1">典型户型修正!S119</f>
        <v>18</v>
      </c>
    </row>
    <row r="98" spans="1:7">
      <c r="A98" s="3625" t="s">
        <v>5069</v>
      </c>
      <c r="B98" s="3625"/>
      <c r="C98" s="3626" t="s">
        <v>4242</v>
      </c>
      <c r="D98" s="3626">
        <v>32.020000000000003</v>
      </c>
      <c r="E98" s="3623">
        <f>典型户型修正!C120</f>
        <v>1</v>
      </c>
      <c r="F98" s="3623">
        <f ca="1">典型户型修正!R120</f>
        <v>5764</v>
      </c>
      <c r="G98" s="3623">
        <f ca="1">典型户型修正!S120</f>
        <v>18</v>
      </c>
    </row>
    <row r="99" spans="1:7">
      <c r="A99" s="3625" t="s">
        <v>5069</v>
      </c>
      <c r="B99" s="3625"/>
      <c r="C99" s="3626" t="s">
        <v>4243</v>
      </c>
      <c r="D99" s="3626">
        <v>33.36</v>
      </c>
      <c r="E99" s="3623">
        <f>典型户型修正!C121</f>
        <v>1</v>
      </c>
      <c r="F99" s="3623">
        <f ca="1">典型户型修正!R121</f>
        <v>5764</v>
      </c>
      <c r="G99" s="3623">
        <f ca="1">典型户型修正!S121</f>
        <v>19</v>
      </c>
    </row>
    <row r="100" spans="1:7">
      <c r="A100" s="3625" t="s">
        <v>5069</v>
      </c>
      <c r="B100" s="3625"/>
      <c r="C100" s="3626" t="s">
        <v>4244</v>
      </c>
      <c r="D100" s="3626">
        <v>33.36</v>
      </c>
      <c r="E100" s="3623">
        <f>典型户型修正!C122</f>
        <v>1</v>
      </c>
      <c r="F100" s="3623">
        <f ca="1">典型户型修正!R122</f>
        <v>5764</v>
      </c>
      <c r="G100" s="3623">
        <f ca="1">典型户型修正!S122</f>
        <v>19</v>
      </c>
    </row>
    <row r="101" spans="1:7">
      <c r="A101" s="3625" t="s">
        <v>5069</v>
      </c>
      <c r="B101" s="3625"/>
      <c r="C101" s="3626" t="s">
        <v>4245</v>
      </c>
      <c r="D101" s="3626">
        <v>33.36</v>
      </c>
      <c r="E101" s="3623">
        <f>典型户型修正!C123</f>
        <v>1</v>
      </c>
      <c r="F101" s="3623">
        <f ca="1">典型户型修正!R123</f>
        <v>5764</v>
      </c>
      <c r="G101" s="3623">
        <f ca="1">典型户型修正!S123</f>
        <v>19</v>
      </c>
    </row>
    <row r="102" spans="1:7">
      <c r="A102" s="3625" t="s">
        <v>5069</v>
      </c>
      <c r="B102" s="3625"/>
      <c r="C102" s="3626" t="s">
        <v>4246</v>
      </c>
      <c r="D102" s="3626">
        <v>32.020000000000003</v>
      </c>
      <c r="E102" s="3623">
        <f>典型户型修正!C124</f>
        <v>1</v>
      </c>
      <c r="F102" s="3623">
        <f ca="1">典型户型修正!R124</f>
        <v>5764</v>
      </c>
      <c r="G102" s="3623">
        <f ca="1">典型户型修正!S124</f>
        <v>18</v>
      </c>
    </row>
    <row r="103" spans="1:7">
      <c r="A103" s="3625" t="s">
        <v>5069</v>
      </c>
      <c r="B103" s="3625"/>
      <c r="C103" s="3626" t="s">
        <v>4247</v>
      </c>
      <c r="D103" s="3626">
        <v>32.020000000000003</v>
      </c>
      <c r="E103" s="3623">
        <f>典型户型修正!C125</f>
        <v>1</v>
      </c>
      <c r="F103" s="3623">
        <f ca="1">典型户型修正!R125</f>
        <v>5764</v>
      </c>
      <c r="G103" s="3623">
        <f ca="1">典型户型修正!S125</f>
        <v>18</v>
      </c>
    </row>
    <row r="104" spans="1:7">
      <c r="A104" s="3625" t="s">
        <v>5069</v>
      </c>
      <c r="B104" s="3625"/>
      <c r="C104" s="3626" t="s">
        <v>4248</v>
      </c>
      <c r="D104" s="3626">
        <v>32.020000000000003</v>
      </c>
      <c r="E104" s="3623">
        <f>典型户型修正!C126</f>
        <v>1</v>
      </c>
      <c r="F104" s="3623">
        <f ca="1">典型户型修正!R126</f>
        <v>5764</v>
      </c>
      <c r="G104" s="3623">
        <f ca="1">典型户型修正!S126</f>
        <v>18</v>
      </c>
    </row>
    <row r="105" spans="1:7">
      <c r="A105" s="3625" t="s">
        <v>5069</v>
      </c>
      <c r="B105" s="3625"/>
      <c r="C105" s="3626" t="s">
        <v>4249</v>
      </c>
      <c r="D105" s="3626">
        <v>32.020000000000003</v>
      </c>
      <c r="E105" s="3623">
        <f>典型户型修正!C127</f>
        <v>1</v>
      </c>
      <c r="F105" s="3623">
        <f ca="1">典型户型修正!R127</f>
        <v>5764</v>
      </c>
      <c r="G105" s="3623">
        <f ca="1">典型户型修正!S127</f>
        <v>18</v>
      </c>
    </row>
    <row r="106" spans="1:7">
      <c r="A106" s="3625" t="s">
        <v>5069</v>
      </c>
      <c r="B106" s="3625"/>
      <c r="C106" s="3626" t="s">
        <v>4250</v>
      </c>
      <c r="D106" s="3626">
        <v>32.020000000000003</v>
      </c>
      <c r="E106" s="3623">
        <f>典型户型修正!C128</f>
        <v>1</v>
      </c>
      <c r="F106" s="3623">
        <f ca="1">典型户型修正!R128</f>
        <v>5764</v>
      </c>
      <c r="G106" s="3623">
        <f ca="1">典型户型修正!S128</f>
        <v>18</v>
      </c>
    </row>
    <row r="107" spans="1:7">
      <c r="A107" s="3625" t="s">
        <v>5069</v>
      </c>
      <c r="B107" s="3625"/>
      <c r="C107" s="3626" t="s">
        <v>4251</v>
      </c>
      <c r="D107" s="3626">
        <v>32.020000000000003</v>
      </c>
      <c r="E107" s="3623">
        <f>典型户型修正!C129</f>
        <v>1</v>
      </c>
      <c r="F107" s="3623">
        <f ca="1">典型户型修正!R129</f>
        <v>5764</v>
      </c>
      <c r="G107" s="3623">
        <f ca="1">典型户型修正!S129</f>
        <v>18</v>
      </c>
    </row>
    <row r="108" spans="1:7">
      <c r="A108" s="3625" t="s">
        <v>5069</v>
      </c>
      <c r="B108" s="3625"/>
      <c r="C108" s="3626" t="s">
        <v>4252</v>
      </c>
      <c r="D108" s="3626">
        <v>32.020000000000003</v>
      </c>
      <c r="E108" s="3623">
        <f>典型户型修正!C130</f>
        <v>1</v>
      </c>
      <c r="F108" s="3623">
        <f ca="1">典型户型修正!R130</f>
        <v>5764</v>
      </c>
      <c r="G108" s="3623">
        <f ca="1">典型户型修正!S130</f>
        <v>18</v>
      </c>
    </row>
    <row r="109" spans="1:7">
      <c r="A109" s="3625" t="s">
        <v>5069</v>
      </c>
      <c r="B109" s="3625"/>
      <c r="C109" s="3626" t="s">
        <v>4253</v>
      </c>
      <c r="D109" s="3626">
        <v>32.020000000000003</v>
      </c>
      <c r="E109" s="3623">
        <f>典型户型修正!C131</f>
        <v>1</v>
      </c>
      <c r="F109" s="3623">
        <f ca="1">典型户型修正!R131</f>
        <v>5764</v>
      </c>
      <c r="G109" s="3623">
        <f ca="1">典型户型修正!S131</f>
        <v>18</v>
      </c>
    </row>
    <row r="110" spans="1:7">
      <c r="A110" s="3625" t="s">
        <v>5069</v>
      </c>
      <c r="B110" s="3625"/>
      <c r="C110" s="3626" t="s">
        <v>4254</v>
      </c>
      <c r="D110" s="3626">
        <v>32.020000000000003</v>
      </c>
      <c r="E110" s="3623">
        <f>典型户型修正!C132</f>
        <v>1</v>
      </c>
      <c r="F110" s="3623">
        <f ca="1">典型户型修正!R132</f>
        <v>5764</v>
      </c>
      <c r="G110" s="3623">
        <f ca="1">典型户型修正!S132</f>
        <v>18</v>
      </c>
    </row>
    <row r="111" spans="1:7">
      <c r="A111" s="3625" t="s">
        <v>5069</v>
      </c>
      <c r="B111" s="3625"/>
      <c r="C111" s="3626" t="s">
        <v>4255</v>
      </c>
      <c r="D111" s="3626">
        <v>32.020000000000003</v>
      </c>
      <c r="E111" s="3623">
        <f>典型户型修正!C133</f>
        <v>1</v>
      </c>
      <c r="F111" s="3623">
        <f ca="1">典型户型修正!R133</f>
        <v>5764</v>
      </c>
      <c r="G111" s="3623">
        <f ca="1">典型户型修正!S133</f>
        <v>18</v>
      </c>
    </row>
    <row r="112" spans="1:7">
      <c r="A112" s="3625" t="s">
        <v>5069</v>
      </c>
      <c r="B112" s="3625"/>
      <c r="C112" s="3626" t="s">
        <v>4256</v>
      </c>
      <c r="D112" s="3626">
        <v>32.020000000000003</v>
      </c>
      <c r="E112" s="3623">
        <f>典型户型修正!C134</f>
        <v>1</v>
      </c>
      <c r="F112" s="3623">
        <f ca="1">典型户型修正!R134</f>
        <v>5764</v>
      </c>
      <c r="G112" s="3623">
        <f ca="1">典型户型修正!S134</f>
        <v>18</v>
      </c>
    </row>
    <row r="113" spans="1:7">
      <c r="A113" s="3625" t="s">
        <v>5069</v>
      </c>
      <c r="B113" s="3625"/>
      <c r="C113" s="3626" t="s">
        <v>4257</v>
      </c>
      <c r="D113" s="3626">
        <v>32.020000000000003</v>
      </c>
      <c r="E113" s="3623">
        <f>典型户型修正!C135</f>
        <v>1</v>
      </c>
      <c r="F113" s="3623">
        <f ca="1">典型户型修正!R135</f>
        <v>5764</v>
      </c>
      <c r="G113" s="3623">
        <f ca="1">典型户型修正!S135</f>
        <v>18</v>
      </c>
    </row>
    <row r="114" spans="1:7">
      <c r="A114" s="3625" t="s">
        <v>5069</v>
      </c>
      <c r="B114" s="3625"/>
      <c r="C114" s="3626" t="s">
        <v>4258</v>
      </c>
      <c r="D114" s="3626">
        <v>32.020000000000003</v>
      </c>
      <c r="E114" s="3623">
        <f>典型户型修正!C136</f>
        <v>1</v>
      </c>
      <c r="F114" s="3623">
        <f ca="1">典型户型修正!R136</f>
        <v>5764</v>
      </c>
      <c r="G114" s="3623">
        <f ca="1">典型户型修正!S136</f>
        <v>18</v>
      </c>
    </row>
    <row r="115" spans="1:7">
      <c r="A115" s="3625" t="s">
        <v>5069</v>
      </c>
      <c r="B115" s="3625"/>
      <c r="C115" s="3626" t="s">
        <v>4259</v>
      </c>
      <c r="D115" s="3626">
        <v>32.020000000000003</v>
      </c>
      <c r="E115" s="3623">
        <f>典型户型修正!C137</f>
        <v>1</v>
      </c>
      <c r="F115" s="3623">
        <f ca="1">典型户型修正!R137</f>
        <v>5764</v>
      </c>
      <c r="G115" s="3623">
        <f ca="1">典型户型修正!S137</f>
        <v>18</v>
      </c>
    </row>
    <row r="116" spans="1:7">
      <c r="A116" s="3625" t="s">
        <v>5069</v>
      </c>
      <c r="B116" s="3625"/>
      <c r="C116" s="3626" t="s">
        <v>4260</v>
      </c>
      <c r="D116" s="3626">
        <v>32.020000000000003</v>
      </c>
      <c r="E116" s="3623">
        <f>典型户型修正!C138</f>
        <v>1</v>
      </c>
      <c r="F116" s="3623">
        <f ca="1">典型户型修正!R138</f>
        <v>5764</v>
      </c>
      <c r="G116" s="3623">
        <f ca="1">典型户型修正!S138</f>
        <v>18</v>
      </c>
    </row>
    <row r="117" spans="1:7">
      <c r="A117" s="3625" t="s">
        <v>5069</v>
      </c>
      <c r="B117" s="3625"/>
      <c r="C117" s="3626" t="s">
        <v>4261</v>
      </c>
      <c r="D117" s="3626">
        <v>32.020000000000003</v>
      </c>
      <c r="E117" s="3623">
        <f>典型户型修正!C139</f>
        <v>1</v>
      </c>
      <c r="F117" s="3623">
        <f ca="1">典型户型修正!R139</f>
        <v>5764</v>
      </c>
      <c r="G117" s="3623">
        <f ca="1">典型户型修正!S139</f>
        <v>18</v>
      </c>
    </row>
    <row r="118" spans="1:7">
      <c r="A118" s="3625" t="s">
        <v>5069</v>
      </c>
      <c r="B118" s="3625"/>
      <c r="C118" s="3626" t="s">
        <v>4262</v>
      </c>
      <c r="D118" s="3626">
        <v>32.020000000000003</v>
      </c>
      <c r="E118" s="3623">
        <f>典型户型修正!C140</f>
        <v>1</v>
      </c>
      <c r="F118" s="3623">
        <f ca="1">典型户型修正!R140</f>
        <v>5764</v>
      </c>
      <c r="G118" s="3623">
        <f ca="1">典型户型修正!S140</f>
        <v>18</v>
      </c>
    </row>
    <row r="119" spans="1:7">
      <c r="A119" s="3625" t="s">
        <v>5069</v>
      </c>
      <c r="B119" s="3625"/>
      <c r="C119" s="3626" t="s">
        <v>4263</v>
      </c>
      <c r="D119" s="3626">
        <v>32.020000000000003</v>
      </c>
      <c r="E119" s="3623">
        <f>典型户型修正!C141</f>
        <v>1</v>
      </c>
      <c r="F119" s="3623">
        <f ca="1">典型户型修正!R141</f>
        <v>5764</v>
      </c>
      <c r="G119" s="3623">
        <f ca="1">典型户型修正!S141</f>
        <v>18</v>
      </c>
    </row>
    <row r="120" spans="1:7">
      <c r="A120" s="3625" t="s">
        <v>5069</v>
      </c>
      <c r="B120" s="3625"/>
      <c r="C120" s="3626" t="s">
        <v>4264</v>
      </c>
      <c r="D120" s="3626">
        <v>32.020000000000003</v>
      </c>
      <c r="E120" s="3623">
        <f>典型户型修正!C142</f>
        <v>1</v>
      </c>
      <c r="F120" s="3623">
        <f ca="1">典型户型修正!R142</f>
        <v>5764</v>
      </c>
      <c r="G120" s="3623">
        <f ca="1">典型户型修正!S142</f>
        <v>18</v>
      </c>
    </row>
    <row r="121" spans="1:7">
      <c r="A121" s="3625" t="s">
        <v>5069</v>
      </c>
      <c r="B121" s="3625"/>
      <c r="C121" s="3626" t="s">
        <v>4265</v>
      </c>
      <c r="D121" s="3626">
        <v>32.020000000000003</v>
      </c>
      <c r="E121" s="3623">
        <f>典型户型修正!C143</f>
        <v>1</v>
      </c>
      <c r="F121" s="3623">
        <f ca="1">典型户型修正!R143</f>
        <v>5764</v>
      </c>
      <c r="G121" s="3623">
        <f ca="1">典型户型修正!S143</f>
        <v>18</v>
      </c>
    </row>
    <row r="122" spans="1:7">
      <c r="A122" s="3625" t="s">
        <v>5069</v>
      </c>
      <c r="B122" s="3625"/>
      <c r="C122" s="3626" t="s">
        <v>4266</v>
      </c>
      <c r="D122" s="3626">
        <v>32.020000000000003</v>
      </c>
      <c r="E122" s="3623">
        <f>典型户型修正!C144</f>
        <v>1</v>
      </c>
      <c r="F122" s="3623">
        <f ca="1">典型户型修正!R144</f>
        <v>5764</v>
      </c>
      <c r="G122" s="3623">
        <f ca="1">典型户型修正!S144</f>
        <v>18</v>
      </c>
    </row>
    <row r="123" spans="1:7">
      <c r="A123" s="3625" t="s">
        <v>5069</v>
      </c>
      <c r="B123" s="3625"/>
      <c r="C123" s="3626" t="s">
        <v>4267</v>
      </c>
      <c r="D123" s="3626">
        <v>32.020000000000003</v>
      </c>
      <c r="E123" s="3623">
        <f>典型户型修正!C145</f>
        <v>1</v>
      </c>
      <c r="F123" s="3623">
        <f ca="1">典型户型修正!R145</f>
        <v>5764</v>
      </c>
      <c r="G123" s="3623">
        <f ca="1">典型户型修正!S145</f>
        <v>18</v>
      </c>
    </row>
    <row r="124" spans="1:7">
      <c r="A124" s="3625" t="s">
        <v>5069</v>
      </c>
      <c r="B124" s="3625"/>
      <c r="C124" s="3626" t="s">
        <v>4268</v>
      </c>
      <c r="D124" s="3626">
        <v>32.020000000000003</v>
      </c>
      <c r="E124" s="3623">
        <f>典型户型修正!C146</f>
        <v>1</v>
      </c>
      <c r="F124" s="3623">
        <f ca="1">典型户型修正!R146</f>
        <v>5764</v>
      </c>
      <c r="G124" s="3623">
        <f ca="1">典型户型修正!S146</f>
        <v>18</v>
      </c>
    </row>
    <row r="125" spans="1:7">
      <c r="A125" s="3625" t="s">
        <v>5069</v>
      </c>
      <c r="B125" s="3625"/>
      <c r="C125" s="3626" t="s">
        <v>4269</v>
      </c>
      <c r="D125" s="3626">
        <v>32.020000000000003</v>
      </c>
      <c r="E125" s="3623">
        <f>典型户型修正!C147</f>
        <v>1</v>
      </c>
      <c r="F125" s="3623">
        <f ca="1">典型户型修正!R147</f>
        <v>5764</v>
      </c>
      <c r="G125" s="3623">
        <f ca="1">典型户型修正!S147</f>
        <v>18</v>
      </c>
    </row>
    <row r="126" spans="1:7">
      <c r="A126" s="3625" t="s">
        <v>5069</v>
      </c>
      <c r="B126" s="3625"/>
      <c r="C126" s="3626" t="s">
        <v>4270</v>
      </c>
      <c r="D126" s="3626">
        <v>32.020000000000003</v>
      </c>
      <c r="E126" s="3623">
        <f>典型户型修正!C148</f>
        <v>1</v>
      </c>
      <c r="F126" s="3623">
        <f ca="1">典型户型修正!R148</f>
        <v>5764</v>
      </c>
      <c r="G126" s="3623">
        <f ca="1">典型户型修正!S148</f>
        <v>18</v>
      </c>
    </row>
    <row r="127" spans="1:7">
      <c r="A127" s="3625" t="s">
        <v>5069</v>
      </c>
      <c r="B127" s="3625"/>
      <c r="C127" s="3626" t="s">
        <v>4271</v>
      </c>
      <c r="D127" s="3626">
        <v>32.020000000000003</v>
      </c>
      <c r="E127" s="3623">
        <f>典型户型修正!C149</f>
        <v>1</v>
      </c>
      <c r="F127" s="3623">
        <f ca="1">典型户型修正!R149</f>
        <v>5764</v>
      </c>
      <c r="G127" s="3623">
        <f ca="1">典型户型修正!S149</f>
        <v>18</v>
      </c>
    </row>
    <row r="128" spans="1:7">
      <c r="A128" s="3625" t="s">
        <v>5069</v>
      </c>
      <c r="B128" s="3625"/>
      <c r="C128" s="3626" t="s">
        <v>4272</v>
      </c>
      <c r="D128" s="3626">
        <v>32.020000000000003</v>
      </c>
      <c r="E128" s="3623">
        <f>典型户型修正!C150</f>
        <v>1</v>
      </c>
      <c r="F128" s="3623">
        <f ca="1">典型户型修正!R150</f>
        <v>5764</v>
      </c>
      <c r="G128" s="3623">
        <f ca="1">典型户型修正!S150</f>
        <v>18</v>
      </c>
    </row>
    <row r="129" spans="1:7">
      <c r="A129" s="3625" t="s">
        <v>5069</v>
      </c>
      <c r="B129" s="3625"/>
      <c r="C129" s="3626" t="s">
        <v>4273</v>
      </c>
      <c r="D129" s="3626">
        <v>32.020000000000003</v>
      </c>
      <c r="E129" s="3623">
        <f>典型户型修正!C151</f>
        <v>1</v>
      </c>
      <c r="F129" s="3623">
        <f ca="1">典型户型修正!R151</f>
        <v>5764</v>
      </c>
      <c r="G129" s="3623">
        <f ca="1">典型户型修正!S151</f>
        <v>18</v>
      </c>
    </row>
    <row r="130" spans="1:7">
      <c r="A130" s="3625" t="s">
        <v>5069</v>
      </c>
      <c r="B130" s="3625"/>
      <c r="C130" s="3626" t="s">
        <v>4274</v>
      </c>
      <c r="D130" s="3626">
        <v>32.020000000000003</v>
      </c>
      <c r="E130" s="3623">
        <f>典型户型修正!C152</f>
        <v>1</v>
      </c>
      <c r="F130" s="3623">
        <f ca="1">典型户型修正!R152</f>
        <v>5764</v>
      </c>
      <c r="G130" s="3623">
        <f ca="1">典型户型修正!S152</f>
        <v>18</v>
      </c>
    </row>
    <row r="131" spans="1:7">
      <c r="A131" s="3625" t="s">
        <v>5069</v>
      </c>
      <c r="B131" s="3625"/>
      <c r="C131" s="3626" t="s">
        <v>4275</v>
      </c>
      <c r="D131" s="3626">
        <v>32.020000000000003</v>
      </c>
      <c r="E131" s="3623">
        <f>典型户型修正!C153</f>
        <v>1</v>
      </c>
      <c r="F131" s="3623">
        <f ca="1">典型户型修正!R153</f>
        <v>5764</v>
      </c>
      <c r="G131" s="3623">
        <f ca="1">典型户型修正!S153</f>
        <v>18</v>
      </c>
    </row>
    <row r="132" spans="1:7">
      <c r="A132" s="3625" t="s">
        <v>5069</v>
      </c>
      <c r="B132" s="3625"/>
      <c r="C132" s="3626" t="s">
        <v>4276</v>
      </c>
      <c r="D132" s="3626">
        <v>32.020000000000003</v>
      </c>
      <c r="E132" s="3623">
        <f>典型户型修正!C154</f>
        <v>1</v>
      </c>
      <c r="F132" s="3623">
        <f ca="1">典型户型修正!R154</f>
        <v>5764</v>
      </c>
      <c r="G132" s="3623">
        <f ca="1">典型户型修正!S154</f>
        <v>18</v>
      </c>
    </row>
    <row r="133" spans="1:7">
      <c r="A133" s="3625" t="s">
        <v>5069</v>
      </c>
      <c r="B133" s="3625"/>
      <c r="C133" s="3626" t="s">
        <v>4277</v>
      </c>
      <c r="D133" s="3626">
        <v>32.020000000000003</v>
      </c>
      <c r="E133" s="3623">
        <f>典型户型修正!C155</f>
        <v>1</v>
      </c>
      <c r="F133" s="3623">
        <f ca="1">典型户型修正!R155</f>
        <v>5764</v>
      </c>
      <c r="G133" s="3623">
        <f ca="1">典型户型修正!S155</f>
        <v>18</v>
      </c>
    </row>
    <row r="134" spans="1:7">
      <c r="A134" s="3625" t="s">
        <v>5069</v>
      </c>
      <c r="B134" s="3625"/>
      <c r="C134" s="3626" t="s">
        <v>4278</v>
      </c>
      <c r="D134" s="3626">
        <v>32.020000000000003</v>
      </c>
      <c r="E134" s="3623">
        <f>典型户型修正!C156</f>
        <v>1</v>
      </c>
      <c r="F134" s="3623">
        <f ca="1">典型户型修正!R156</f>
        <v>5764</v>
      </c>
      <c r="G134" s="3623">
        <f ca="1">典型户型修正!S156</f>
        <v>18</v>
      </c>
    </row>
    <row r="135" spans="1:7">
      <c r="A135" s="3625" t="s">
        <v>5069</v>
      </c>
      <c r="B135" s="3625"/>
      <c r="C135" s="3626" t="s">
        <v>4279</v>
      </c>
      <c r="D135" s="3626">
        <v>32.020000000000003</v>
      </c>
      <c r="E135" s="3623">
        <f>典型户型修正!C157</f>
        <v>1</v>
      </c>
      <c r="F135" s="3623">
        <f ca="1">典型户型修正!R157</f>
        <v>5764</v>
      </c>
      <c r="G135" s="3623">
        <f ca="1">典型户型修正!S157</f>
        <v>18</v>
      </c>
    </row>
    <row r="136" spans="1:7">
      <c r="A136" s="3625" t="s">
        <v>5069</v>
      </c>
      <c r="B136" s="3625"/>
      <c r="C136" s="3626" t="s">
        <v>4280</v>
      </c>
      <c r="D136" s="3626">
        <v>32.020000000000003</v>
      </c>
      <c r="E136" s="3623">
        <f>典型户型修正!C158</f>
        <v>1</v>
      </c>
      <c r="F136" s="3623">
        <f ca="1">典型户型修正!R158</f>
        <v>5764</v>
      </c>
      <c r="G136" s="3623">
        <f ca="1">典型户型修正!S158</f>
        <v>18</v>
      </c>
    </row>
    <row r="137" spans="1:7">
      <c r="A137" s="3625" t="s">
        <v>5069</v>
      </c>
      <c r="B137" s="3625"/>
      <c r="C137" s="3626" t="s">
        <v>4281</v>
      </c>
      <c r="D137" s="3626">
        <v>32.020000000000003</v>
      </c>
      <c r="E137" s="3623">
        <f>典型户型修正!C159</f>
        <v>1</v>
      </c>
      <c r="F137" s="3623">
        <f ca="1">典型户型修正!R159</f>
        <v>5764</v>
      </c>
      <c r="G137" s="3623">
        <f ca="1">典型户型修正!S159</f>
        <v>18</v>
      </c>
    </row>
    <row r="138" spans="1:7">
      <c r="A138" s="3625" t="s">
        <v>5069</v>
      </c>
      <c r="B138" s="3625"/>
      <c r="C138" s="3626" t="s">
        <v>4282</v>
      </c>
      <c r="D138" s="3626">
        <v>32.020000000000003</v>
      </c>
      <c r="E138" s="3623">
        <f>典型户型修正!C160</f>
        <v>1</v>
      </c>
      <c r="F138" s="3623">
        <f ca="1">典型户型修正!R160</f>
        <v>5764</v>
      </c>
      <c r="G138" s="3623">
        <f ca="1">典型户型修正!S160</f>
        <v>18</v>
      </c>
    </row>
    <row r="139" spans="1:7">
      <c r="A139" s="3625" t="s">
        <v>5069</v>
      </c>
      <c r="B139" s="3625"/>
      <c r="C139" s="3626" t="s">
        <v>4283</v>
      </c>
      <c r="D139" s="3626">
        <v>32.020000000000003</v>
      </c>
      <c r="E139" s="3623">
        <f>典型户型修正!C161</f>
        <v>1</v>
      </c>
      <c r="F139" s="3623">
        <f ca="1">典型户型修正!R161</f>
        <v>5764</v>
      </c>
      <c r="G139" s="3623">
        <f ca="1">典型户型修正!S161</f>
        <v>18</v>
      </c>
    </row>
    <row r="140" spans="1:7">
      <c r="A140" s="3625" t="s">
        <v>5069</v>
      </c>
      <c r="B140" s="3625"/>
      <c r="C140" s="3626" t="s">
        <v>4284</v>
      </c>
      <c r="D140" s="3626">
        <v>32.020000000000003</v>
      </c>
      <c r="E140" s="3623">
        <f>典型户型修正!C162</f>
        <v>1</v>
      </c>
      <c r="F140" s="3623">
        <f ca="1">典型户型修正!R162</f>
        <v>5764</v>
      </c>
      <c r="G140" s="3623">
        <f ca="1">典型户型修正!S162</f>
        <v>18</v>
      </c>
    </row>
    <row r="141" spans="1:7">
      <c r="A141" s="3625" t="s">
        <v>5069</v>
      </c>
      <c r="B141" s="3625"/>
      <c r="C141" s="3626" t="s">
        <v>4285</v>
      </c>
      <c r="D141" s="3626">
        <v>32.020000000000003</v>
      </c>
      <c r="E141" s="3623">
        <f>典型户型修正!C163</f>
        <v>1</v>
      </c>
      <c r="F141" s="3623">
        <f ca="1">典型户型修正!R163</f>
        <v>5764</v>
      </c>
      <c r="G141" s="3623">
        <f ca="1">典型户型修正!S163</f>
        <v>18</v>
      </c>
    </row>
    <row r="142" spans="1:7">
      <c r="A142" s="3625" t="s">
        <v>5069</v>
      </c>
      <c r="B142" s="3625"/>
      <c r="C142" s="3626" t="s">
        <v>4286</v>
      </c>
      <c r="D142" s="3626">
        <v>32.020000000000003</v>
      </c>
      <c r="E142" s="3623">
        <f>典型户型修正!C164</f>
        <v>1</v>
      </c>
      <c r="F142" s="3623">
        <f ca="1">典型户型修正!R164</f>
        <v>5764</v>
      </c>
      <c r="G142" s="3623">
        <f ca="1">典型户型修正!S164</f>
        <v>18</v>
      </c>
    </row>
    <row r="143" spans="1:7">
      <c r="A143" s="3625" t="s">
        <v>5069</v>
      </c>
      <c r="B143" s="3625"/>
      <c r="C143" s="3626" t="s">
        <v>4287</v>
      </c>
      <c r="D143" s="3626">
        <v>32.020000000000003</v>
      </c>
      <c r="E143" s="3623">
        <f>典型户型修正!C165</f>
        <v>1</v>
      </c>
      <c r="F143" s="3623">
        <f ca="1">典型户型修正!R165</f>
        <v>5764</v>
      </c>
      <c r="G143" s="3623">
        <f ca="1">典型户型修正!S165</f>
        <v>18</v>
      </c>
    </row>
    <row r="144" spans="1:7">
      <c r="A144" s="3625" t="s">
        <v>5069</v>
      </c>
      <c r="B144" s="3625"/>
      <c r="C144" s="3626" t="s">
        <v>4288</v>
      </c>
      <c r="D144" s="3626">
        <v>32.020000000000003</v>
      </c>
      <c r="E144" s="3623">
        <f>典型户型修正!C166</f>
        <v>1</v>
      </c>
      <c r="F144" s="3623">
        <f ca="1">典型户型修正!R166</f>
        <v>5764</v>
      </c>
      <c r="G144" s="3623">
        <f ca="1">典型户型修正!S166</f>
        <v>18</v>
      </c>
    </row>
    <row r="145" spans="1:7">
      <c r="A145" s="3625" t="s">
        <v>5069</v>
      </c>
      <c r="B145" s="3625"/>
      <c r="C145" s="3626" t="s">
        <v>4289</v>
      </c>
      <c r="D145" s="3626">
        <v>32.020000000000003</v>
      </c>
      <c r="E145" s="3623">
        <f>典型户型修正!C167</f>
        <v>1</v>
      </c>
      <c r="F145" s="3623">
        <f ca="1">典型户型修正!R167</f>
        <v>5764</v>
      </c>
      <c r="G145" s="3623">
        <f ca="1">典型户型修正!S167</f>
        <v>18</v>
      </c>
    </row>
    <row r="146" spans="1:7">
      <c r="A146" s="3625" t="s">
        <v>5069</v>
      </c>
      <c r="B146" s="3625"/>
      <c r="C146" s="3626" t="s">
        <v>4290</v>
      </c>
      <c r="D146" s="3626">
        <v>32.020000000000003</v>
      </c>
      <c r="E146" s="3623">
        <f>典型户型修正!C168</f>
        <v>1</v>
      </c>
      <c r="F146" s="3623">
        <f ca="1">典型户型修正!R168</f>
        <v>5764</v>
      </c>
      <c r="G146" s="3623">
        <f ca="1">典型户型修正!S168</f>
        <v>18</v>
      </c>
    </row>
    <row r="147" spans="1:7">
      <c r="A147" s="3625" t="s">
        <v>5069</v>
      </c>
      <c r="B147" s="3625"/>
      <c r="C147" s="3626" t="s">
        <v>4291</v>
      </c>
      <c r="D147" s="3626">
        <v>32.020000000000003</v>
      </c>
      <c r="E147" s="3623">
        <f>典型户型修正!C169</f>
        <v>1</v>
      </c>
      <c r="F147" s="3623">
        <f ca="1">典型户型修正!R169</f>
        <v>5764</v>
      </c>
      <c r="G147" s="3623">
        <f ca="1">典型户型修正!S169</f>
        <v>18</v>
      </c>
    </row>
    <row r="148" spans="1:7">
      <c r="A148" s="3625" t="s">
        <v>5069</v>
      </c>
      <c r="B148" s="3625"/>
      <c r="C148" s="3626" t="s">
        <v>4292</v>
      </c>
      <c r="D148" s="3626">
        <v>32.020000000000003</v>
      </c>
      <c r="E148" s="3623">
        <f>典型户型修正!C170</f>
        <v>1</v>
      </c>
      <c r="F148" s="3623">
        <f ca="1">典型户型修正!R170</f>
        <v>5764</v>
      </c>
      <c r="G148" s="3623">
        <f ca="1">典型户型修正!S170</f>
        <v>18</v>
      </c>
    </row>
    <row r="149" spans="1:7">
      <c r="A149" s="3625" t="s">
        <v>5069</v>
      </c>
      <c r="B149" s="3625"/>
      <c r="C149" s="3626" t="s">
        <v>4293</v>
      </c>
      <c r="D149" s="3626">
        <v>32.020000000000003</v>
      </c>
      <c r="E149" s="3623">
        <f>典型户型修正!C171</f>
        <v>1</v>
      </c>
      <c r="F149" s="3623">
        <f ca="1">典型户型修正!R171</f>
        <v>5764</v>
      </c>
      <c r="G149" s="3623">
        <f ca="1">典型户型修正!S171</f>
        <v>18</v>
      </c>
    </row>
    <row r="150" spans="1:7">
      <c r="A150" s="3625" t="s">
        <v>5069</v>
      </c>
      <c r="B150" s="3625"/>
      <c r="C150" s="3626" t="s">
        <v>4294</v>
      </c>
      <c r="D150" s="3626">
        <v>32.020000000000003</v>
      </c>
      <c r="E150" s="3623">
        <f>典型户型修正!C172</f>
        <v>1</v>
      </c>
      <c r="F150" s="3623">
        <f ca="1">典型户型修正!R172</f>
        <v>5764</v>
      </c>
      <c r="G150" s="3623">
        <f ca="1">典型户型修正!S172</f>
        <v>18</v>
      </c>
    </row>
    <row r="151" spans="1:7">
      <c r="A151" s="3625" t="s">
        <v>5069</v>
      </c>
      <c r="B151" s="3625"/>
      <c r="C151" s="3626" t="s">
        <v>4295</v>
      </c>
      <c r="D151" s="3626">
        <v>33.36</v>
      </c>
      <c r="E151" s="3623">
        <f>典型户型修正!C173</f>
        <v>1</v>
      </c>
      <c r="F151" s="3623">
        <f ca="1">典型户型修正!R173</f>
        <v>5764</v>
      </c>
      <c r="G151" s="3623">
        <f ca="1">典型户型修正!S173</f>
        <v>19</v>
      </c>
    </row>
    <row r="152" spans="1:7">
      <c r="A152" s="3625" t="s">
        <v>5069</v>
      </c>
      <c r="B152" s="3625"/>
      <c r="C152" s="3626" t="s">
        <v>4296</v>
      </c>
      <c r="D152" s="3626">
        <v>33.36</v>
      </c>
      <c r="E152" s="3623">
        <f>典型户型修正!C174</f>
        <v>1</v>
      </c>
      <c r="F152" s="3623">
        <f ca="1">典型户型修正!R174</f>
        <v>5764</v>
      </c>
      <c r="G152" s="3623">
        <f ca="1">典型户型修正!S174</f>
        <v>19</v>
      </c>
    </row>
    <row r="153" spans="1:7">
      <c r="A153" s="3625" t="s">
        <v>5069</v>
      </c>
      <c r="B153" s="3625"/>
      <c r="C153" s="3626" t="s">
        <v>4297</v>
      </c>
      <c r="D153" s="3626">
        <v>33.36</v>
      </c>
      <c r="E153" s="3623">
        <f>典型户型修正!C175</f>
        <v>1</v>
      </c>
      <c r="F153" s="3623">
        <f ca="1">典型户型修正!R175</f>
        <v>5764</v>
      </c>
      <c r="G153" s="3623">
        <f ca="1">典型户型修正!S175</f>
        <v>19</v>
      </c>
    </row>
    <row r="154" spans="1:7">
      <c r="A154" s="3625" t="s">
        <v>5069</v>
      </c>
      <c r="B154" s="3625"/>
      <c r="C154" s="3626" t="s">
        <v>4298</v>
      </c>
      <c r="D154" s="3626">
        <v>32.020000000000003</v>
      </c>
      <c r="E154" s="3623">
        <f>典型户型修正!C176</f>
        <v>1</v>
      </c>
      <c r="F154" s="3623">
        <f ca="1">典型户型修正!R176</f>
        <v>5764</v>
      </c>
      <c r="G154" s="3623">
        <f ca="1">典型户型修正!S176</f>
        <v>18</v>
      </c>
    </row>
    <row r="155" spans="1:7">
      <c r="A155" s="3625" t="s">
        <v>5069</v>
      </c>
      <c r="B155" s="3625"/>
      <c r="C155" s="3626" t="s">
        <v>4299</v>
      </c>
      <c r="D155" s="3626">
        <v>32.020000000000003</v>
      </c>
      <c r="E155" s="3623">
        <f>典型户型修正!C177</f>
        <v>1</v>
      </c>
      <c r="F155" s="3623">
        <f ca="1">典型户型修正!R177</f>
        <v>5764</v>
      </c>
      <c r="G155" s="3623">
        <f ca="1">典型户型修正!S177</f>
        <v>18</v>
      </c>
    </row>
    <row r="156" spans="1:7">
      <c r="A156" s="3625" t="s">
        <v>5069</v>
      </c>
      <c r="B156" s="3625"/>
      <c r="C156" s="3626" t="s">
        <v>4300</v>
      </c>
      <c r="D156" s="3626">
        <v>32.020000000000003</v>
      </c>
      <c r="E156" s="3623">
        <f>典型户型修正!C178</f>
        <v>1</v>
      </c>
      <c r="F156" s="3623">
        <f ca="1">典型户型修正!R178</f>
        <v>5764</v>
      </c>
      <c r="G156" s="3623">
        <f ca="1">典型户型修正!S178</f>
        <v>18</v>
      </c>
    </row>
    <row r="157" spans="1:7">
      <c r="A157" s="3625" t="s">
        <v>5069</v>
      </c>
      <c r="B157" s="3625"/>
      <c r="C157" s="3626" t="s">
        <v>4301</v>
      </c>
      <c r="D157" s="3626">
        <v>32.020000000000003</v>
      </c>
      <c r="E157" s="3623">
        <f>典型户型修正!C179</f>
        <v>1</v>
      </c>
      <c r="F157" s="3623">
        <f ca="1">典型户型修正!R179</f>
        <v>5764</v>
      </c>
      <c r="G157" s="3623">
        <f ca="1">典型户型修正!S179</f>
        <v>18</v>
      </c>
    </row>
    <row r="158" spans="1:7">
      <c r="A158" s="3625" t="s">
        <v>5069</v>
      </c>
      <c r="B158" s="3625"/>
      <c r="C158" s="3626" t="s">
        <v>4302</v>
      </c>
      <c r="D158" s="3626">
        <v>32.020000000000003</v>
      </c>
      <c r="E158" s="3623">
        <f>典型户型修正!C180</f>
        <v>1</v>
      </c>
      <c r="F158" s="3623">
        <f ca="1">典型户型修正!R180</f>
        <v>5764</v>
      </c>
      <c r="G158" s="3623">
        <f ca="1">典型户型修正!S180</f>
        <v>18</v>
      </c>
    </row>
    <row r="159" spans="1:7">
      <c r="A159" s="3625" t="s">
        <v>5069</v>
      </c>
      <c r="B159" s="3625"/>
      <c r="C159" s="3626" t="s">
        <v>4303</v>
      </c>
      <c r="D159" s="3626">
        <v>32.020000000000003</v>
      </c>
      <c r="E159" s="3623">
        <f>典型户型修正!C181</f>
        <v>1</v>
      </c>
      <c r="F159" s="3623">
        <f ca="1">典型户型修正!R181</f>
        <v>5764</v>
      </c>
      <c r="G159" s="3623">
        <f ca="1">典型户型修正!S181</f>
        <v>18</v>
      </c>
    </row>
    <row r="160" spans="1:7">
      <c r="A160" s="3625" t="s">
        <v>5069</v>
      </c>
      <c r="B160" s="3625"/>
      <c r="C160" s="3626" t="s">
        <v>4304</v>
      </c>
      <c r="D160" s="3626">
        <v>32.020000000000003</v>
      </c>
      <c r="E160" s="3623">
        <f>典型户型修正!C182</f>
        <v>1</v>
      </c>
      <c r="F160" s="3623">
        <f ca="1">典型户型修正!R182</f>
        <v>5764</v>
      </c>
      <c r="G160" s="3623">
        <f ca="1">典型户型修正!S182</f>
        <v>18</v>
      </c>
    </row>
    <row r="161" spans="1:7">
      <c r="A161" s="3625" t="s">
        <v>5069</v>
      </c>
      <c r="B161" s="3625"/>
      <c r="C161" s="3626" t="s">
        <v>4305</v>
      </c>
      <c r="D161" s="3626">
        <v>32.020000000000003</v>
      </c>
      <c r="E161" s="3623">
        <f>典型户型修正!C183</f>
        <v>1</v>
      </c>
      <c r="F161" s="3623">
        <f ca="1">典型户型修正!R183</f>
        <v>5764</v>
      </c>
      <c r="G161" s="3623">
        <f ca="1">典型户型修正!S183</f>
        <v>18</v>
      </c>
    </row>
    <row r="162" spans="1:7">
      <c r="A162" s="3625" t="s">
        <v>5069</v>
      </c>
      <c r="B162" s="3625"/>
      <c r="C162" s="3626" t="s">
        <v>4306</v>
      </c>
      <c r="D162" s="3626">
        <v>32.020000000000003</v>
      </c>
      <c r="E162" s="3623">
        <f>典型户型修正!C184</f>
        <v>1</v>
      </c>
      <c r="F162" s="3623">
        <f ca="1">典型户型修正!R184</f>
        <v>5764</v>
      </c>
      <c r="G162" s="3623">
        <f ca="1">典型户型修正!S184</f>
        <v>18</v>
      </c>
    </row>
    <row r="163" spans="1:7">
      <c r="A163" s="3625" t="s">
        <v>5069</v>
      </c>
      <c r="B163" s="3625"/>
      <c r="C163" s="3626" t="s">
        <v>4307</v>
      </c>
      <c r="D163" s="3626">
        <v>32.020000000000003</v>
      </c>
      <c r="E163" s="3623">
        <f>典型户型修正!C185</f>
        <v>1</v>
      </c>
      <c r="F163" s="3623">
        <f ca="1">典型户型修正!R185</f>
        <v>5764</v>
      </c>
      <c r="G163" s="3623">
        <f ca="1">典型户型修正!S185</f>
        <v>18</v>
      </c>
    </row>
    <row r="164" spans="1:7">
      <c r="A164" s="3625" t="s">
        <v>5069</v>
      </c>
      <c r="B164" s="3625"/>
      <c r="C164" s="3626" t="s">
        <v>4308</v>
      </c>
      <c r="D164" s="3626">
        <v>32.020000000000003</v>
      </c>
      <c r="E164" s="3623">
        <f>典型户型修正!C186</f>
        <v>1</v>
      </c>
      <c r="F164" s="3623">
        <f ca="1">典型户型修正!R186</f>
        <v>5764</v>
      </c>
      <c r="G164" s="3623">
        <f ca="1">典型户型修正!S186</f>
        <v>18</v>
      </c>
    </row>
    <row r="165" spans="1:7">
      <c r="A165" s="3625" t="s">
        <v>5069</v>
      </c>
      <c r="B165" s="3625"/>
      <c r="C165" s="3626" t="s">
        <v>4309</v>
      </c>
      <c r="D165" s="3626">
        <v>32.020000000000003</v>
      </c>
      <c r="E165" s="3623">
        <f>典型户型修正!C187</f>
        <v>1</v>
      </c>
      <c r="F165" s="3623">
        <f ca="1">典型户型修正!R187</f>
        <v>5764</v>
      </c>
      <c r="G165" s="3623">
        <f ca="1">典型户型修正!S187</f>
        <v>18</v>
      </c>
    </row>
    <row r="166" spans="1:7">
      <c r="A166" s="3625" t="s">
        <v>5069</v>
      </c>
      <c r="B166" s="3625"/>
      <c r="C166" s="3626" t="s">
        <v>4310</v>
      </c>
      <c r="D166" s="3626">
        <v>32.020000000000003</v>
      </c>
      <c r="E166" s="3623">
        <f>典型户型修正!C188</f>
        <v>1</v>
      </c>
      <c r="F166" s="3623">
        <f ca="1">典型户型修正!R188</f>
        <v>5764</v>
      </c>
      <c r="G166" s="3623">
        <f ca="1">典型户型修正!S188</f>
        <v>18</v>
      </c>
    </row>
    <row r="167" spans="1:7">
      <c r="A167" s="3625" t="s">
        <v>5069</v>
      </c>
      <c r="B167" s="3625"/>
      <c r="C167" s="3626" t="s">
        <v>4311</v>
      </c>
      <c r="D167" s="3626">
        <v>32.020000000000003</v>
      </c>
      <c r="E167" s="3623">
        <f>典型户型修正!C189</f>
        <v>1</v>
      </c>
      <c r="F167" s="3623">
        <f ca="1">典型户型修正!R189</f>
        <v>5764</v>
      </c>
      <c r="G167" s="3623">
        <f ca="1">典型户型修正!S189</f>
        <v>18</v>
      </c>
    </row>
    <row r="168" spans="1:7">
      <c r="A168" s="3625" t="s">
        <v>5069</v>
      </c>
      <c r="B168" s="3625"/>
      <c r="C168" s="3626" t="s">
        <v>4312</v>
      </c>
      <c r="D168" s="3626">
        <v>32.020000000000003</v>
      </c>
      <c r="E168" s="3623">
        <f>典型户型修正!C190</f>
        <v>1</v>
      </c>
      <c r="F168" s="3623">
        <f ca="1">典型户型修正!R190</f>
        <v>5764</v>
      </c>
      <c r="G168" s="3623">
        <f ca="1">典型户型修正!S190</f>
        <v>18</v>
      </c>
    </row>
    <row r="169" spans="1:7">
      <c r="A169" s="3625" t="s">
        <v>5069</v>
      </c>
      <c r="B169" s="3625"/>
      <c r="C169" s="3626" t="s">
        <v>4313</v>
      </c>
      <c r="D169" s="3626">
        <v>32.020000000000003</v>
      </c>
      <c r="E169" s="3623">
        <f>典型户型修正!C191</f>
        <v>1</v>
      </c>
      <c r="F169" s="3623">
        <f ca="1">典型户型修正!R191</f>
        <v>5764</v>
      </c>
      <c r="G169" s="3623">
        <f ca="1">典型户型修正!S191</f>
        <v>18</v>
      </c>
    </row>
    <row r="170" spans="1:7">
      <c r="A170" s="3625" t="s">
        <v>5069</v>
      </c>
      <c r="B170" s="3625"/>
      <c r="C170" s="3626" t="s">
        <v>4314</v>
      </c>
      <c r="D170" s="3626">
        <v>32.020000000000003</v>
      </c>
      <c r="E170" s="3623">
        <f>典型户型修正!C192</f>
        <v>1</v>
      </c>
      <c r="F170" s="3623">
        <f ca="1">典型户型修正!R192</f>
        <v>5764</v>
      </c>
      <c r="G170" s="3623">
        <f ca="1">典型户型修正!S192</f>
        <v>18</v>
      </c>
    </row>
    <row r="171" spans="1:7">
      <c r="A171" s="3625" t="s">
        <v>5069</v>
      </c>
      <c r="B171" s="3625"/>
      <c r="C171" s="3626" t="s">
        <v>4315</v>
      </c>
      <c r="D171" s="3626">
        <v>32.020000000000003</v>
      </c>
      <c r="E171" s="3623">
        <f>典型户型修正!C193</f>
        <v>1</v>
      </c>
      <c r="F171" s="3623">
        <f ca="1">典型户型修正!R193</f>
        <v>5764</v>
      </c>
      <c r="G171" s="3623">
        <f ca="1">典型户型修正!S193</f>
        <v>18</v>
      </c>
    </row>
    <row r="172" spans="1:7">
      <c r="A172" s="3625" t="s">
        <v>5069</v>
      </c>
      <c r="B172" s="3625"/>
      <c r="C172" s="3626" t="s">
        <v>4316</v>
      </c>
      <c r="D172" s="3626">
        <v>32.020000000000003</v>
      </c>
      <c r="E172" s="3623">
        <f>典型户型修正!C194</f>
        <v>1</v>
      </c>
      <c r="F172" s="3623">
        <f ca="1">典型户型修正!R194</f>
        <v>5764</v>
      </c>
      <c r="G172" s="3623">
        <f ca="1">典型户型修正!S194</f>
        <v>18</v>
      </c>
    </row>
    <row r="173" spans="1:7">
      <c r="A173" s="3625" t="s">
        <v>5069</v>
      </c>
      <c r="B173" s="3625"/>
      <c r="C173" s="3626" t="s">
        <v>4317</v>
      </c>
      <c r="D173" s="3626">
        <v>33.36</v>
      </c>
      <c r="E173" s="3623">
        <f>典型户型修正!C195</f>
        <v>1</v>
      </c>
      <c r="F173" s="3623">
        <f ca="1">典型户型修正!R195</f>
        <v>5764</v>
      </c>
      <c r="G173" s="3623">
        <f ca="1">典型户型修正!S195</f>
        <v>19</v>
      </c>
    </row>
    <row r="174" spans="1:7">
      <c r="A174" s="3625" t="s">
        <v>5069</v>
      </c>
      <c r="B174" s="3625"/>
      <c r="C174" s="3626" t="s">
        <v>4318</v>
      </c>
      <c r="D174" s="3626">
        <v>33.36</v>
      </c>
      <c r="E174" s="3623">
        <f>典型户型修正!C196</f>
        <v>1</v>
      </c>
      <c r="F174" s="3623">
        <f ca="1">典型户型修正!R196</f>
        <v>5764</v>
      </c>
      <c r="G174" s="3623">
        <f ca="1">典型户型修正!S196</f>
        <v>19</v>
      </c>
    </row>
    <row r="175" spans="1:7">
      <c r="A175" s="3625" t="s">
        <v>5069</v>
      </c>
      <c r="B175" s="3625"/>
      <c r="C175" s="3626" t="s">
        <v>4319</v>
      </c>
      <c r="D175" s="3626">
        <v>33.36</v>
      </c>
      <c r="E175" s="3623">
        <f>典型户型修正!C197</f>
        <v>1</v>
      </c>
      <c r="F175" s="3623">
        <f ca="1">典型户型修正!R197</f>
        <v>5764</v>
      </c>
      <c r="G175" s="3623">
        <f ca="1">典型户型修正!S197</f>
        <v>19</v>
      </c>
    </row>
    <row r="176" spans="1:7">
      <c r="A176" s="3625" t="s">
        <v>5069</v>
      </c>
      <c r="B176" s="3625"/>
      <c r="C176" s="3626" t="s">
        <v>4320</v>
      </c>
      <c r="D176" s="3626">
        <v>33.36</v>
      </c>
      <c r="E176" s="3623">
        <f>典型户型修正!C198</f>
        <v>1</v>
      </c>
      <c r="F176" s="3623">
        <f ca="1">典型户型修正!R198</f>
        <v>5764</v>
      </c>
      <c r="G176" s="3623">
        <f ca="1">典型户型修正!S198</f>
        <v>19</v>
      </c>
    </row>
    <row r="177" spans="1:7">
      <c r="A177" s="3625" t="s">
        <v>5069</v>
      </c>
      <c r="B177" s="3625"/>
      <c r="C177" s="3626" t="s">
        <v>4321</v>
      </c>
      <c r="D177" s="3626">
        <v>32.020000000000003</v>
      </c>
      <c r="E177" s="3623">
        <f>典型户型修正!C199</f>
        <v>1</v>
      </c>
      <c r="F177" s="3623">
        <f ca="1">典型户型修正!R199</f>
        <v>5764</v>
      </c>
      <c r="G177" s="3623">
        <f ca="1">典型户型修正!S199</f>
        <v>18</v>
      </c>
    </row>
    <row r="178" spans="1:7">
      <c r="A178" s="3625" t="s">
        <v>5069</v>
      </c>
      <c r="B178" s="3625"/>
      <c r="C178" s="3626" t="s">
        <v>4322</v>
      </c>
      <c r="D178" s="3626">
        <v>32.020000000000003</v>
      </c>
      <c r="E178" s="3623">
        <f>典型户型修正!C200</f>
        <v>1</v>
      </c>
      <c r="F178" s="3623">
        <f ca="1">典型户型修正!R200</f>
        <v>5764</v>
      </c>
      <c r="G178" s="3623">
        <f ca="1">典型户型修正!S200</f>
        <v>18</v>
      </c>
    </row>
    <row r="179" spans="1:7">
      <c r="A179" s="3625" t="s">
        <v>5069</v>
      </c>
      <c r="B179" s="3625"/>
      <c r="C179" s="3626" t="s">
        <v>4323</v>
      </c>
      <c r="D179" s="3626">
        <v>32.020000000000003</v>
      </c>
      <c r="E179" s="3623">
        <f>典型户型修正!C201</f>
        <v>1</v>
      </c>
      <c r="F179" s="3623">
        <f ca="1">典型户型修正!R201</f>
        <v>5764</v>
      </c>
      <c r="G179" s="3623">
        <f ca="1">典型户型修正!S201</f>
        <v>18</v>
      </c>
    </row>
    <row r="180" spans="1:7">
      <c r="A180" s="3625" t="s">
        <v>5069</v>
      </c>
      <c r="B180" s="3625"/>
      <c r="C180" s="3626" t="s">
        <v>4324</v>
      </c>
      <c r="D180" s="3626">
        <v>32.020000000000003</v>
      </c>
      <c r="E180" s="3623">
        <f>典型户型修正!C202</f>
        <v>1</v>
      </c>
      <c r="F180" s="3623">
        <f ca="1">典型户型修正!R202</f>
        <v>5764</v>
      </c>
      <c r="G180" s="3623">
        <f ca="1">典型户型修正!S202</f>
        <v>18</v>
      </c>
    </row>
    <row r="181" spans="1:7">
      <c r="A181" s="3625" t="s">
        <v>5069</v>
      </c>
      <c r="B181" s="3625"/>
      <c r="C181" s="3626" t="s">
        <v>4325</v>
      </c>
      <c r="D181" s="3626">
        <v>32.020000000000003</v>
      </c>
      <c r="E181" s="3623">
        <f>典型户型修正!C203</f>
        <v>1</v>
      </c>
      <c r="F181" s="3623">
        <f ca="1">典型户型修正!R203</f>
        <v>5764</v>
      </c>
      <c r="G181" s="3623">
        <f ca="1">典型户型修正!S203</f>
        <v>18</v>
      </c>
    </row>
    <row r="182" spans="1:7">
      <c r="A182" s="3625" t="s">
        <v>5069</v>
      </c>
      <c r="B182" s="3625"/>
      <c r="C182" s="3626" t="s">
        <v>4326</v>
      </c>
      <c r="D182" s="3626">
        <v>32.020000000000003</v>
      </c>
      <c r="E182" s="3623">
        <f>典型户型修正!C204</f>
        <v>1</v>
      </c>
      <c r="F182" s="3623">
        <f ca="1">典型户型修正!R204</f>
        <v>5764</v>
      </c>
      <c r="G182" s="3623">
        <f ca="1">典型户型修正!S204</f>
        <v>18</v>
      </c>
    </row>
    <row r="183" spans="1:7">
      <c r="A183" s="3625" t="s">
        <v>5069</v>
      </c>
      <c r="B183" s="3625"/>
      <c r="C183" s="3626" t="s">
        <v>4327</v>
      </c>
      <c r="D183" s="3626">
        <v>32.020000000000003</v>
      </c>
      <c r="E183" s="3623">
        <f>典型户型修正!C205</f>
        <v>1</v>
      </c>
      <c r="F183" s="3623">
        <f ca="1">典型户型修正!R205</f>
        <v>5764</v>
      </c>
      <c r="G183" s="3623">
        <f ca="1">典型户型修正!S205</f>
        <v>18</v>
      </c>
    </row>
    <row r="184" spans="1:7">
      <c r="A184" s="3625" t="s">
        <v>5069</v>
      </c>
      <c r="B184" s="3625"/>
      <c r="C184" s="3626" t="s">
        <v>4328</v>
      </c>
      <c r="D184" s="3626">
        <v>32.020000000000003</v>
      </c>
      <c r="E184" s="3623">
        <f>典型户型修正!C206</f>
        <v>1</v>
      </c>
      <c r="F184" s="3623">
        <f ca="1">典型户型修正!R206</f>
        <v>5764</v>
      </c>
      <c r="G184" s="3623">
        <f ca="1">典型户型修正!S206</f>
        <v>18</v>
      </c>
    </row>
    <row r="185" spans="1:7">
      <c r="A185" s="3625" t="s">
        <v>5069</v>
      </c>
      <c r="B185" s="3625"/>
      <c r="C185" s="3626" t="s">
        <v>4329</v>
      </c>
      <c r="D185" s="3626">
        <v>32.020000000000003</v>
      </c>
      <c r="E185" s="3623">
        <f>典型户型修正!C207</f>
        <v>1</v>
      </c>
      <c r="F185" s="3623">
        <f ca="1">典型户型修正!R207</f>
        <v>5764</v>
      </c>
      <c r="G185" s="3623">
        <f ca="1">典型户型修正!S207</f>
        <v>18</v>
      </c>
    </row>
    <row r="186" spans="1:7">
      <c r="A186" s="3625" t="s">
        <v>5069</v>
      </c>
      <c r="B186" s="3625"/>
      <c r="C186" s="3626" t="s">
        <v>4330</v>
      </c>
      <c r="D186" s="3626">
        <v>32.020000000000003</v>
      </c>
      <c r="E186" s="3623">
        <f>典型户型修正!C208</f>
        <v>1</v>
      </c>
      <c r="F186" s="3623">
        <f ca="1">典型户型修正!R208</f>
        <v>5764</v>
      </c>
      <c r="G186" s="3623">
        <f ca="1">典型户型修正!S208</f>
        <v>18</v>
      </c>
    </row>
    <row r="187" spans="1:7">
      <c r="A187" s="3625" t="s">
        <v>5069</v>
      </c>
      <c r="B187" s="3625"/>
      <c r="C187" s="3626" t="s">
        <v>4331</v>
      </c>
      <c r="D187" s="3626">
        <v>32.020000000000003</v>
      </c>
      <c r="E187" s="3623">
        <f>典型户型修正!C209</f>
        <v>1</v>
      </c>
      <c r="F187" s="3623">
        <f ca="1">典型户型修正!R209</f>
        <v>5764</v>
      </c>
      <c r="G187" s="3623">
        <f ca="1">典型户型修正!S209</f>
        <v>18</v>
      </c>
    </row>
    <row r="188" spans="1:7">
      <c r="A188" s="3625" t="s">
        <v>5069</v>
      </c>
      <c r="B188" s="3625"/>
      <c r="C188" s="3626" t="s">
        <v>4332</v>
      </c>
      <c r="D188" s="3626">
        <v>32.020000000000003</v>
      </c>
      <c r="E188" s="3623">
        <f>典型户型修正!C210</f>
        <v>1</v>
      </c>
      <c r="F188" s="3623">
        <f ca="1">典型户型修正!R210</f>
        <v>5764</v>
      </c>
      <c r="G188" s="3623">
        <f ca="1">典型户型修正!S210</f>
        <v>18</v>
      </c>
    </row>
    <row r="189" spans="1:7">
      <c r="A189" s="3625" t="s">
        <v>5069</v>
      </c>
      <c r="B189" s="3625"/>
      <c r="C189" s="3626" t="s">
        <v>4333</v>
      </c>
      <c r="D189" s="3626">
        <v>32.020000000000003</v>
      </c>
      <c r="E189" s="3623">
        <f>典型户型修正!C211</f>
        <v>1</v>
      </c>
      <c r="F189" s="3623">
        <f ca="1">典型户型修正!R211</f>
        <v>5764</v>
      </c>
      <c r="G189" s="3623">
        <f ca="1">典型户型修正!S211</f>
        <v>18</v>
      </c>
    </row>
    <row r="190" spans="1:7">
      <c r="A190" s="3625" t="s">
        <v>5069</v>
      </c>
      <c r="B190" s="3625"/>
      <c r="C190" s="3626" t="s">
        <v>4334</v>
      </c>
      <c r="D190" s="3626">
        <v>32.020000000000003</v>
      </c>
      <c r="E190" s="3623">
        <f>典型户型修正!C212</f>
        <v>1</v>
      </c>
      <c r="F190" s="3623">
        <f ca="1">典型户型修正!R212</f>
        <v>5764</v>
      </c>
      <c r="G190" s="3623">
        <f ca="1">典型户型修正!S212</f>
        <v>18</v>
      </c>
    </row>
    <row r="191" spans="1:7">
      <c r="A191" s="3625" t="s">
        <v>5069</v>
      </c>
      <c r="B191" s="3625"/>
      <c r="C191" s="3626" t="s">
        <v>4335</v>
      </c>
      <c r="D191" s="3626">
        <v>32.020000000000003</v>
      </c>
      <c r="E191" s="3623">
        <f>典型户型修正!C213</f>
        <v>1</v>
      </c>
      <c r="F191" s="3623">
        <f ca="1">典型户型修正!R213</f>
        <v>5764</v>
      </c>
      <c r="G191" s="3623">
        <f ca="1">典型户型修正!S213</f>
        <v>18</v>
      </c>
    </row>
    <row r="192" spans="1:7">
      <c r="A192" s="3625" t="s">
        <v>5069</v>
      </c>
      <c r="B192" s="3625"/>
      <c r="C192" s="3626" t="s">
        <v>4336</v>
      </c>
      <c r="D192" s="3626">
        <v>32.020000000000003</v>
      </c>
      <c r="E192" s="3623">
        <f>典型户型修正!C214</f>
        <v>1</v>
      </c>
      <c r="F192" s="3623">
        <f ca="1">典型户型修正!R214</f>
        <v>5764</v>
      </c>
      <c r="G192" s="3623">
        <f ca="1">典型户型修正!S214</f>
        <v>18</v>
      </c>
    </row>
    <row r="193" spans="1:7">
      <c r="A193" s="3625" t="s">
        <v>5069</v>
      </c>
      <c r="B193" s="3625"/>
      <c r="C193" s="3626" t="s">
        <v>4337</v>
      </c>
      <c r="D193" s="3626">
        <v>32.020000000000003</v>
      </c>
      <c r="E193" s="3623">
        <f>典型户型修正!C215</f>
        <v>1</v>
      </c>
      <c r="F193" s="3623">
        <f ca="1">典型户型修正!R215</f>
        <v>5764</v>
      </c>
      <c r="G193" s="3623">
        <f ca="1">典型户型修正!S215</f>
        <v>18</v>
      </c>
    </row>
    <row r="194" spans="1:7">
      <c r="A194" s="3625" t="s">
        <v>5069</v>
      </c>
      <c r="B194" s="3625"/>
      <c r="C194" s="3626" t="s">
        <v>4338</v>
      </c>
      <c r="D194" s="3626">
        <v>32.020000000000003</v>
      </c>
      <c r="E194" s="3623">
        <f>典型户型修正!C216</f>
        <v>1</v>
      </c>
      <c r="F194" s="3623">
        <f ca="1">典型户型修正!R216</f>
        <v>5764</v>
      </c>
      <c r="G194" s="3623">
        <f ca="1">典型户型修正!S216</f>
        <v>18</v>
      </c>
    </row>
    <row r="195" spans="1:7">
      <c r="A195" s="3625" t="s">
        <v>5069</v>
      </c>
      <c r="B195" s="3625"/>
      <c r="C195" s="3626" t="s">
        <v>4339</v>
      </c>
      <c r="D195" s="3626">
        <v>32.020000000000003</v>
      </c>
      <c r="E195" s="3623">
        <f>典型户型修正!C217</f>
        <v>1</v>
      </c>
      <c r="F195" s="3623">
        <f ca="1">典型户型修正!R217</f>
        <v>5764</v>
      </c>
      <c r="G195" s="3623">
        <f ca="1">典型户型修正!S217</f>
        <v>18</v>
      </c>
    </row>
    <row r="196" spans="1:7">
      <c r="A196" s="3625" t="s">
        <v>5069</v>
      </c>
      <c r="B196" s="3625"/>
      <c r="C196" s="3626" t="s">
        <v>4340</v>
      </c>
      <c r="D196" s="3626">
        <v>32.020000000000003</v>
      </c>
      <c r="E196" s="3623">
        <f>典型户型修正!C218</f>
        <v>1</v>
      </c>
      <c r="F196" s="3623">
        <f ca="1">典型户型修正!R218</f>
        <v>5764</v>
      </c>
      <c r="G196" s="3623">
        <f ca="1">典型户型修正!S218</f>
        <v>18</v>
      </c>
    </row>
    <row r="197" spans="1:7">
      <c r="A197" s="3625" t="s">
        <v>5069</v>
      </c>
      <c r="B197" s="3625"/>
      <c r="C197" s="3626" t="s">
        <v>4341</v>
      </c>
      <c r="D197" s="3626">
        <v>32.020000000000003</v>
      </c>
      <c r="E197" s="3623">
        <f>典型户型修正!C219</f>
        <v>1</v>
      </c>
      <c r="F197" s="3623">
        <f ca="1">典型户型修正!R219</f>
        <v>5764</v>
      </c>
      <c r="G197" s="3623">
        <f ca="1">典型户型修正!S219</f>
        <v>18</v>
      </c>
    </row>
    <row r="198" spans="1:7">
      <c r="A198" s="3625" t="s">
        <v>5069</v>
      </c>
      <c r="B198" s="3625"/>
      <c r="C198" s="3626" t="s">
        <v>4342</v>
      </c>
      <c r="D198" s="3626">
        <v>32.020000000000003</v>
      </c>
      <c r="E198" s="3623">
        <f>典型户型修正!C220</f>
        <v>1</v>
      </c>
      <c r="F198" s="3623">
        <f ca="1">典型户型修正!R220</f>
        <v>5764</v>
      </c>
      <c r="G198" s="3623">
        <f ca="1">典型户型修正!S220</f>
        <v>18</v>
      </c>
    </row>
    <row r="199" spans="1:7">
      <c r="A199" s="3625" t="s">
        <v>5069</v>
      </c>
      <c r="B199" s="3625"/>
      <c r="C199" s="3626" t="s">
        <v>4343</v>
      </c>
      <c r="D199" s="3626">
        <v>32.020000000000003</v>
      </c>
      <c r="E199" s="3623">
        <f>典型户型修正!C221</f>
        <v>1</v>
      </c>
      <c r="F199" s="3623">
        <f ca="1">典型户型修正!R221</f>
        <v>5764</v>
      </c>
      <c r="G199" s="3623">
        <f ca="1">典型户型修正!S221</f>
        <v>18</v>
      </c>
    </row>
    <row r="200" spans="1:7">
      <c r="A200" s="3625" t="s">
        <v>5069</v>
      </c>
      <c r="B200" s="3625"/>
      <c r="C200" s="3626" t="s">
        <v>4344</v>
      </c>
      <c r="D200" s="3626">
        <v>32.020000000000003</v>
      </c>
      <c r="E200" s="3623">
        <f>典型户型修正!C222</f>
        <v>1</v>
      </c>
      <c r="F200" s="3623">
        <f ca="1">典型户型修正!R222</f>
        <v>5764</v>
      </c>
      <c r="G200" s="3623">
        <f ca="1">典型户型修正!S222</f>
        <v>18</v>
      </c>
    </row>
    <row r="201" spans="1:7">
      <c r="A201" s="3625" t="s">
        <v>5069</v>
      </c>
      <c r="B201" s="3625"/>
      <c r="C201" s="3626" t="s">
        <v>4345</v>
      </c>
      <c r="D201" s="3626">
        <v>32.020000000000003</v>
      </c>
      <c r="E201" s="3623">
        <f>典型户型修正!C223</f>
        <v>1</v>
      </c>
      <c r="F201" s="3623">
        <f ca="1">典型户型修正!R223</f>
        <v>5764</v>
      </c>
      <c r="G201" s="3623">
        <f ca="1">典型户型修正!S223</f>
        <v>18</v>
      </c>
    </row>
    <row r="202" spans="1:7">
      <c r="A202" s="3625" t="s">
        <v>5069</v>
      </c>
      <c r="B202" s="3625"/>
      <c r="C202" s="3626" t="s">
        <v>4346</v>
      </c>
      <c r="D202" s="3626">
        <v>32.020000000000003</v>
      </c>
      <c r="E202" s="3623">
        <f>典型户型修正!C224</f>
        <v>1</v>
      </c>
      <c r="F202" s="3623">
        <f ca="1">典型户型修正!R224</f>
        <v>5764</v>
      </c>
      <c r="G202" s="3623">
        <f ca="1">典型户型修正!S224</f>
        <v>18</v>
      </c>
    </row>
    <row r="203" spans="1:7">
      <c r="A203" s="3625" t="s">
        <v>5069</v>
      </c>
      <c r="B203" s="3625"/>
      <c r="C203" s="3626" t="s">
        <v>4347</v>
      </c>
      <c r="D203" s="3626">
        <v>32.020000000000003</v>
      </c>
      <c r="E203" s="3623">
        <f>典型户型修正!C225</f>
        <v>1</v>
      </c>
      <c r="F203" s="3623">
        <f ca="1">典型户型修正!R225</f>
        <v>5764</v>
      </c>
      <c r="G203" s="3623">
        <f ca="1">典型户型修正!S225</f>
        <v>18</v>
      </c>
    </row>
    <row r="204" spans="1:7">
      <c r="A204" s="3625" t="s">
        <v>5069</v>
      </c>
      <c r="B204" s="3625"/>
      <c r="C204" s="3626" t="s">
        <v>4348</v>
      </c>
      <c r="D204" s="3626">
        <v>32.020000000000003</v>
      </c>
      <c r="E204" s="3623">
        <f>典型户型修正!C226</f>
        <v>1</v>
      </c>
      <c r="F204" s="3623">
        <f ca="1">典型户型修正!R226</f>
        <v>5764</v>
      </c>
      <c r="G204" s="3623">
        <f ca="1">典型户型修正!S226</f>
        <v>18</v>
      </c>
    </row>
    <row r="205" spans="1:7">
      <c r="A205" s="3625" t="s">
        <v>5069</v>
      </c>
      <c r="B205" s="3625"/>
      <c r="C205" s="3626" t="s">
        <v>4349</v>
      </c>
      <c r="D205" s="3626">
        <v>32.020000000000003</v>
      </c>
      <c r="E205" s="3623">
        <f>典型户型修正!C227</f>
        <v>1</v>
      </c>
      <c r="F205" s="3623">
        <f ca="1">典型户型修正!R227</f>
        <v>5764</v>
      </c>
      <c r="G205" s="3623">
        <f ca="1">典型户型修正!S227</f>
        <v>18</v>
      </c>
    </row>
    <row r="206" spans="1:7">
      <c r="A206" s="3625" t="s">
        <v>5069</v>
      </c>
      <c r="B206" s="3625"/>
      <c r="C206" s="3626" t="s">
        <v>4350</v>
      </c>
      <c r="D206" s="3626">
        <v>32.020000000000003</v>
      </c>
      <c r="E206" s="3623">
        <f>典型户型修正!C228</f>
        <v>1</v>
      </c>
      <c r="F206" s="3623">
        <f ca="1">典型户型修正!R228</f>
        <v>5764</v>
      </c>
      <c r="G206" s="3623">
        <f ca="1">典型户型修正!S228</f>
        <v>18</v>
      </c>
    </row>
    <row r="207" spans="1:7">
      <c r="A207" s="3625" t="s">
        <v>5069</v>
      </c>
      <c r="B207" s="3625"/>
      <c r="C207" s="3626" t="s">
        <v>4351</v>
      </c>
      <c r="D207" s="3626">
        <v>32.020000000000003</v>
      </c>
      <c r="E207" s="3623">
        <f>典型户型修正!C229</f>
        <v>1</v>
      </c>
      <c r="F207" s="3623">
        <f ca="1">典型户型修正!R229</f>
        <v>5764</v>
      </c>
      <c r="G207" s="3623">
        <f ca="1">典型户型修正!S229</f>
        <v>18</v>
      </c>
    </row>
    <row r="208" spans="1:7">
      <c r="A208" s="3625" t="s">
        <v>5069</v>
      </c>
      <c r="B208" s="3625"/>
      <c r="C208" s="3626" t="s">
        <v>4352</v>
      </c>
      <c r="D208" s="3626">
        <v>32.020000000000003</v>
      </c>
      <c r="E208" s="3623">
        <f>典型户型修正!C230</f>
        <v>1</v>
      </c>
      <c r="F208" s="3623">
        <f ca="1">典型户型修正!R230</f>
        <v>5764</v>
      </c>
      <c r="G208" s="3623">
        <f ca="1">典型户型修正!S230</f>
        <v>18</v>
      </c>
    </row>
    <row r="209" spans="1:7">
      <c r="A209" s="3625" t="s">
        <v>5069</v>
      </c>
      <c r="B209" s="3625"/>
      <c r="C209" s="3626" t="s">
        <v>4353</v>
      </c>
      <c r="D209" s="3626">
        <v>32.020000000000003</v>
      </c>
      <c r="E209" s="3623">
        <f>典型户型修正!C231</f>
        <v>1</v>
      </c>
      <c r="F209" s="3623">
        <f ca="1">典型户型修正!R231</f>
        <v>5764</v>
      </c>
      <c r="G209" s="3623">
        <f ca="1">典型户型修正!S231</f>
        <v>18</v>
      </c>
    </row>
    <row r="210" spans="1:7">
      <c r="A210" s="3625" t="s">
        <v>5069</v>
      </c>
      <c r="B210" s="3625"/>
      <c r="C210" s="3626" t="s">
        <v>4354</v>
      </c>
      <c r="D210" s="3626">
        <v>32.020000000000003</v>
      </c>
      <c r="E210" s="3623">
        <f>典型户型修正!C232</f>
        <v>1</v>
      </c>
      <c r="F210" s="3623">
        <f ca="1">典型户型修正!R232</f>
        <v>5764</v>
      </c>
      <c r="G210" s="3623">
        <f ca="1">典型户型修正!S232</f>
        <v>18</v>
      </c>
    </row>
    <row r="211" spans="1:7">
      <c r="A211" s="3625" t="s">
        <v>5069</v>
      </c>
      <c r="B211" s="3625"/>
      <c r="C211" s="3626" t="s">
        <v>4355</v>
      </c>
      <c r="D211" s="3626">
        <v>32.020000000000003</v>
      </c>
      <c r="E211" s="3623">
        <f>典型户型修正!C233</f>
        <v>1</v>
      </c>
      <c r="F211" s="3623">
        <f ca="1">典型户型修正!R233</f>
        <v>5764</v>
      </c>
      <c r="G211" s="3623">
        <f ca="1">典型户型修正!S233</f>
        <v>18</v>
      </c>
    </row>
    <row r="212" spans="1:7">
      <c r="A212" s="3625" t="s">
        <v>5069</v>
      </c>
      <c r="B212" s="3625"/>
      <c r="C212" s="3626" t="s">
        <v>4356</v>
      </c>
      <c r="D212" s="3626">
        <v>32.020000000000003</v>
      </c>
      <c r="E212" s="3623">
        <f>典型户型修正!C234</f>
        <v>1</v>
      </c>
      <c r="F212" s="3623">
        <f ca="1">典型户型修正!R234</f>
        <v>5764</v>
      </c>
      <c r="G212" s="3623">
        <f ca="1">典型户型修正!S234</f>
        <v>18</v>
      </c>
    </row>
    <row r="213" spans="1:7">
      <c r="A213" s="3625" t="s">
        <v>5069</v>
      </c>
      <c r="B213" s="3625"/>
      <c r="C213" s="3626" t="s">
        <v>4357</v>
      </c>
      <c r="D213" s="3626">
        <v>32.020000000000003</v>
      </c>
      <c r="E213" s="3623">
        <f>典型户型修正!C235</f>
        <v>1</v>
      </c>
      <c r="F213" s="3623">
        <f ca="1">典型户型修正!R235</f>
        <v>5764</v>
      </c>
      <c r="G213" s="3623">
        <f ca="1">典型户型修正!S235</f>
        <v>18</v>
      </c>
    </row>
    <row r="214" spans="1:7">
      <c r="A214" s="3625" t="s">
        <v>5069</v>
      </c>
      <c r="B214" s="3625"/>
      <c r="C214" s="3626" t="s">
        <v>4358</v>
      </c>
      <c r="D214" s="3626">
        <v>32.020000000000003</v>
      </c>
      <c r="E214" s="3623">
        <f>典型户型修正!C236</f>
        <v>1</v>
      </c>
      <c r="F214" s="3623">
        <f ca="1">典型户型修正!R236</f>
        <v>5764</v>
      </c>
      <c r="G214" s="3623">
        <f ca="1">典型户型修正!S236</f>
        <v>18</v>
      </c>
    </row>
    <row r="215" spans="1:7">
      <c r="A215" s="3625" t="s">
        <v>5069</v>
      </c>
      <c r="B215" s="3625"/>
      <c r="C215" s="3626" t="s">
        <v>4359</v>
      </c>
      <c r="D215" s="3626">
        <v>32.020000000000003</v>
      </c>
      <c r="E215" s="3623">
        <f>典型户型修正!C237</f>
        <v>1</v>
      </c>
      <c r="F215" s="3623">
        <f ca="1">典型户型修正!R237</f>
        <v>5764</v>
      </c>
      <c r="G215" s="3623">
        <f ca="1">典型户型修正!S237</f>
        <v>18</v>
      </c>
    </row>
    <row r="216" spans="1:7">
      <c r="A216" s="3625" t="s">
        <v>5069</v>
      </c>
      <c r="B216" s="3625"/>
      <c r="C216" s="3626" t="s">
        <v>4360</v>
      </c>
      <c r="D216" s="3626">
        <v>32.020000000000003</v>
      </c>
      <c r="E216" s="3623">
        <f>典型户型修正!C238</f>
        <v>1</v>
      </c>
      <c r="F216" s="3623">
        <f ca="1">典型户型修正!R238</f>
        <v>5764</v>
      </c>
      <c r="G216" s="3623">
        <f ca="1">典型户型修正!S238</f>
        <v>18</v>
      </c>
    </row>
    <row r="217" spans="1:7">
      <c r="A217" s="3625" t="s">
        <v>5069</v>
      </c>
      <c r="B217" s="3625"/>
      <c r="C217" s="3626" t="s">
        <v>4361</v>
      </c>
      <c r="D217" s="3626">
        <v>32.020000000000003</v>
      </c>
      <c r="E217" s="3623">
        <f>典型户型修正!C239</f>
        <v>1</v>
      </c>
      <c r="F217" s="3623">
        <f ca="1">典型户型修正!R239</f>
        <v>5764</v>
      </c>
      <c r="G217" s="3623">
        <f ca="1">典型户型修正!S239</f>
        <v>18</v>
      </c>
    </row>
    <row r="218" spans="1:7">
      <c r="A218" s="3625" t="s">
        <v>5069</v>
      </c>
      <c r="B218" s="3625"/>
      <c r="C218" s="3626" t="s">
        <v>4362</v>
      </c>
      <c r="D218" s="3626">
        <v>32.020000000000003</v>
      </c>
      <c r="E218" s="3623">
        <f>典型户型修正!C240</f>
        <v>1</v>
      </c>
      <c r="F218" s="3623">
        <f ca="1">典型户型修正!R240</f>
        <v>5764</v>
      </c>
      <c r="G218" s="3623">
        <f ca="1">典型户型修正!S240</f>
        <v>18</v>
      </c>
    </row>
    <row r="219" spans="1:7">
      <c r="A219" s="3625" t="s">
        <v>5069</v>
      </c>
      <c r="B219" s="3625"/>
      <c r="C219" s="3626" t="s">
        <v>4363</v>
      </c>
      <c r="D219" s="3626">
        <v>32.020000000000003</v>
      </c>
      <c r="E219" s="3623">
        <f>典型户型修正!C241</f>
        <v>1</v>
      </c>
      <c r="F219" s="3623">
        <f ca="1">典型户型修正!R241</f>
        <v>5764</v>
      </c>
      <c r="G219" s="3623">
        <f ca="1">典型户型修正!S241</f>
        <v>18</v>
      </c>
    </row>
    <row r="220" spans="1:7">
      <c r="A220" s="3625" t="s">
        <v>5069</v>
      </c>
      <c r="B220" s="3625"/>
      <c r="C220" s="3626" t="s">
        <v>4364</v>
      </c>
      <c r="D220" s="3626">
        <v>32.020000000000003</v>
      </c>
      <c r="E220" s="3623">
        <f>典型户型修正!C242</f>
        <v>1</v>
      </c>
      <c r="F220" s="3623">
        <f ca="1">典型户型修正!R242</f>
        <v>5764</v>
      </c>
      <c r="G220" s="3623">
        <f ca="1">典型户型修正!S242</f>
        <v>18</v>
      </c>
    </row>
    <row r="221" spans="1:7">
      <c r="A221" s="3625" t="s">
        <v>5069</v>
      </c>
      <c r="B221" s="3625"/>
      <c r="C221" s="3626" t="s">
        <v>4365</v>
      </c>
      <c r="D221" s="3626">
        <v>32.020000000000003</v>
      </c>
      <c r="E221" s="3623">
        <f>典型户型修正!C243</f>
        <v>1</v>
      </c>
      <c r="F221" s="3623">
        <f ca="1">典型户型修正!R243</f>
        <v>5764</v>
      </c>
      <c r="G221" s="3623">
        <f ca="1">典型户型修正!S243</f>
        <v>18</v>
      </c>
    </row>
    <row r="222" spans="1:7">
      <c r="A222" s="3625" t="s">
        <v>5069</v>
      </c>
      <c r="B222" s="3625"/>
      <c r="C222" s="3626" t="s">
        <v>4366</v>
      </c>
      <c r="D222" s="3626">
        <v>33.36</v>
      </c>
      <c r="E222" s="3623">
        <f>典型户型修正!C244</f>
        <v>1</v>
      </c>
      <c r="F222" s="3623">
        <f ca="1">典型户型修正!R244</f>
        <v>5764</v>
      </c>
      <c r="G222" s="3623">
        <f ca="1">典型户型修正!S244</f>
        <v>19</v>
      </c>
    </row>
    <row r="223" spans="1:7">
      <c r="A223" s="3625" t="s">
        <v>5069</v>
      </c>
      <c r="B223" s="3625"/>
      <c r="C223" s="3626" t="s">
        <v>4367</v>
      </c>
      <c r="D223" s="3626">
        <v>32.020000000000003</v>
      </c>
      <c r="E223" s="3623">
        <f>典型户型修正!C245</f>
        <v>1</v>
      </c>
      <c r="F223" s="3623">
        <f ca="1">典型户型修正!R245</f>
        <v>5764</v>
      </c>
      <c r="G223" s="3623">
        <f ca="1">典型户型修正!S245</f>
        <v>18</v>
      </c>
    </row>
    <row r="224" spans="1:7">
      <c r="A224" s="3625" t="s">
        <v>5069</v>
      </c>
      <c r="B224" s="3625"/>
      <c r="C224" s="3626" t="s">
        <v>4368</v>
      </c>
      <c r="D224" s="3626">
        <v>32.020000000000003</v>
      </c>
      <c r="E224" s="3623">
        <f>典型户型修正!C246</f>
        <v>1</v>
      </c>
      <c r="F224" s="3623">
        <f ca="1">典型户型修正!R246</f>
        <v>5764</v>
      </c>
      <c r="G224" s="3623">
        <f ca="1">典型户型修正!S246</f>
        <v>18</v>
      </c>
    </row>
    <row r="225" spans="1:7">
      <c r="A225" s="3625" t="s">
        <v>5069</v>
      </c>
      <c r="B225" s="3625"/>
      <c r="C225" s="3626" t="s">
        <v>4369</v>
      </c>
      <c r="D225" s="3626">
        <v>32.020000000000003</v>
      </c>
      <c r="E225" s="3623">
        <f>典型户型修正!C247</f>
        <v>1</v>
      </c>
      <c r="F225" s="3623">
        <f ca="1">典型户型修正!R247</f>
        <v>5764</v>
      </c>
      <c r="G225" s="3623">
        <f ca="1">典型户型修正!S247</f>
        <v>18</v>
      </c>
    </row>
    <row r="226" spans="1:7">
      <c r="A226" s="3625" t="s">
        <v>5069</v>
      </c>
      <c r="B226" s="3625"/>
      <c r="C226" s="3626" t="s">
        <v>4370</v>
      </c>
      <c r="D226" s="3626">
        <v>32.020000000000003</v>
      </c>
      <c r="E226" s="3623">
        <f>典型户型修正!C248</f>
        <v>1</v>
      </c>
      <c r="F226" s="3623">
        <f ca="1">典型户型修正!R248</f>
        <v>5764</v>
      </c>
      <c r="G226" s="3623">
        <f ca="1">典型户型修正!S248</f>
        <v>18</v>
      </c>
    </row>
    <row r="227" spans="1:7">
      <c r="A227" s="3625" t="s">
        <v>5069</v>
      </c>
      <c r="B227" s="3625"/>
      <c r="C227" s="3626" t="s">
        <v>4371</v>
      </c>
      <c r="D227" s="3626">
        <v>32.020000000000003</v>
      </c>
      <c r="E227" s="3623">
        <f>典型户型修正!C249</f>
        <v>1</v>
      </c>
      <c r="F227" s="3623">
        <f ca="1">典型户型修正!R249</f>
        <v>5764</v>
      </c>
      <c r="G227" s="3623">
        <f ca="1">典型户型修正!S249</f>
        <v>18</v>
      </c>
    </row>
    <row r="228" spans="1:7">
      <c r="A228" s="3625" t="s">
        <v>5069</v>
      </c>
      <c r="B228" s="3625"/>
      <c r="C228" s="3626" t="s">
        <v>4372</v>
      </c>
      <c r="D228" s="3626">
        <v>32.020000000000003</v>
      </c>
      <c r="E228" s="3623">
        <f>典型户型修正!C250</f>
        <v>1</v>
      </c>
      <c r="F228" s="3623">
        <f ca="1">典型户型修正!R250</f>
        <v>5764</v>
      </c>
      <c r="G228" s="3623">
        <f ca="1">典型户型修正!S250</f>
        <v>18</v>
      </c>
    </row>
    <row r="229" spans="1:7">
      <c r="A229" s="3625" t="s">
        <v>5069</v>
      </c>
      <c r="B229" s="3625"/>
      <c r="C229" s="3626" t="s">
        <v>4373</v>
      </c>
      <c r="D229" s="3626">
        <v>32.020000000000003</v>
      </c>
      <c r="E229" s="3623">
        <f>典型户型修正!C251</f>
        <v>1</v>
      </c>
      <c r="F229" s="3623">
        <f ca="1">典型户型修正!R251</f>
        <v>5764</v>
      </c>
      <c r="G229" s="3623">
        <f ca="1">典型户型修正!S251</f>
        <v>18</v>
      </c>
    </row>
    <row r="230" spans="1:7">
      <c r="A230" s="3625" t="s">
        <v>5069</v>
      </c>
      <c r="B230" s="3625"/>
      <c r="C230" s="3626" t="s">
        <v>4374</v>
      </c>
      <c r="D230" s="3626">
        <v>32.020000000000003</v>
      </c>
      <c r="E230" s="3623">
        <f>典型户型修正!C252</f>
        <v>1</v>
      </c>
      <c r="F230" s="3623">
        <f ca="1">典型户型修正!R252</f>
        <v>5764</v>
      </c>
      <c r="G230" s="3623">
        <f ca="1">典型户型修正!S252</f>
        <v>18</v>
      </c>
    </row>
    <row r="231" spans="1:7">
      <c r="A231" s="3625" t="s">
        <v>5069</v>
      </c>
      <c r="B231" s="3625"/>
      <c r="C231" s="3626" t="s">
        <v>4375</v>
      </c>
      <c r="D231" s="3626">
        <v>32.020000000000003</v>
      </c>
      <c r="E231" s="3623">
        <f>典型户型修正!C253</f>
        <v>1</v>
      </c>
      <c r="F231" s="3623">
        <f ca="1">典型户型修正!R253</f>
        <v>5764</v>
      </c>
      <c r="G231" s="3623">
        <f ca="1">典型户型修正!S253</f>
        <v>18</v>
      </c>
    </row>
    <row r="232" spans="1:7">
      <c r="A232" s="3625" t="s">
        <v>5069</v>
      </c>
      <c r="B232" s="3625"/>
      <c r="C232" s="3626" t="s">
        <v>4376</v>
      </c>
      <c r="D232" s="3626">
        <v>32.020000000000003</v>
      </c>
      <c r="E232" s="3623">
        <f>典型户型修正!C254</f>
        <v>1</v>
      </c>
      <c r="F232" s="3623">
        <f ca="1">典型户型修正!R254</f>
        <v>5764</v>
      </c>
      <c r="G232" s="3623">
        <f ca="1">典型户型修正!S254</f>
        <v>18</v>
      </c>
    </row>
    <row r="233" spans="1:7">
      <c r="A233" s="3625" t="s">
        <v>5069</v>
      </c>
      <c r="B233" s="3625"/>
      <c r="C233" s="3626" t="s">
        <v>4377</v>
      </c>
      <c r="D233" s="3626">
        <v>32.020000000000003</v>
      </c>
      <c r="E233" s="3623">
        <f>典型户型修正!C255</f>
        <v>1</v>
      </c>
      <c r="F233" s="3623">
        <f ca="1">典型户型修正!R255</f>
        <v>5764</v>
      </c>
      <c r="G233" s="3623">
        <f ca="1">典型户型修正!S255</f>
        <v>18</v>
      </c>
    </row>
    <row r="234" spans="1:7">
      <c r="A234" s="3625" t="s">
        <v>5069</v>
      </c>
      <c r="B234" s="3625"/>
      <c r="C234" s="3626" t="s">
        <v>4378</v>
      </c>
      <c r="D234" s="3626">
        <v>32.020000000000003</v>
      </c>
      <c r="E234" s="3623">
        <f>典型户型修正!C256</f>
        <v>1</v>
      </c>
      <c r="F234" s="3623">
        <f ca="1">典型户型修正!R256</f>
        <v>5764</v>
      </c>
      <c r="G234" s="3623">
        <f ca="1">典型户型修正!S256</f>
        <v>18</v>
      </c>
    </row>
    <row r="235" spans="1:7">
      <c r="A235" s="3625" t="s">
        <v>5069</v>
      </c>
      <c r="B235" s="3625"/>
      <c r="C235" s="3626" t="s">
        <v>4379</v>
      </c>
      <c r="D235" s="3626">
        <v>32.020000000000003</v>
      </c>
      <c r="E235" s="3623">
        <f>典型户型修正!C257</f>
        <v>1</v>
      </c>
      <c r="F235" s="3623">
        <f ca="1">典型户型修正!R257</f>
        <v>5764</v>
      </c>
      <c r="G235" s="3623">
        <f ca="1">典型户型修正!S257</f>
        <v>18</v>
      </c>
    </row>
    <row r="236" spans="1:7">
      <c r="A236" s="3625" t="s">
        <v>5069</v>
      </c>
      <c r="B236" s="3625"/>
      <c r="C236" s="3626" t="s">
        <v>4380</v>
      </c>
      <c r="D236" s="3626">
        <v>32.020000000000003</v>
      </c>
      <c r="E236" s="3623">
        <f>典型户型修正!C258</f>
        <v>1</v>
      </c>
      <c r="F236" s="3623">
        <f ca="1">典型户型修正!R258</f>
        <v>5764</v>
      </c>
      <c r="G236" s="3623">
        <f ca="1">典型户型修正!S258</f>
        <v>18</v>
      </c>
    </row>
    <row r="237" spans="1:7">
      <c r="A237" s="3625" t="s">
        <v>5069</v>
      </c>
      <c r="B237" s="3625"/>
      <c r="C237" s="3626" t="s">
        <v>4381</v>
      </c>
      <c r="D237" s="3626">
        <v>32.020000000000003</v>
      </c>
      <c r="E237" s="3623">
        <f>典型户型修正!C259</f>
        <v>1</v>
      </c>
      <c r="F237" s="3623">
        <f ca="1">典型户型修正!R259</f>
        <v>5764</v>
      </c>
      <c r="G237" s="3623">
        <f ca="1">典型户型修正!S259</f>
        <v>18</v>
      </c>
    </row>
    <row r="238" spans="1:7">
      <c r="A238" s="3625" t="s">
        <v>5069</v>
      </c>
      <c r="B238" s="3625"/>
      <c r="C238" s="3626" t="s">
        <v>4382</v>
      </c>
      <c r="D238" s="3626">
        <v>32.020000000000003</v>
      </c>
      <c r="E238" s="3623">
        <f>典型户型修正!C260</f>
        <v>1</v>
      </c>
      <c r="F238" s="3623">
        <f ca="1">典型户型修正!R260</f>
        <v>5764</v>
      </c>
      <c r="G238" s="3623">
        <f ca="1">典型户型修正!S260</f>
        <v>18</v>
      </c>
    </row>
    <row r="239" spans="1:7">
      <c r="A239" s="3625" t="s">
        <v>5069</v>
      </c>
      <c r="B239" s="3625"/>
      <c r="C239" s="3626" t="s">
        <v>4383</v>
      </c>
      <c r="D239" s="3626">
        <v>33.36</v>
      </c>
      <c r="E239" s="3623">
        <f>典型户型修正!C261</f>
        <v>1</v>
      </c>
      <c r="F239" s="3623">
        <f ca="1">典型户型修正!R261</f>
        <v>5764</v>
      </c>
      <c r="G239" s="3623">
        <f ca="1">典型户型修正!S261</f>
        <v>19</v>
      </c>
    </row>
    <row r="240" spans="1:7">
      <c r="A240" s="3625" t="s">
        <v>5069</v>
      </c>
      <c r="B240" s="3625"/>
      <c r="C240" s="3626" t="s">
        <v>4384</v>
      </c>
      <c r="D240" s="3626">
        <v>33.36</v>
      </c>
      <c r="E240" s="3623">
        <f>典型户型修正!C262</f>
        <v>1</v>
      </c>
      <c r="F240" s="3623">
        <f ca="1">典型户型修正!R262</f>
        <v>5764</v>
      </c>
      <c r="G240" s="3623">
        <f ca="1">典型户型修正!S262</f>
        <v>19</v>
      </c>
    </row>
    <row r="241" spans="1:7">
      <c r="A241" s="3625" t="s">
        <v>5069</v>
      </c>
      <c r="B241" s="3625"/>
      <c r="C241" s="3626" t="s">
        <v>4385</v>
      </c>
      <c r="D241" s="3626">
        <v>33.36</v>
      </c>
      <c r="E241" s="3623">
        <f>典型户型修正!C263</f>
        <v>1</v>
      </c>
      <c r="F241" s="3623">
        <f ca="1">典型户型修正!R263</f>
        <v>5764</v>
      </c>
      <c r="G241" s="3623">
        <f ca="1">典型户型修正!S263</f>
        <v>19</v>
      </c>
    </row>
    <row r="242" spans="1:7">
      <c r="A242" s="3625" t="s">
        <v>5069</v>
      </c>
      <c r="B242" s="3625"/>
      <c r="C242" s="3626" t="s">
        <v>4386</v>
      </c>
      <c r="D242" s="3626">
        <v>33.36</v>
      </c>
      <c r="E242" s="3623">
        <f>典型户型修正!C264</f>
        <v>1</v>
      </c>
      <c r="F242" s="3623">
        <f ca="1">典型户型修正!R264</f>
        <v>5764</v>
      </c>
      <c r="G242" s="3623">
        <f ca="1">典型户型修正!S264</f>
        <v>19</v>
      </c>
    </row>
    <row r="243" spans="1:7">
      <c r="A243" s="3625" t="s">
        <v>5069</v>
      </c>
      <c r="B243" s="3625"/>
      <c r="C243" s="3626" t="s">
        <v>4387</v>
      </c>
      <c r="D243" s="3626">
        <v>33.36</v>
      </c>
      <c r="E243" s="3623">
        <f>典型户型修正!C265</f>
        <v>1</v>
      </c>
      <c r="F243" s="3623">
        <f ca="1">典型户型修正!R265</f>
        <v>5764</v>
      </c>
      <c r="G243" s="3623">
        <f ca="1">典型户型修正!S265</f>
        <v>19</v>
      </c>
    </row>
    <row r="244" spans="1:7">
      <c r="A244" s="3625" t="s">
        <v>5069</v>
      </c>
      <c r="B244" s="3625"/>
      <c r="C244" s="3626" t="s">
        <v>4388</v>
      </c>
      <c r="D244" s="3626">
        <v>33.36</v>
      </c>
      <c r="E244" s="3623">
        <f>典型户型修正!C266</f>
        <v>1</v>
      </c>
      <c r="F244" s="3623">
        <f ca="1">典型户型修正!R266</f>
        <v>5764</v>
      </c>
      <c r="G244" s="3623">
        <f ca="1">典型户型修正!S266</f>
        <v>19</v>
      </c>
    </row>
    <row r="245" spans="1:7">
      <c r="A245" s="3625" t="s">
        <v>5069</v>
      </c>
      <c r="B245" s="3625"/>
      <c r="C245" s="3626" t="s">
        <v>4389</v>
      </c>
      <c r="D245" s="3626">
        <v>32.020000000000003</v>
      </c>
      <c r="E245" s="3623">
        <f>典型户型修正!C267</f>
        <v>1</v>
      </c>
      <c r="F245" s="3623">
        <f ca="1">典型户型修正!R267</f>
        <v>5764</v>
      </c>
      <c r="G245" s="3623">
        <f ca="1">典型户型修正!S267</f>
        <v>18</v>
      </c>
    </row>
    <row r="246" spans="1:7">
      <c r="A246" s="3625" t="s">
        <v>5069</v>
      </c>
      <c r="B246" s="3625"/>
      <c r="C246" s="3626" t="s">
        <v>4390</v>
      </c>
      <c r="D246" s="3626">
        <v>32.020000000000003</v>
      </c>
      <c r="E246" s="3623">
        <f>典型户型修正!C268</f>
        <v>1</v>
      </c>
      <c r="F246" s="3623">
        <f ca="1">典型户型修正!R268</f>
        <v>5764</v>
      </c>
      <c r="G246" s="3623">
        <f ca="1">典型户型修正!S268</f>
        <v>18</v>
      </c>
    </row>
    <row r="247" spans="1:7">
      <c r="A247" s="3625" t="s">
        <v>5069</v>
      </c>
      <c r="B247" s="3625"/>
      <c r="C247" s="3626" t="s">
        <v>4391</v>
      </c>
      <c r="D247" s="3626">
        <v>32.020000000000003</v>
      </c>
      <c r="E247" s="3623">
        <f>典型户型修正!C269</f>
        <v>1</v>
      </c>
      <c r="F247" s="3623">
        <f ca="1">典型户型修正!R269</f>
        <v>5764</v>
      </c>
      <c r="G247" s="3623">
        <f ca="1">典型户型修正!S269</f>
        <v>18</v>
      </c>
    </row>
    <row r="248" spans="1:7">
      <c r="A248" s="3625" t="s">
        <v>5069</v>
      </c>
      <c r="B248" s="3625"/>
      <c r="C248" s="3626" t="s">
        <v>4392</v>
      </c>
      <c r="D248" s="3626">
        <v>32.020000000000003</v>
      </c>
      <c r="E248" s="3623">
        <f>典型户型修正!C270</f>
        <v>1</v>
      </c>
      <c r="F248" s="3623">
        <f ca="1">典型户型修正!R270</f>
        <v>5764</v>
      </c>
      <c r="G248" s="3623">
        <f ca="1">典型户型修正!S270</f>
        <v>18</v>
      </c>
    </row>
    <row r="249" spans="1:7">
      <c r="A249" s="3625" t="s">
        <v>5069</v>
      </c>
      <c r="B249" s="3625"/>
      <c r="C249" s="3626" t="s">
        <v>4393</v>
      </c>
      <c r="D249" s="3626">
        <v>32.020000000000003</v>
      </c>
      <c r="E249" s="3623">
        <f>典型户型修正!C271</f>
        <v>1</v>
      </c>
      <c r="F249" s="3623">
        <f ca="1">典型户型修正!R271</f>
        <v>5764</v>
      </c>
      <c r="G249" s="3623">
        <f ca="1">典型户型修正!S271</f>
        <v>18</v>
      </c>
    </row>
    <row r="250" spans="1:7">
      <c r="A250" s="3625" t="s">
        <v>5069</v>
      </c>
      <c r="B250" s="3625"/>
      <c r="C250" s="3626" t="s">
        <v>4394</v>
      </c>
      <c r="D250" s="3626">
        <v>32.020000000000003</v>
      </c>
      <c r="E250" s="3623">
        <f>典型户型修正!C272</f>
        <v>1</v>
      </c>
      <c r="F250" s="3623">
        <f ca="1">典型户型修正!R272</f>
        <v>5764</v>
      </c>
      <c r="G250" s="3623">
        <f ca="1">典型户型修正!S272</f>
        <v>18</v>
      </c>
    </row>
    <row r="251" spans="1:7">
      <c r="A251" s="3625" t="s">
        <v>5069</v>
      </c>
      <c r="B251" s="3625"/>
      <c r="C251" s="3626" t="s">
        <v>4395</v>
      </c>
      <c r="D251" s="3626">
        <v>32.020000000000003</v>
      </c>
      <c r="E251" s="3623">
        <f>典型户型修正!C273</f>
        <v>1</v>
      </c>
      <c r="F251" s="3623">
        <f ca="1">典型户型修正!R273</f>
        <v>5764</v>
      </c>
      <c r="G251" s="3623">
        <f ca="1">典型户型修正!S273</f>
        <v>18</v>
      </c>
    </row>
    <row r="252" spans="1:7">
      <c r="A252" s="3625" t="s">
        <v>5069</v>
      </c>
      <c r="B252" s="3625"/>
      <c r="C252" s="3626" t="s">
        <v>4396</v>
      </c>
      <c r="D252" s="3626">
        <v>32.020000000000003</v>
      </c>
      <c r="E252" s="3623">
        <f>典型户型修正!C274</f>
        <v>1</v>
      </c>
      <c r="F252" s="3623">
        <f ca="1">典型户型修正!R274</f>
        <v>5764</v>
      </c>
      <c r="G252" s="3623">
        <f ca="1">典型户型修正!S274</f>
        <v>18</v>
      </c>
    </row>
    <row r="253" spans="1:7">
      <c r="A253" s="3625" t="s">
        <v>5069</v>
      </c>
      <c r="B253" s="3625"/>
      <c r="C253" s="3626" t="s">
        <v>4397</v>
      </c>
      <c r="D253" s="3626">
        <v>32.020000000000003</v>
      </c>
      <c r="E253" s="3623">
        <f>典型户型修正!C275</f>
        <v>1</v>
      </c>
      <c r="F253" s="3623">
        <f ca="1">典型户型修正!R275</f>
        <v>5764</v>
      </c>
      <c r="G253" s="3623">
        <f ca="1">典型户型修正!S275</f>
        <v>18</v>
      </c>
    </row>
    <row r="254" spans="1:7">
      <c r="A254" s="3625" t="s">
        <v>5069</v>
      </c>
      <c r="B254" s="3625"/>
      <c r="C254" s="3626" t="s">
        <v>4398</v>
      </c>
      <c r="D254" s="3626">
        <v>33.36</v>
      </c>
      <c r="E254" s="3623">
        <f>典型户型修正!C276</f>
        <v>1</v>
      </c>
      <c r="F254" s="3623">
        <f ca="1">典型户型修正!R276</f>
        <v>5764</v>
      </c>
      <c r="G254" s="3623">
        <f ca="1">典型户型修正!S276</f>
        <v>19</v>
      </c>
    </row>
    <row r="255" spans="1:7">
      <c r="A255" s="3625" t="s">
        <v>5069</v>
      </c>
      <c r="B255" s="3625"/>
      <c r="C255" s="3626" t="s">
        <v>4399</v>
      </c>
      <c r="D255" s="3626">
        <v>33.36</v>
      </c>
      <c r="E255" s="3623">
        <f>典型户型修正!C277</f>
        <v>1</v>
      </c>
      <c r="F255" s="3623">
        <f ca="1">典型户型修正!R277</f>
        <v>5764</v>
      </c>
      <c r="G255" s="3623">
        <f ca="1">典型户型修正!S277</f>
        <v>19</v>
      </c>
    </row>
    <row r="256" spans="1:7">
      <c r="A256" s="3625" t="s">
        <v>5069</v>
      </c>
      <c r="B256" s="3625"/>
      <c r="C256" s="3626" t="s">
        <v>4400</v>
      </c>
      <c r="D256" s="3626">
        <v>33.36</v>
      </c>
      <c r="E256" s="3623">
        <f>典型户型修正!C278</f>
        <v>1</v>
      </c>
      <c r="F256" s="3623">
        <f ca="1">典型户型修正!R278</f>
        <v>5764</v>
      </c>
      <c r="G256" s="3623">
        <f ca="1">典型户型修正!S278</f>
        <v>19</v>
      </c>
    </row>
    <row r="257" spans="1:7">
      <c r="A257" s="3625" t="s">
        <v>5069</v>
      </c>
      <c r="B257" s="3625"/>
      <c r="C257" s="3626" t="s">
        <v>4401</v>
      </c>
      <c r="D257" s="3626">
        <v>33.36</v>
      </c>
      <c r="E257" s="3623">
        <f>典型户型修正!C279</f>
        <v>1</v>
      </c>
      <c r="F257" s="3623">
        <f ca="1">典型户型修正!R279</f>
        <v>5764</v>
      </c>
      <c r="G257" s="3623">
        <f ca="1">典型户型修正!S279</f>
        <v>19</v>
      </c>
    </row>
    <row r="258" spans="1:7">
      <c r="A258" s="3625" t="s">
        <v>5069</v>
      </c>
      <c r="B258" s="3625"/>
      <c r="C258" s="3626" t="s">
        <v>4402</v>
      </c>
      <c r="D258" s="3626">
        <v>33.36</v>
      </c>
      <c r="E258" s="3623">
        <f>典型户型修正!C280</f>
        <v>1</v>
      </c>
      <c r="F258" s="3623">
        <f ca="1">典型户型修正!R280</f>
        <v>5764</v>
      </c>
      <c r="G258" s="3623">
        <f ca="1">典型户型修正!S280</f>
        <v>19</v>
      </c>
    </row>
    <row r="259" spans="1:7">
      <c r="A259" s="3625" t="s">
        <v>5069</v>
      </c>
      <c r="B259" s="3625"/>
      <c r="C259" s="3626" t="s">
        <v>4403</v>
      </c>
      <c r="D259" s="3626">
        <v>33.36</v>
      </c>
      <c r="E259" s="3623">
        <f>典型户型修正!C281</f>
        <v>1</v>
      </c>
      <c r="F259" s="3623">
        <f ca="1">典型户型修正!R281</f>
        <v>5764</v>
      </c>
      <c r="G259" s="3623">
        <f ca="1">典型户型修正!S281</f>
        <v>19</v>
      </c>
    </row>
    <row r="260" spans="1:7">
      <c r="A260" s="3625" t="s">
        <v>5069</v>
      </c>
      <c r="B260" s="3625"/>
      <c r="C260" s="3626" t="s">
        <v>4404</v>
      </c>
      <c r="D260" s="3626">
        <v>33.36</v>
      </c>
      <c r="E260" s="3623">
        <f>典型户型修正!C282</f>
        <v>1</v>
      </c>
      <c r="F260" s="3623">
        <f ca="1">典型户型修正!R282</f>
        <v>5764</v>
      </c>
      <c r="G260" s="3623">
        <f ca="1">典型户型修正!S282</f>
        <v>19</v>
      </c>
    </row>
    <row r="261" spans="1:7">
      <c r="A261" s="3625" t="s">
        <v>5069</v>
      </c>
      <c r="B261" s="3625"/>
      <c r="C261" s="3626" t="s">
        <v>4405</v>
      </c>
      <c r="D261" s="3626">
        <v>33.36</v>
      </c>
      <c r="E261" s="3623">
        <f>典型户型修正!C283</f>
        <v>1</v>
      </c>
      <c r="F261" s="3623">
        <f ca="1">典型户型修正!R283</f>
        <v>5764</v>
      </c>
      <c r="G261" s="3623">
        <f ca="1">典型户型修正!S283</f>
        <v>19</v>
      </c>
    </row>
    <row r="262" spans="1:7">
      <c r="A262" s="3625" t="s">
        <v>5069</v>
      </c>
      <c r="B262" s="3625"/>
      <c r="C262" s="3626" t="s">
        <v>4406</v>
      </c>
      <c r="D262" s="3626">
        <v>32.020000000000003</v>
      </c>
      <c r="E262" s="3623">
        <f>典型户型修正!C284</f>
        <v>1</v>
      </c>
      <c r="F262" s="3623">
        <f ca="1">典型户型修正!R284</f>
        <v>5764</v>
      </c>
      <c r="G262" s="3623">
        <f ca="1">典型户型修正!S284</f>
        <v>18</v>
      </c>
    </row>
    <row r="263" spans="1:7">
      <c r="A263" s="3625" t="s">
        <v>5069</v>
      </c>
      <c r="B263" s="3625"/>
      <c r="C263" s="3626" t="s">
        <v>4407</v>
      </c>
      <c r="D263" s="3626">
        <v>32.020000000000003</v>
      </c>
      <c r="E263" s="3623">
        <f>典型户型修正!C285</f>
        <v>1</v>
      </c>
      <c r="F263" s="3623">
        <f ca="1">典型户型修正!R285</f>
        <v>5764</v>
      </c>
      <c r="G263" s="3623">
        <f ca="1">典型户型修正!S285</f>
        <v>18</v>
      </c>
    </row>
    <row r="264" spans="1:7">
      <c r="A264" s="3625" t="s">
        <v>5069</v>
      </c>
      <c r="B264" s="3625"/>
      <c r="C264" s="3626" t="s">
        <v>4408</v>
      </c>
      <c r="D264" s="3626">
        <v>32.020000000000003</v>
      </c>
      <c r="E264" s="3623">
        <f>典型户型修正!C286</f>
        <v>1</v>
      </c>
      <c r="F264" s="3623">
        <f ca="1">典型户型修正!R286</f>
        <v>5764</v>
      </c>
      <c r="G264" s="3623">
        <f ca="1">典型户型修正!S286</f>
        <v>18</v>
      </c>
    </row>
    <row r="265" spans="1:7">
      <c r="A265" s="3625" t="s">
        <v>5069</v>
      </c>
      <c r="B265" s="3625"/>
      <c r="C265" s="3626" t="s">
        <v>4409</v>
      </c>
      <c r="D265" s="3626">
        <v>32.020000000000003</v>
      </c>
      <c r="E265" s="3623">
        <f>典型户型修正!C287</f>
        <v>1</v>
      </c>
      <c r="F265" s="3623">
        <f ca="1">典型户型修正!R287</f>
        <v>5764</v>
      </c>
      <c r="G265" s="3623">
        <f ca="1">典型户型修正!S287</f>
        <v>18</v>
      </c>
    </row>
    <row r="266" spans="1:7">
      <c r="A266" s="3625" t="s">
        <v>5069</v>
      </c>
      <c r="B266" s="3625"/>
      <c r="C266" s="3626" t="s">
        <v>4410</v>
      </c>
      <c r="D266" s="3626">
        <v>32.020000000000003</v>
      </c>
      <c r="E266" s="3623">
        <f>典型户型修正!C288</f>
        <v>1</v>
      </c>
      <c r="F266" s="3623">
        <f ca="1">典型户型修正!R288</f>
        <v>5764</v>
      </c>
      <c r="G266" s="3623">
        <f ca="1">典型户型修正!S288</f>
        <v>18</v>
      </c>
    </row>
    <row r="267" spans="1:7">
      <c r="A267" s="3625" t="s">
        <v>5069</v>
      </c>
      <c r="B267" s="3625"/>
      <c r="C267" s="3626" t="s">
        <v>4411</v>
      </c>
      <c r="D267" s="3626">
        <v>32.020000000000003</v>
      </c>
      <c r="E267" s="3623">
        <f>典型户型修正!C289</f>
        <v>1</v>
      </c>
      <c r="F267" s="3623">
        <f ca="1">典型户型修正!R289</f>
        <v>5764</v>
      </c>
      <c r="G267" s="3623">
        <f ca="1">典型户型修正!S289</f>
        <v>18</v>
      </c>
    </row>
    <row r="268" spans="1:7">
      <c r="A268" s="3625" t="s">
        <v>5069</v>
      </c>
      <c r="B268" s="3625"/>
      <c r="C268" s="3626" t="s">
        <v>4412</v>
      </c>
      <c r="D268" s="3626">
        <v>32.020000000000003</v>
      </c>
      <c r="E268" s="3623">
        <f>典型户型修正!C290</f>
        <v>1</v>
      </c>
      <c r="F268" s="3623">
        <f ca="1">典型户型修正!R290</f>
        <v>5764</v>
      </c>
      <c r="G268" s="3623">
        <f ca="1">典型户型修正!S290</f>
        <v>18</v>
      </c>
    </row>
    <row r="269" spans="1:7">
      <c r="A269" s="3625" t="s">
        <v>5069</v>
      </c>
      <c r="B269" s="3625"/>
      <c r="C269" s="3626" t="s">
        <v>4413</v>
      </c>
      <c r="D269" s="3626">
        <v>32.020000000000003</v>
      </c>
      <c r="E269" s="3623">
        <f>典型户型修正!C291</f>
        <v>1</v>
      </c>
      <c r="F269" s="3623">
        <f ca="1">典型户型修正!R291</f>
        <v>5764</v>
      </c>
      <c r="G269" s="3623">
        <f ca="1">典型户型修正!S291</f>
        <v>18</v>
      </c>
    </row>
    <row r="270" spans="1:7">
      <c r="A270" s="3625" t="s">
        <v>5069</v>
      </c>
      <c r="B270" s="3625"/>
      <c r="C270" s="3626" t="s">
        <v>4414</v>
      </c>
      <c r="D270" s="3626">
        <v>32.020000000000003</v>
      </c>
      <c r="E270" s="3623">
        <f>典型户型修正!C292</f>
        <v>1</v>
      </c>
      <c r="F270" s="3623">
        <f ca="1">典型户型修正!R292</f>
        <v>5764</v>
      </c>
      <c r="G270" s="3623">
        <f ca="1">典型户型修正!S292</f>
        <v>18</v>
      </c>
    </row>
    <row r="271" spans="1:7">
      <c r="A271" s="3625" t="s">
        <v>5069</v>
      </c>
      <c r="B271" s="3625"/>
      <c r="C271" s="3626" t="s">
        <v>4415</v>
      </c>
      <c r="D271" s="3626">
        <v>32.020000000000003</v>
      </c>
      <c r="E271" s="3623">
        <f>典型户型修正!C293</f>
        <v>1</v>
      </c>
      <c r="F271" s="3623">
        <f ca="1">典型户型修正!R293</f>
        <v>5764</v>
      </c>
      <c r="G271" s="3623">
        <f ca="1">典型户型修正!S293</f>
        <v>18</v>
      </c>
    </row>
    <row r="272" spans="1:7">
      <c r="A272" s="3625" t="s">
        <v>5069</v>
      </c>
      <c r="B272" s="3625"/>
      <c r="C272" s="3626" t="s">
        <v>4416</v>
      </c>
      <c r="D272" s="3626">
        <v>32.020000000000003</v>
      </c>
      <c r="E272" s="3623">
        <f>典型户型修正!C294</f>
        <v>1</v>
      </c>
      <c r="F272" s="3623">
        <f ca="1">典型户型修正!R294</f>
        <v>5764</v>
      </c>
      <c r="G272" s="3623">
        <f ca="1">典型户型修正!S294</f>
        <v>18</v>
      </c>
    </row>
    <row r="273" spans="1:7">
      <c r="A273" s="3625" t="s">
        <v>5069</v>
      </c>
      <c r="B273" s="3625"/>
      <c r="C273" s="3626" t="s">
        <v>4417</v>
      </c>
      <c r="D273" s="3626">
        <v>32.020000000000003</v>
      </c>
      <c r="E273" s="3623">
        <f>典型户型修正!C295</f>
        <v>1</v>
      </c>
      <c r="F273" s="3623">
        <f ca="1">典型户型修正!R295</f>
        <v>5764</v>
      </c>
      <c r="G273" s="3623">
        <f ca="1">典型户型修正!S295</f>
        <v>18</v>
      </c>
    </row>
    <row r="274" spans="1:7">
      <c r="A274" s="3625" t="s">
        <v>5069</v>
      </c>
      <c r="B274" s="3625"/>
      <c r="C274" s="3626" t="s">
        <v>4418</v>
      </c>
      <c r="D274" s="3626">
        <v>32.020000000000003</v>
      </c>
      <c r="E274" s="3623">
        <f>典型户型修正!C296</f>
        <v>1</v>
      </c>
      <c r="F274" s="3623">
        <f ca="1">典型户型修正!R296</f>
        <v>5764</v>
      </c>
      <c r="G274" s="3623">
        <f ca="1">典型户型修正!S296</f>
        <v>18</v>
      </c>
    </row>
    <row r="275" spans="1:7">
      <c r="A275" s="3625" t="s">
        <v>5069</v>
      </c>
      <c r="B275" s="3625"/>
      <c r="C275" s="3626" t="s">
        <v>4419</v>
      </c>
      <c r="D275" s="3626">
        <v>32.020000000000003</v>
      </c>
      <c r="E275" s="3623">
        <f>典型户型修正!C297</f>
        <v>1</v>
      </c>
      <c r="F275" s="3623">
        <f ca="1">典型户型修正!R297</f>
        <v>5764</v>
      </c>
      <c r="G275" s="3623">
        <f ca="1">典型户型修正!S297</f>
        <v>18</v>
      </c>
    </row>
    <row r="276" spans="1:7">
      <c r="A276" s="3625" t="s">
        <v>5069</v>
      </c>
      <c r="B276" s="3625"/>
      <c r="C276" s="3626" t="s">
        <v>4420</v>
      </c>
      <c r="D276" s="3626">
        <v>32.020000000000003</v>
      </c>
      <c r="E276" s="3623">
        <f>典型户型修正!C298</f>
        <v>1</v>
      </c>
      <c r="F276" s="3623">
        <f ca="1">典型户型修正!R298</f>
        <v>5764</v>
      </c>
      <c r="G276" s="3623">
        <f ca="1">典型户型修正!S298</f>
        <v>18</v>
      </c>
    </row>
    <row r="277" spans="1:7">
      <c r="A277" s="3625" t="s">
        <v>5069</v>
      </c>
      <c r="B277" s="3625"/>
      <c r="C277" s="3626" t="s">
        <v>4421</v>
      </c>
      <c r="D277" s="3626">
        <v>32.020000000000003</v>
      </c>
      <c r="E277" s="3623">
        <f>典型户型修正!C299</f>
        <v>1</v>
      </c>
      <c r="F277" s="3623">
        <f ca="1">典型户型修正!R299</f>
        <v>5764</v>
      </c>
      <c r="G277" s="3623">
        <f ca="1">典型户型修正!S299</f>
        <v>18</v>
      </c>
    </row>
    <row r="278" spans="1:7">
      <c r="A278" s="3625" t="s">
        <v>5069</v>
      </c>
      <c r="B278" s="3625"/>
      <c r="C278" s="3626" t="s">
        <v>4422</v>
      </c>
      <c r="D278" s="3626">
        <v>32.020000000000003</v>
      </c>
      <c r="E278" s="3623">
        <f>典型户型修正!C300</f>
        <v>1</v>
      </c>
      <c r="F278" s="3623">
        <f ca="1">典型户型修正!R300</f>
        <v>5764</v>
      </c>
      <c r="G278" s="3623">
        <f ca="1">典型户型修正!S300</f>
        <v>18</v>
      </c>
    </row>
    <row r="279" spans="1:7">
      <c r="A279" s="3625" t="s">
        <v>5069</v>
      </c>
      <c r="B279" s="3625"/>
      <c r="C279" s="3626" t="s">
        <v>4423</v>
      </c>
      <c r="D279" s="3626">
        <v>32.020000000000003</v>
      </c>
      <c r="E279" s="3623">
        <f>典型户型修正!C301</f>
        <v>1</v>
      </c>
      <c r="F279" s="3623">
        <f ca="1">典型户型修正!R301</f>
        <v>5764</v>
      </c>
      <c r="G279" s="3623">
        <f ca="1">典型户型修正!S301</f>
        <v>18</v>
      </c>
    </row>
    <row r="280" spans="1:7">
      <c r="A280" s="3625" t="s">
        <v>5069</v>
      </c>
      <c r="B280" s="3625"/>
      <c r="C280" s="3626" t="s">
        <v>4424</v>
      </c>
      <c r="D280" s="3626">
        <v>32.020000000000003</v>
      </c>
      <c r="E280" s="3623">
        <f>典型户型修正!C302</f>
        <v>1</v>
      </c>
      <c r="F280" s="3623">
        <f ca="1">典型户型修正!R302</f>
        <v>5764</v>
      </c>
      <c r="G280" s="3623">
        <f ca="1">典型户型修正!S302</f>
        <v>18</v>
      </c>
    </row>
    <row r="281" spans="1:7">
      <c r="A281" s="3625" t="s">
        <v>5069</v>
      </c>
      <c r="B281" s="3625"/>
      <c r="C281" s="3626" t="s">
        <v>4425</v>
      </c>
      <c r="D281" s="3626">
        <v>32.020000000000003</v>
      </c>
      <c r="E281" s="3623">
        <f>典型户型修正!C303</f>
        <v>1</v>
      </c>
      <c r="F281" s="3623">
        <f ca="1">典型户型修正!R303</f>
        <v>5764</v>
      </c>
      <c r="G281" s="3623">
        <f ca="1">典型户型修正!S303</f>
        <v>18</v>
      </c>
    </row>
    <row r="282" spans="1:7">
      <c r="A282" s="3625" t="s">
        <v>5069</v>
      </c>
      <c r="B282" s="3625"/>
      <c r="C282" s="3626" t="s">
        <v>4426</v>
      </c>
      <c r="D282" s="3626">
        <v>32.020000000000003</v>
      </c>
      <c r="E282" s="3623">
        <f>典型户型修正!C304</f>
        <v>1</v>
      </c>
      <c r="F282" s="3623">
        <f ca="1">典型户型修正!R304</f>
        <v>5764</v>
      </c>
      <c r="G282" s="3623">
        <f ca="1">典型户型修正!S304</f>
        <v>18</v>
      </c>
    </row>
    <row r="283" spans="1:7">
      <c r="A283" s="3625" t="s">
        <v>5069</v>
      </c>
      <c r="B283" s="3625"/>
      <c r="C283" s="3626" t="s">
        <v>4427</v>
      </c>
      <c r="D283" s="3626">
        <v>32.020000000000003</v>
      </c>
      <c r="E283" s="3623">
        <f>典型户型修正!C305</f>
        <v>1</v>
      </c>
      <c r="F283" s="3623">
        <f ca="1">典型户型修正!R305</f>
        <v>5764</v>
      </c>
      <c r="G283" s="3623">
        <f ca="1">典型户型修正!S305</f>
        <v>18</v>
      </c>
    </row>
    <row r="284" spans="1:7">
      <c r="A284" s="3625" t="s">
        <v>5069</v>
      </c>
      <c r="B284" s="3625"/>
      <c r="C284" s="3626" t="s">
        <v>4428</v>
      </c>
      <c r="D284" s="3626">
        <v>32.020000000000003</v>
      </c>
      <c r="E284" s="3623">
        <f>典型户型修正!C306</f>
        <v>1</v>
      </c>
      <c r="F284" s="3623">
        <f ca="1">典型户型修正!R306</f>
        <v>5764</v>
      </c>
      <c r="G284" s="3623">
        <f ca="1">典型户型修正!S306</f>
        <v>18</v>
      </c>
    </row>
    <row r="285" spans="1:7">
      <c r="A285" s="3625" t="s">
        <v>5069</v>
      </c>
      <c r="B285" s="3625"/>
      <c r="C285" s="3626" t="s">
        <v>4429</v>
      </c>
      <c r="D285" s="3626">
        <v>32.020000000000003</v>
      </c>
      <c r="E285" s="3623">
        <f>典型户型修正!C307</f>
        <v>1</v>
      </c>
      <c r="F285" s="3623">
        <f ca="1">典型户型修正!R307</f>
        <v>5764</v>
      </c>
      <c r="G285" s="3623">
        <f ca="1">典型户型修正!S307</f>
        <v>18</v>
      </c>
    </row>
    <row r="286" spans="1:7">
      <c r="A286" s="3625" t="s">
        <v>5069</v>
      </c>
      <c r="B286" s="3625"/>
      <c r="C286" s="3626" t="s">
        <v>4430</v>
      </c>
      <c r="D286" s="3626">
        <v>33.36</v>
      </c>
      <c r="E286" s="3623">
        <f>典型户型修正!C308</f>
        <v>1</v>
      </c>
      <c r="F286" s="3623">
        <f ca="1">典型户型修正!R308</f>
        <v>5764</v>
      </c>
      <c r="G286" s="3623">
        <f ca="1">典型户型修正!S308</f>
        <v>19</v>
      </c>
    </row>
    <row r="287" spans="1:7">
      <c r="A287" s="3625" t="s">
        <v>5069</v>
      </c>
      <c r="B287" s="3625"/>
      <c r="C287" s="3626" t="s">
        <v>4431</v>
      </c>
      <c r="D287" s="3626">
        <v>32.020000000000003</v>
      </c>
      <c r="E287" s="3623">
        <f>典型户型修正!C309</f>
        <v>1</v>
      </c>
      <c r="F287" s="3623">
        <f ca="1">典型户型修正!R309</f>
        <v>5764</v>
      </c>
      <c r="G287" s="3623">
        <f ca="1">典型户型修正!S309</f>
        <v>18</v>
      </c>
    </row>
    <row r="288" spans="1:7">
      <c r="A288" s="3625" t="s">
        <v>5069</v>
      </c>
      <c r="B288" s="3625"/>
      <c r="C288" s="3626" t="s">
        <v>4432</v>
      </c>
      <c r="D288" s="3626">
        <v>33.36</v>
      </c>
      <c r="E288" s="3623">
        <f>典型户型修正!C310</f>
        <v>1</v>
      </c>
      <c r="F288" s="3623">
        <f ca="1">典型户型修正!R310</f>
        <v>5764</v>
      </c>
      <c r="G288" s="3623">
        <f ca="1">典型户型修正!S310</f>
        <v>19</v>
      </c>
    </row>
    <row r="289" spans="1:7">
      <c r="A289" s="3625" t="s">
        <v>5069</v>
      </c>
      <c r="B289" s="3625"/>
      <c r="C289" s="3626" t="s">
        <v>4433</v>
      </c>
      <c r="D289" s="3626">
        <v>27.57</v>
      </c>
      <c r="E289" s="3623">
        <f>典型户型修正!C311</f>
        <v>1.01</v>
      </c>
      <c r="F289" s="3623">
        <f ca="1">典型户型修正!R311</f>
        <v>5822</v>
      </c>
      <c r="G289" s="3623">
        <f ca="1">典型户型修正!S311</f>
        <v>16</v>
      </c>
    </row>
    <row r="290" spans="1:7">
      <c r="A290" s="3625" t="s">
        <v>5069</v>
      </c>
      <c r="B290" s="3625"/>
      <c r="C290" s="3626" t="s">
        <v>4434</v>
      </c>
      <c r="D290" s="3626">
        <v>32.020000000000003</v>
      </c>
      <c r="E290" s="3623">
        <f>典型户型修正!C312</f>
        <v>1</v>
      </c>
      <c r="F290" s="3623">
        <f ca="1">典型户型修正!R312</f>
        <v>5764</v>
      </c>
      <c r="G290" s="3623">
        <f ca="1">典型户型修正!S312</f>
        <v>18</v>
      </c>
    </row>
    <row r="291" spans="1:7">
      <c r="A291" s="3625" t="s">
        <v>5069</v>
      </c>
      <c r="B291" s="3625"/>
      <c r="C291" s="3626" t="s">
        <v>4435</v>
      </c>
      <c r="D291" s="3626">
        <v>32.020000000000003</v>
      </c>
      <c r="E291" s="3623">
        <f>典型户型修正!C313</f>
        <v>1</v>
      </c>
      <c r="F291" s="3623">
        <f ca="1">典型户型修正!R313</f>
        <v>5764</v>
      </c>
      <c r="G291" s="3623">
        <f ca="1">典型户型修正!S313</f>
        <v>18</v>
      </c>
    </row>
    <row r="292" spans="1:7">
      <c r="A292" s="3625" t="s">
        <v>5069</v>
      </c>
      <c r="B292" s="3625"/>
      <c r="C292" s="3626" t="s">
        <v>4436</v>
      </c>
      <c r="D292" s="3626">
        <v>32.020000000000003</v>
      </c>
      <c r="E292" s="3623">
        <f>典型户型修正!C314</f>
        <v>1</v>
      </c>
      <c r="F292" s="3623">
        <f ca="1">典型户型修正!R314</f>
        <v>5764</v>
      </c>
      <c r="G292" s="3623">
        <f ca="1">典型户型修正!S314</f>
        <v>18</v>
      </c>
    </row>
    <row r="293" spans="1:7">
      <c r="A293" s="3625" t="s">
        <v>5069</v>
      </c>
      <c r="B293" s="3625"/>
      <c r="C293" s="3626" t="s">
        <v>4437</v>
      </c>
      <c r="D293" s="3626">
        <v>32.020000000000003</v>
      </c>
      <c r="E293" s="3623">
        <f>典型户型修正!C315</f>
        <v>1</v>
      </c>
      <c r="F293" s="3623">
        <f ca="1">典型户型修正!R315</f>
        <v>5764</v>
      </c>
      <c r="G293" s="3623">
        <f ca="1">典型户型修正!S315</f>
        <v>18</v>
      </c>
    </row>
    <row r="294" spans="1:7">
      <c r="A294" s="3625" t="s">
        <v>5070</v>
      </c>
      <c r="B294" s="3625"/>
      <c r="C294" s="3626" t="s">
        <v>4441</v>
      </c>
      <c r="D294" s="3626">
        <v>37.11</v>
      </c>
      <c r="E294" s="3623">
        <f>典型户型修正!C316</f>
        <v>0.99</v>
      </c>
      <c r="F294" s="3623">
        <f ca="1">典型户型修正!R316</f>
        <v>5706</v>
      </c>
      <c r="G294" s="3623">
        <f ca="1">典型户型修正!S316</f>
        <v>21</v>
      </c>
    </row>
    <row r="295" spans="1:7">
      <c r="A295" s="3625" t="s">
        <v>5070</v>
      </c>
      <c r="B295" s="3625"/>
      <c r="C295" s="3626" t="s">
        <v>4442</v>
      </c>
      <c r="D295" s="3626">
        <v>37.11</v>
      </c>
      <c r="E295" s="3623">
        <f>典型户型修正!C317</f>
        <v>0.99</v>
      </c>
      <c r="F295" s="3623">
        <f ca="1">典型户型修正!R317</f>
        <v>5706</v>
      </c>
      <c r="G295" s="3623">
        <f ca="1">典型户型修正!S317</f>
        <v>21</v>
      </c>
    </row>
    <row r="296" spans="1:7">
      <c r="A296" s="3625" t="s">
        <v>5070</v>
      </c>
      <c r="B296" s="3625"/>
      <c r="C296" s="3626" t="s">
        <v>4443</v>
      </c>
      <c r="D296" s="3626">
        <v>37.11</v>
      </c>
      <c r="E296" s="3623">
        <f>典型户型修正!C318</f>
        <v>0.99</v>
      </c>
      <c r="F296" s="3623">
        <f ca="1">典型户型修正!R318</f>
        <v>5706</v>
      </c>
      <c r="G296" s="3623">
        <f ca="1">典型户型修正!S318</f>
        <v>21</v>
      </c>
    </row>
    <row r="297" spans="1:7">
      <c r="A297" s="3625" t="s">
        <v>5070</v>
      </c>
      <c r="B297" s="3625"/>
      <c r="C297" s="3626" t="s">
        <v>4444</v>
      </c>
      <c r="D297" s="3626">
        <v>37.11</v>
      </c>
      <c r="E297" s="3623">
        <f>典型户型修正!C319</f>
        <v>0.99</v>
      </c>
      <c r="F297" s="3623">
        <f ca="1">典型户型修正!R319</f>
        <v>5706</v>
      </c>
      <c r="G297" s="3623">
        <f ca="1">典型户型修正!S319</f>
        <v>21</v>
      </c>
    </row>
    <row r="298" spans="1:7">
      <c r="A298" s="3625" t="s">
        <v>5070</v>
      </c>
      <c r="B298" s="3625"/>
      <c r="C298" s="3626" t="s">
        <v>4445</v>
      </c>
      <c r="D298" s="3626">
        <v>37.11</v>
      </c>
      <c r="E298" s="3623">
        <f>典型户型修正!C320</f>
        <v>0.99</v>
      </c>
      <c r="F298" s="3623">
        <f ca="1">典型户型修正!R320</f>
        <v>5706</v>
      </c>
      <c r="G298" s="3623">
        <f ca="1">典型户型修正!S320</f>
        <v>21</v>
      </c>
    </row>
    <row r="299" spans="1:7">
      <c r="A299" s="3625" t="s">
        <v>5070</v>
      </c>
      <c r="B299" s="3625"/>
      <c r="C299" s="3626" t="s">
        <v>4446</v>
      </c>
      <c r="D299" s="3626">
        <v>37.11</v>
      </c>
      <c r="E299" s="3623">
        <f>典型户型修正!C321</f>
        <v>0.99</v>
      </c>
      <c r="F299" s="3623">
        <f ca="1">典型户型修正!R321</f>
        <v>5706</v>
      </c>
      <c r="G299" s="3623">
        <f ca="1">典型户型修正!S321</f>
        <v>21</v>
      </c>
    </row>
    <row r="300" spans="1:7">
      <c r="A300" s="3625" t="s">
        <v>5070</v>
      </c>
      <c r="B300" s="3625"/>
      <c r="C300" s="3626" t="s">
        <v>4447</v>
      </c>
      <c r="D300" s="3626">
        <v>37.11</v>
      </c>
      <c r="E300" s="3623">
        <f>典型户型修正!C322</f>
        <v>0.99</v>
      </c>
      <c r="F300" s="3623">
        <f ca="1">典型户型修正!R322</f>
        <v>5706</v>
      </c>
      <c r="G300" s="3623">
        <f ca="1">典型户型修正!S322</f>
        <v>21</v>
      </c>
    </row>
    <row r="301" spans="1:7">
      <c r="A301" s="3625" t="s">
        <v>5070</v>
      </c>
      <c r="B301" s="3625"/>
      <c r="C301" s="3626" t="s">
        <v>4448</v>
      </c>
      <c r="D301" s="3626">
        <v>37.11</v>
      </c>
      <c r="E301" s="3623">
        <f>典型户型修正!C323</f>
        <v>0.99</v>
      </c>
      <c r="F301" s="3623">
        <f ca="1">典型户型修正!R323</f>
        <v>5706</v>
      </c>
      <c r="G301" s="3623">
        <f ca="1">典型户型修正!S323</f>
        <v>21</v>
      </c>
    </row>
    <row r="302" spans="1:7">
      <c r="A302" s="3625" t="s">
        <v>5070</v>
      </c>
      <c r="B302" s="3625"/>
      <c r="C302" s="3626" t="s">
        <v>4449</v>
      </c>
      <c r="D302" s="3626">
        <v>37.11</v>
      </c>
      <c r="E302" s="3623">
        <f>典型户型修正!C324</f>
        <v>0.99</v>
      </c>
      <c r="F302" s="3623">
        <f ca="1">典型户型修正!R324</f>
        <v>5706</v>
      </c>
      <c r="G302" s="3623">
        <f ca="1">典型户型修正!S324</f>
        <v>21</v>
      </c>
    </row>
    <row r="303" spans="1:7">
      <c r="A303" s="3625" t="s">
        <v>5070</v>
      </c>
      <c r="B303" s="3625"/>
      <c r="C303" s="3626" t="s">
        <v>4450</v>
      </c>
      <c r="D303" s="3626">
        <v>38.659999999999997</v>
      </c>
      <c r="E303" s="3623">
        <f>典型户型修正!C325</f>
        <v>0.99</v>
      </c>
      <c r="F303" s="3623">
        <f ca="1">典型户型修正!R325</f>
        <v>5706</v>
      </c>
      <c r="G303" s="3623">
        <f ca="1">典型户型修正!S325</f>
        <v>22</v>
      </c>
    </row>
    <row r="304" spans="1:7">
      <c r="A304" s="3625" t="s">
        <v>5070</v>
      </c>
      <c r="B304" s="3625"/>
      <c r="C304" s="3626" t="s">
        <v>4451</v>
      </c>
      <c r="D304" s="3626">
        <v>38.659999999999997</v>
      </c>
      <c r="E304" s="3623">
        <f>典型户型修正!C326</f>
        <v>0.99</v>
      </c>
      <c r="F304" s="3623">
        <f ca="1">典型户型修正!R326</f>
        <v>5706</v>
      </c>
      <c r="G304" s="3623">
        <f ca="1">典型户型修正!S326</f>
        <v>22</v>
      </c>
    </row>
    <row r="305" spans="1:7">
      <c r="A305" s="3625" t="s">
        <v>5070</v>
      </c>
      <c r="B305" s="3625"/>
      <c r="C305" s="3626" t="s">
        <v>4452</v>
      </c>
      <c r="D305" s="3626">
        <v>37.11</v>
      </c>
      <c r="E305" s="3623">
        <f>典型户型修正!C327</f>
        <v>0.99</v>
      </c>
      <c r="F305" s="3623">
        <f ca="1">典型户型修正!R327</f>
        <v>5706</v>
      </c>
      <c r="G305" s="3623">
        <f ca="1">典型户型修正!S327</f>
        <v>21</v>
      </c>
    </row>
    <row r="306" spans="1:7">
      <c r="A306" s="3625" t="s">
        <v>5070</v>
      </c>
      <c r="B306" s="3625"/>
      <c r="C306" s="3626" t="s">
        <v>4453</v>
      </c>
      <c r="D306" s="3626">
        <v>37.11</v>
      </c>
      <c r="E306" s="3623">
        <f>典型户型修正!C328</f>
        <v>0.99</v>
      </c>
      <c r="F306" s="3623">
        <f ca="1">典型户型修正!R328</f>
        <v>5706</v>
      </c>
      <c r="G306" s="3623">
        <f ca="1">典型户型修正!S328</f>
        <v>21</v>
      </c>
    </row>
    <row r="307" spans="1:7">
      <c r="A307" s="3625" t="s">
        <v>5070</v>
      </c>
      <c r="B307" s="3625"/>
      <c r="C307" s="3626" t="s">
        <v>4454</v>
      </c>
      <c r="D307" s="3626">
        <v>36.369999999999997</v>
      </c>
      <c r="E307" s="3623">
        <f>典型户型修正!C329</f>
        <v>0.99</v>
      </c>
      <c r="F307" s="3623">
        <f ca="1">典型户型修正!R329</f>
        <v>5706</v>
      </c>
      <c r="G307" s="3623">
        <f ca="1">典型户型修正!S329</f>
        <v>21</v>
      </c>
    </row>
    <row r="308" spans="1:7">
      <c r="A308" s="3625" t="s">
        <v>5070</v>
      </c>
      <c r="B308" s="3625"/>
      <c r="C308" s="3626" t="s">
        <v>4455</v>
      </c>
      <c r="D308" s="3626">
        <v>37.11</v>
      </c>
      <c r="E308" s="3623">
        <f>典型户型修正!C330</f>
        <v>0.99</v>
      </c>
      <c r="F308" s="3623">
        <f ca="1">典型户型修正!R330</f>
        <v>5706</v>
      </c>
      <c r="G308" s="3623">
        <f ca="1">典型户型修正!S330</f>
        <v>21</v>
      </c>
    </row>
    <row r="309" spans="1:7">
      <c r="A309" s="3625" t="s">
        <v>5070</v>
      </c>
      <c r="B309" s="3625"/>
      <c r="C309" s="3626" t="s">
        <v>4456</v>
      </c>
      <c r="D309" s="3626">
        <v>40.200000000000003</v>
      </c>
      <c r="E309" s="3623">
        <f>典型户型修正!C331</f>
        <v>0.99</v>
      </c>
      <c r="F309" s="3623">
        <f ca="1">典型户型修正!R331</f>
        <v>5706</v>
      </c>
      <c r="G309" s="3623">
        <f ca="1">典型户型修正!S331</f>
        <v>23</v>
      </c>
    </row>
    <row r="310" spans="1:7">
      <c r="A310" s="3625" t="s">
        <v>5070</v>
      </c>
      <c r="B310" s="3625"/>
      <c r="C310" s="3626" t="s">
        <v>4457</v>
      </c>
      <c r="D310" s="3626">
        <v>37.11</v>
      </c>
      <c r="E310" s="3623">
        <f>典型户型修正!C332</f>
        <v>0.99</v>
      </c>
      <c r="F310" s="3623">
        <f ca="1">典型户型修正!R332</f>
        <v>5706</v>
      </c>
      <c r="G310" s="3623">
        <f ca="1">典型户型修正!S332</f>
        <v>21</v>
      </c>
    </row>
    <row r="311" spans="1:7">
      <c r="A311" s="3625" t="s">
        <v>5070</v>
      </c>
      <c r="B311" s="3625"/>
      <c r="C311" s="3626" t="s">
        <v>4458</v>
      </c>
      <c r="D311" s="3626">
        <v>37.11</v>
      </c>
      <c r="E311" s="3623">
        <f>典型户型修正!C333</f>
        <v>0.99</v>
      </c>
      <c r="F311" s="3623">
        <f ca="1">典型户型修正!R333</f>
        <v>5706</v>
      </c>
      <c r="G311" s="3623">
        <f ca="1">典型户型修正!S333</f>
        <v>21</v>
      </c>
    </row>
    <row r="312" spans="1:7">
      <c r="A312" s="3625" t="s">
        <v>5070</v>
      </c>
      <c r="B312" s="3625"/>
      <c r="C312" s="3626" t="s">
        <v>4459</v>
      </c>
      <c r="D312" s="3626">
        <v>37.11</v>
      </c>
      <c r="E312" s="3623">
        <f>典型户型修正!C334</f>
        <v>0.99</v>
      </c>
      <c r="F312" s="3623">
        <f ca="1">典型户型修正!R334</f>
        <v>5706</v>
      </c>
      <c r="G312" s="3623">
        <f ca="1">典型户型修正!S334</f>
        <v>21</v>
      </c>
    </row>
    <row r="313" spans="1:7">
      <c r="A313" s="3625" t="s">
        <v>5070</v>
      </c>
      <c r="B313" s="3625"/>
      <c r="C313" s="3626" t="s">
        <v>4460</v>
      </c>
      <c r="D313" s="3626">
        <v>37.49</v>
      </c>
      <c r="E313" s="3623">
        <f>典型户型修正!C335</f>
        <v>0.99</v>
      </c>
      <c r="F313" s="3623">
        <f ca="1">典型户型修正!R335</f>
        <v>5706</v>
      </c>
      <c r="G313" s="3623">
        <f ca="1">典型户型修正!S335</f>
        <v>21</v>
      </c>
    </row>
    <row r="314" spans="1:7">
      <c r="A314" s="3625" t="s">
        <v>5070</v>
      </c>
      <c r="B314" s="3625"/>
      <c r="C314" s="3626" t="s">
        <v>4461</v>
      </c>
      <c r="D314" s="3626">
        <v>37.49</v>
      </c>
      <c r="E314" s="3623">
        <f>典型户型修正!C336</f>
        <v>0.99</v>
      </c>
      <c r="F314" s="3623">
        <f ca="1">典型户型修正!R336</f>
        <v>5706</v>
      </c>
      <c r="G314" s="3623">
        <f ca="1">典型户型修正!S336</f>
        <v>21</v>
      </c>
    </row>
    <row r="315" spans="1:7">
      <c r="A315" s="3625" t="s">
        <v>5070</v>
      </c>
      <c r="B315" s="3625"/>
      <c r="C315" s="3626" t="s">
        <v>4462</v>
      </c>
      <c r="D315" s="3626">
        <v>37.49</v>
      </c>
      <c r="E315" s="3623">
        <f>典型户型修正!C337</f>
        <v>0.99</v>
      </c>
      <c r="F315" s="3623">
        <f ca="1">典型户型修正!R337</f>
        <v>5706</v>
      </c>
      <c r="G315" s="3623">
        <f ca="1">典型户型修正!S337</f>
        <v>21</v>
      </c>
    </row>
    <row r="316" spans="1:7">
      <c r="A316" s="3625" t="s">
        <v>5070</v>
      </c>
      <c r="B316" s="3625"/>
      <c r="C316" s="3626" t="s">
        <v>4463</v>
      </c>
      <c r="D316" s="3626">
        <v>37.49</v>
      </c>
      <c r="E316" s="3623">
        <f>典型户型修正!C338</f>
        <v>0.99</v>
      </c>
      <c r="F316" s="3623">
        <f ca="1">典型户型修正!R338</f>
        <v>5706</v>
      </c>
      <c r="G316" s="3623">
        <f ca="1">典型户型修正!S338</f>
        <v>21</v>
      </c>
    </row>
    <row r="317" spans="1:7">
      <c r="A317" s="3625" t="s">
        <v>5070</v>
      </c>
      <c r="B317" s="3625"/>
      <c r="C317" s="3626" t="s">
        <v>4464</v>
      </c>
      <c r="D317" s="3626">
        <v>37.49</v>
      </c>
      <c r="E317" s="3623">
        <f>典型户型修正!C339</f>
        <v>0.99</v>
      </c>
      <c r="F317" s="3623">
        <f ca="1">典型户型修正!R339</f>
        <v>5706</v>
      </c>
      <c r="G317" s="3623">
        <f ca="1">典型户型修正!S339</f>
        <v>21</v>
      </c>
    </row>
    <row r="318" spans="1:7">
      <c r="A318" s="3625" t="s">
        <v>5070</v>
      </c>
      <c r="B318" s="3625"/>
      <c r="C318" s="3626" t="s">
        <v>4465</v>
      </c>
      <c r="D318" s="3626">
        <v>37.49</v>
      </c>
      <c r="E318" s="3623">
        <f>典型户型修正!C340</f>
        <v>0.99</v>
      </c>
      <c r="F318" s="3623">
        <f ca="1">典型户型修正!R340</f>
        <v>5706</v>
      </c>
      <c r="G318" s="3623">
        <f ca="1">典型户型修正!S340</f>
        <v>21</v>
      </c>
    </row>
    <row r="319" spans="1:7">
      <c r="A319" s="3625" t="s">
        <v>5070</v>
      </c>
      <c r="B319" s="3625"/>
      <c r="C319" s="3626" t="s">
        <v>4466</v>
      </c>
      <c r="D319" s="3626">
        <v>37.49</v>
      </c>
      <c r="E319" s="3623">
        <f>典型户型修正!C341</f>
        <v>0.99</v>
      </c>
      <c r="F319" s="3623">
        <f ca="1">典型户型修正!R341</f>
        <v>5706</v>
      </c>
      <c r="G319" s="3623">
        <f ca="1">典型户型修正!S341</f>
        <v>21</v>
      </c>
    </row>
    <row r="320" spans="1:7">
      <c r="A320" s="3625" t="s">
        <v>5070</v>
      </c>
      <c r="B320" s="3625"/>
      <c r="C320" s="3626" t="s">
        <v>4467</v>
      </c>
      <c r="D320" s="3626">
        <v>37.49</v>
      </c>
      <c r="E320" s="3623">
        <f>典型户型修正!C342</f>
        <v>0.99</v>
      </c>
      <c r="F320" s="3623">
        <f ca="1">典型户型修正!R342</f>
        <v>5706</v>
      </c>
      <c r="G320" s="3623">
        <f ca="1">典型户型修正!S342</f>
        <v>21</v>
      </c>
    </row>
    <row r="321" spans="1:7">
      <c r="A321" s="3625" t="s">
        <v>5070</v>
      </c>
      <c r="B321" s="3625"/>
      <c r="C321" s="3626" t="s">
        <v>4468</v>
      </c>
      <c r="D321" s="3626">
        <v>37.49</v>
      </c>
      <c r="E321" s="3623">
        <f>典型户型修正!C343</f>
        <v>0.99</v>
      </c>
      <c r="F321" s="3623">
        <f ca="1">典型户型修正!R343</f>
        <v>5706</v>
      </c>
      <c r="G321" s="3623">
        <f ca="1">典型户型修正!S343</f>
        <v>21</v>
      </c>
    </row>
    <row r="322" spans="1:7">
      <c r="A322" s="3625" t="s">
        <v>5070</v>
      </c>
      <c r="B322" s="3625"/>
      <c r="C322" s="3626" t="s">
        <v>4469</v>
      </c>
      <c r="D322" s="3626">
        <v>37.49</v>
      </c>
      <c r="E322" s="3623">
        <f>典型户型修正!C344</f>
        <v>0.99</v>
      </c>
      <c r="F322" s="3623">
        <f ca="1">典型户型修正!R344</f>
        <v>5706</v>
      </c>
      <c r="G322" s="3623">
        <f ca="1">典型户型修正!S344</f>
        <v>21</v>
      </c>
    </row>
    <row r="323" spans="1:7">
      <c r="A323" s="3625" t="s">
        <v>5070</v>
      </c>
      <c r="B323" s="3625"/>
      <c r="C323" s="3626" t="s">
        <v>4470</v>
      </c>
      <c r="D323" s="3626">
        <v>37.49</v>
      </c>
      <c r="E323" s="3623">
        <f>典型户型修正!C345</f>
        <v>0.99</v>
      </c>
      <c r="F323" s="3623">
        <f ca="1">典型户型修正!R345</f>
        <v>5706</v>
      </c>
      <c r="G323" s="3623">
        <f ca="1">典型户型修正!S345</f>
        <v>21</v>
      </c>
    </row>
    <row r="324" spans="1:7">
      <c r="A324" s="3625" t="s">
        <v>5070</v>
      </c>
      <c r="B324" s="3625"/>
      <c r="C324" s="3626" t="s">
        <v>4471</v>
      </c>
      <c r="D324" s="3626">
        <v>37.49</v>
      </c>
      <c r="E324" s="3623">
        <f>典型户型修正!C346</f>
        <v>0.99</v>
      </c>
      <c r="F324" s="3623">
        <f ca="1">典型户型修正!R346</f>
        <v>5706</v>
      </c>
      <c r="G324" s="3623">
        <f ca="1">典型户型修正!S346</f>
        <v>21</v>
      </c>
    </row>
    <row r="325" spans="1:7">
      <c r="A325" s="3625" t="s">
        <v>5070</v>
      </c>
      <c r="B325" s="3625"/>
      <c r="C325" s="3626" t="s">
        <v>4472</v>
      </c>
      <c r="D325" s="3626">
        <v>37.49</v>
      </c>
      <c r="E325" s="3623">
        <f>典型户型修正!C347</f>
        <v>0.99</v>
      </c>
      <c r="F325" s="3623">
        <f ca="1">典型户型修正!R347</f>
        <v>5706</v>
      </c>
      <c r="G325" s="3623">
        <f ca="1">典型户型修正!S347</f>
        <v>21</v>
      </c>
    </row>
    <row r="326" spans="1:7">
      <c r="A326" s="3625" t="s">
        <v>5070</v>
      </c>
      <c r="B326" s="3625"/>
      <c r="C326" s="3626" t="s">
        <v>4473</v>
      </c>
      <c r="D326" s="3626">
        <v>37.49</v>
      </c>
      <c r="E326" s="3623">
        <f>典型户型修正!C348</f>
        <v>0.99</v>
      </c>
      <c r="F326" s="3623">
        <f ca="1">典型户型修正!R348</f>
        <v>5706</v>
      </c>
      <c r="G326" s="3623">
        <f ca="1">典型户型修正!S348</f>
        <v>21</v>
      </c>
    </row>
    <row r="327" spans="1:7">
      <c r="A327" s="3625" t="s">
        <v>5070</v>
      </c>
      <c r="B327" s="3625"/>
      <c r="C327" s="3626" t="s">
        <v>4474</v>
      </c>
      <c r="D327" s="3626">
        <v>37.49</v>
      </c>
      <c r="E327" s="3623">
        <f>典型户型修正!C349</f>
        <v>0.99</v>
      </c>
      <c r="F327" s="3623">
        <f ca="1">典型户型修正!R349</f>
        <v>5706</v>
      </c>
      <c r="G327" s="3623">
        <f ca="1">典型户型修正!S349</f>
        <v>21</v>
      </c>
    </row>
    <row r="328" spans="1:7">
      <c r="A328" s="3625" t="s">
        <v>5070</v>
      </c>
      <c r="B328" s="3625"/>
      <c r="C328" s="3626" t="s">
        <v>4475</v>
      </c>
      <c r="D328" s="3626">
        <v>37.49</v>
      </c>
      <c r="E328" s="3623">
        <f>典型户型修正!C350</f>
        <v>0.99</v>
      </c>
      <c r="F328" s="3623">
        <f ca="1">典型户型修正!R350</f>
        <v>5706</v>
      </c>
      <c r="G328" s="3623">
        <f ca="1">典型户型修正!S350</f>
        <v>21</v>
      </c>
    </row>
    <row r="329" spans="1:7">
      <c r="A329" s="3625" t="s">
        <v>5070</v>
      </c>
      <c r="B329" s="3625"/>
      <c r="C329" s="3626" t="s">
        <v>4476</v>
      </c>
      <c r="D329" s="3626">
        <v>37.49</v>
      </c>
      <c r="E329" s="3623">
        <f>典型户型修正!C351</f>
        <v>0.99</v>
      </c>
      <c r="F329" s="3623">
        <f ca="1">典型户型修正!R351</f>
        <v>5706</v>
      </c>
      <c r="G329" s="3623">
        <f ca="1">典型户型修正!S351</f>
        <v>21</v>
      </c>
    </row>
    <row r="330" spans="1:7">
      <c r="A330" s="3625" t="s">
        <v>5070</v>
      </c>
      <c r="B330" s="3625"/>
      <c r="C330" s="3626" t="s">
        <v>4477</v>
      </c>
      <c r="D330" s="3626">
        <v>37.49</v>
      </c>
      <c r="E330" s="3623">
        <f>典型户型修正!C352</f>
        <v>0.99</v>
      </c>
      <c r="F330" s="3623">
        <f ca="1">典型户型修正!R352</f>
        <v>5706</v>
      </c>
      <c r="G330" s="3623">
        <f ca="1">典型户型修正!S352</f>
        <v>21</v>
      </c>
    </row>
    <row r="331" spans="1:7">
      <c r="A331" s="3625" t="s">
        <v>5070</v>
      </c>
      <c r="B331" s="3625"/>
      <c r="C331" s="3626" t="s">
        <v>4478</v>
      </c>
      <c r="D331" s="3626">
        <v>37.49</v>
      </c>
      <c r="E331" s="3623">
        <f>典型户型修正!C353</f>
        <v>0.99</v>
      </c>
      <c r="F331" s="3623">
        <f ca="1">典型户型修正!R353</f>
        <v>5706</v>
      </c>
      <c r="G331" s="3623">
        <f ca="1">典型户型修正!S353</f>
        <v>21</v>
      </c>
    </row>
    <row r="332" spans="1:7">
      <c r="A332" s="3625" t="s">
        <v>5070</v>
      </c>
      <c r="B332" s="3625"/>
      <c r="C332" s="3626" t="s">
        <v>4479</v>
      </c>
      <c r="D332" s="3626">
        <v>37.49</v>
      </c>
      <c r="E332" s="3623">
        <f>典型户型修正!C354</f>
        <v>0.99</v>
      </c>
      <c r="F332" s="3623">
        <f ca="1">典型户型修正!R354</f>
        <v>5706</v>
      </c>
      <c r="G332" s="3623">
        <f ca="1">典型户型修正!S354</f>
        <v>21</v>
      </c>
    </row>
    <row r="333" spans="1:7">
      <c r="A333" s="3625" t="s">
        <v>5070</v>
      </c>
      <c r="B333" s="3625"/>
      <c r="C333" s="3626" t="s">
        <v>4480</v>
      </c>
      <c r="D333" s="3626">
        <v>37.49</v>
      </c>
      <c r="E333" s="3623">
        <f>典型户型修正!C355</f>
        <v>0.99</v>
      </c>
      <c r="F333" s="3623">
        <f ca="1">典型户型修正!R355</f>
        <v>5706</v>
      </c>
      <c r="G333" s="3623">
        <f ca="1">典型户型修正!S355</f>
        <v>21</v>
      </c>
    </row>
    <row r="334" spans="1:7">
      <c r="A334" s="3625" t="s">
        <v>5070</v>
      </c>
      <c r="B334" s="3625"/>
      <c r="C334" s="3626" t="s">
        <v>4481</v>
      </c>
      <c r="D334" s="3626">
        <v>35.99</v>
      </c>
      <c r="E334" s="3623">
        <f>典型户型修正!C356</f>
        <v>0.99</v>
      </c>
      <c r="F334" s="3623">
        <f ca="1">典型户型修正!R356</f>
        <v>5706</v>
      </c>
      <c r="G334" s="3623">
        <f ca="1">典型户型修正!S356</f>
        <v>21</v>
      </c>
    </row>
    <row r="335" spans="1:7">
      <c r="A335" s="3625" t="s">
        <v>5070</v>
      </c>
      <c r="B335" s="3625"/>
      <c r="C335" s="3626" t="s">
        <v>4482</v>
      </c>
      <c r="D335" s="3626">
        <v>35.99</v>
      </c>
      <c r="E335" s="3623">
        <f>典型户型修正!C357</f>
        <v>0.99</v>
      </c>
      <c r="F335" s="3623">
        <f ca="1">典型户型修正!R357</f>
        <v>5706</v>
      </c>
      <c r="G335" s="3623">
        <f ca="1">典型户型修正!S357</f>
        <v>21</v>
      </c>
    </row>
    <row r="336" spans="1:7">
      <c r="A336" s="3625" t="s">
        <v>5070</v>
      </c>
      <c r="B336" s="3625"/>
      <c r="C336" s="3626" t="s">
        <v>4483</v>
      </c>
      <c r="D336" s="3626">
        <v>35.99</v>
      </c>
      <c r="E336" s="3623">
        <f>典型户型修正!C358</f>
        <v>0.99</v>
      </c>
      <c r="F336" s="3623">
        <f ca="1">典型户型修正!R358</f>
        <v>5706</v>
      </c>
      <c r="G336" s="3623">
        <f ca="1">典型户型修正!S358</f>
        <v>21</v>
      </c>
    </row>
    <row r="337" spans="1:7">
      <c r="A337" s="3625" t="s">
        <v>5070</v>
      </c>
      <c r="B337" s="3625"/>
      <c r="C337" s="3626" t="s">
        <v>4484</v>
      </c>
      <c r="D337" s="3626">
        <v>35.99</v>
      </c>
      <c r="E337" s="3623">
        <f>典型户型修正!C359</f>
        <v>0.99</v>
      </c>
      <c r="F337" s="3623">
        <f ca="1">典型户型修正!R359</f>
        <v>5706</v>
      </c>
      <c r="G337" s="3623">
        <f ca="1">典型户型修正!S359</f>
        <v>21</v>
      </c>
    </row>
    <row r="338" spans="1:7">
      <c r="A338" s="3625" t="s">
        <v>5070</v>
      </c>
      <c r="B338" s="3625"/>
      <c r="C338" s="3626" t="s">
        <v>4485</v>
      </c>
      <c r="D338" s="3626">
        <v>35.99</v>
      </c>
      <c r="E338" s="3623">
        <f>典型户型修正!C360</f>
        <v>0.99</v>
      </c>
      <c r="F338" s="3623">
        <f ca="1">典型户型修正!R360</f>
        <v>5706</v>
      </c>
      <c r="G338" s="3623">
        <f ca="1">典型户型修正!S360</f>
        <v>21</v>
      </c>
    </row>
    <row r="339" spans="1:7">
      <c r="A339" s="3625" t="s">
        <v>5070</v>
      </c>
      <c r="B339" s="3625"/>
      <c r="C339" s="3626" t="s">
        <v>4486</v>
      </c>
      <c r="D339" s="3626">
        <v>35.99</v>
      </c>
      <c r="E339" s="3623">
        <f>典型户型修正!C361</f>
        <v>0.99</v>
      </c>
      <c r="F339" s="3623">
        <f ca="1">典型户型修正!R361</f>
        <v>5706</v>
      </c>
      <c r="G339" s="3623">
        <f ca="1">典型户型修正!S361</f>
        <v>21</v>
      </c>
    </row>
    <row r="340" spans="1:7">
      <c r="A340" s="3625" t="s">
        <v>5070</v>
      </c>
      <c r="B340" s="3625"/>
      <c r="C340" s="3626" t="s">
        <v>4487</v>
      </c>
      <c r="D340" s="3626">
        <v>35.99</v>
      </c>
      <c r="E340" s="3623">
        <f>典型户型修正!C362</f>
        <v>0.99</v>
      </c>
      <c r="F340" s="3623">
        <f ca="1">典型户型修正!R362</f>
        <v>5706</v>
      </c>
      <c r="G340" s="3623">
        <f ca="1">典型户型修正!S362</f>
        <v>21</v>
      </c>
    </row>
    <row r="341" spans="1:7">
      <c r="A341" s="3625" t="s">
        <v>5070</v>
      </c>
      <c r="B341" s="3625"/>
      <c r="C341" s="3626" t="s">
        <v>4488</v>
      </c>
      <c r="D341" s="3626">
        <v>35.99</v>
      </c>
      <c r="E341" s="3623">
        <f>典型户型修正!C363</f>
        <v>0.99</v>
      </c>
      <c r="F341" s="3623">
        <f ca="1">典型户型修正!R363</f>
        <v>5706</v>
      </c>
      <c r="G341" s="3623">
        <f ca="1">典型户型修正!S363</f>
        <v>21</v>
      </c>
    </row>
    <row r="342" spans="1:7">
      <c r="A342" s="3625" t="s">
        <v>5070</v>
      </c>
      <c r="B342" s="3625"/>
      <c r="C342" s="3626" t="s">
        <v>4489</v>
      </c>
      <c r="D342" s="3626">
        <v>35.99</v>
      </c>
      <c r="E342" s="3623">
        <f>典型户型修正!C364</f>
        <v>0.99</v>
      </c>
      <c r="F342" s="3623">
        <f ca="1">典型户型修正!R364</f>
        <v>5706</v>
      </c>
      <c r="G342" s="3623">
        <f ca="1">典型户型修正!S364</f>
        <v>21</v>
      </c>
    </row>
    <row r="343" spans="1:7">
      <c r="A343" s="3625" t="s">
        <v>5070</v>
      </c>
      <c r="B343" s="3625"/>
      <c r="C343" s="3626" t="s">
        <v>4490</v>
      </c>
      <c r="D343" s="3626">
        <v>35.99</v>
      </c>
      <c r="E343" s="3623">
        <f>典型户型修正!C365</f>
        <v>0.99</v>
      </c>
      <c r="F343" s="3623">
        <f ca="1">典型户型修正!R365</f>
        <v>5706</v>
      </c>
      <c r="G343" s="3623">
        <f ca="1">典型户型修正!S365</f>
        <v>21</v>
      </c>
    </row>
    <row r="344" spans="1:7">
      <c r="A344" s="3625" t="s">
        <v>5070</v>
      </c>
      <c r="B344" s="3625"/>
      <c r="C344" s="3626" t="s">
        <v>4491</v>
      </c>
      <c r="D344" s="3626">
        <v>35.99</v>
      </c>
      <c r="E344" s="3623">
        <f>典型户型修正!C366</f>
        <v>0.99</v>
      </c>
      <c r="F344" s="3623">
        <f ca="1">典型户型修正!R366</f>
        <v>5706</v>
      </c>
      <c r="G344" s="3623">
        <f ca="1">典型户型修正!S366</f>
        <v>21</v>
      </c>
    </row>
    <row r="345" spans="1:7">
      <c r="A345" s="3625" t="s">
        <v>5070</v>
      </c>
      <c r="B345" s="3625"/>
      <c r="C345" s="3626" t="s">
        <v>4492</v>
      </c>
      <c r="D345" s="3626">
        <v>35.99</v>
      </c>
      <c r="E345" s="3623">
        <f>典型户型修正!C367</f>
        <v>0.99</v>
      </c>
      <c r="F345" s="3623">
        <f ca="1">典型户型修正!R367</f>
        <v>5706</v>
      </c>
      <c r="G345" s="3623">
        <f ca="1">典型户型修正!S367</f>
        <v>21</v>
      </c>
    </row>
    <row r="346" spans="1:7">
      <c r="A346" s="3625" t="s">
        <v>5070</v>
      </c>
      <c r="B346" s="3625"/>
      <c r="C346" s="3626" t="s">
        <v>4493</v>
      </c>
      <c r="D346" s="3626">
        <v>35.99</v>
      </c>
      <c r="E346" s="3623">
        <f>典型户型修正!C368</f>
        <v>0.99</v>
      </c>
      <c r="F346" s="3623">
        <f ca="1">典型户型修正!R368</f>
        <v>5706</v>
      </c>
      <c r="G346" s="3623">
        <f ca="1">典型户型修正!S368</f>
        <v>21</v>
      </c>
    </row>
    <row r="347" spans="1:7">
      <c r="A347" s="3625" t="s">
        <v>5070</v>
      </c>
      <c r="B347" s="3625"/>
      <c r="C347" s="3626" t="s">
        <v>4494</v>
      </c>
      <c r="D347" s="3626">
        <v>35.99</v>
      </c>
      <c r="E347" s="3623">
        <f>典型户型修正!C369</f>
        <v>0.99</v>
      </c>
      <c r="F347" s="3623">
        <f ca="1">典型户型修正!R369</f>
        <v>5706</v>
      </c>
      <c r="G347" s="3623">
        <f ca="1">典型户型修正!S369</f>
        <v>21</v>
      </c>
    </row>
    <row r="348" spans="1:7">
      <c r="A348" s="3625" t="s">
        <v>5070</v>
      </c>
      <c r="B348" s="3625"/>
      <c r="C348" s="3626" t="s">
        <v>4495</v>
      </c>
      <c r="D348" s="3626">
        <v>35.99</v>
      </c>
      <c r="E348" s="3623">
        <f>典型户型修正!C370</f>
        <v>0.99</v>
      </c>
      <c r="F348" s="3623">
        <f ca="1">典型户型修正!R370</f>
        <v>5706</v>
      </c>
      <c r="G348" s="3623">
        <f ca="1">典型户型修正!S370</f>
        <v>21</v>
      </c>
    </row>
    <row r="349" spans="1:7">
      <c r="A349" s="3625" t="s">
        <v>5070</v>
      </c>
      <c r="B349" s="3625"/>
      <c r="C349" s="3626" t="s">
        <v>4496</v>
      </c>
      <c r="D349" s="3626">
        <v>35.99</v>
      </c>
      <c r="E349" s="3623">
        <f>典型户型修正!C371</f>
        <v>0.99</v>
      </c>
      <c r="F349" s="3623">
        <f ca="1">典型户型修正!R371</f>
        <v>5706</v>
      </c>
      <c r="G349" s="3623">
        <f ca="1">典型户型修正!S371</f>
        <v>21</v>
      </c>
    </row>
    <row r="350" spans="1:7">
      <c r="A350" s="3625" t="s">
        <v>5070</v>
      </c>
      <c r="B350" s="3625"/>
      <c r="C350" s="3626" t="s">
        <v>4497</v>
      </c>
      <c r="D350" s="3626">
        <v>35.99</v>
      </c>
      <c r="E350" s="3623">
        <f>典型户型修正!C372</f>
        <v>0.99</v>
      </c>
      <c r="F350" s="3623">
        <f ca="1">典型户型修正!R372</f>
        <v>5706</v>
      </c>
      <c r="G350" s="3623">
        <f ca="1">典型户型修正!S372</f>
        <v>21</v>
      </c>
    </row>
    <row r="351" spans="1:7">
      <c r="A351" s="3625" t="s">
        <v>5070</v>
      </c>
      <c r="B351" s="3625"/>
      <c r="C351" s="3626" t="s">
        <v>4498</v>
      </c>
      <c r="D351" s="3626">
        <v>35.99</v>
      </c>
      <c r="E351" s="3623">
        <f>典型户型修正!C373</f>
        <v>0.99</v>
      </c>
      <c r="F351" s="3623">
        <f ca="1">典型户型修正!R373</f>
        <v>5706</v>
      </c>
      <c r="G351" s="3623">
        <f ca="1">典型户型修正!S373</f>
        <v>21</v>
      </c>
    </row>
    <row r="352" spans="1:7">
      <c r="A352" s="3625" t="s">
        <v>5070</v>
      </c>
      <c r="B352" s="3625"/>
      <c r="C352" s="3626" t="s">
        <v>4499</v>
      </c>
      <c r="D352" s="3626">
        <v>35.99</v>
      </c>
      <c r="E352" s="3623">
        <f>典型户型修正!C374</f>
        <v>0.99</v>
      </c>
      <c r="F352" s="3623">
        <f ca="1">典型户型修正!R374</f>
        <v>5706</v>
      </c>
      <c r="G352" s="3623">
        <f ca="1">典型户型修正!S374</f>
        <v>21</v>
      </c>
    </row>
    <row r="353" spans="1:7">
      <c r="A353" s="3625" t="s">
        <v>5070</v>
      </c>
      <c r="B353" s="3625"/>
      <c r="C353" s="3626" t="s">
        <v>4500</v>
      </c>
      <c r="D353" s="3626">
        <v>35.99</v>
      </c>
      <c r="E353" s="3623">
        <f>典型户型修正!C375</f>
        <v>0.99</v>
      </c>
      <c r="F353" s="3623">
        <f ca="1">典型户型修正!R375</f>
        <v>5706</v>
      </c>
      <c r="G353" s="3623">
        <f ca="1">典型户型修正!S375</f>
        <v>21</v>
      </c>
    </row>
    <row r="354" spans="1:7">
      <c r="A354" s="3625" t="s">
        <v>5070</v>
      </c>
      <c r="B354" s="3625"/>
      <c r="C354" s="3626" t="s">
        <v>4501</v>
      </c>
      <c r="D354" s="3626">
        <v>35.99</v>
      </c>
      <c r="E354" s="3623">
        <f>典型户型修正!C376</f>
        <v>0.99</v>
      </c>
      <c r="F354" s="3623">
        <f ca="1">典型户型修正!R376</f>
        <v>5706</v>
      </c>
      <c r="G354" s="3623">
        <f ca="1">典型户型修正!S376</f>
        <v>21</v>
      </c>
    </row>
    <row r="355" spans="1:7">
      <c r="A355" s="3625" t="s">
        <v>5070</v>
      </c>
      <c r="B355" s="3625"/>
      <c r="C355" s="3626" t="s">
        <v>4502</v>
      </c>
      <c r="D355" s="3626">
        <v>35.99</v>
      </c>
      <c r="E355" s="3623">
        <f>典型户型修正!C377</f>
        <v>0.99</v>
      </c>
      <c r="F355" s="3623">
        <f ca="1">典型户型修正!R377</f>
        <v>5706</v>
      </c>
      <c r="G355" s="3623">
        <f ca="1">典型户型修正!S377</f>
        <v>21</v>
      </c>
    </row>
    <row r="356" spans="1:7">
      <c r="A356" s="3625" t="s">
        <v>5070</v>
      </c>
      <c r="B356" s="3625"/>
      <c r="C356" s="3626" t="s">
        <v>4503</v>
      </c>
      <c r="D356" s="3626">
        <v>35.99</v>
      </c>
      <c r="E356" s="3623">
        <f>典型户型修正!C378</f>
        <v>0.99</v>
      </c>
      <c r="F356" s="3623">
        <f ca="1">典型户型修正!R378</f>
        <v>5706</v>
      </c>
      <c r="G356" s="3623">
        <f ca="1">典型户型修正!S378</f>
        <v>21</v>
      </c>
    </row>
    <row r="357" spans="1:7">
      <c r="A357" s="3625" t="s">
        <v>5070</v>
      </c>
      <c r="B357" s="3625"/>
      <c r="C357" s="3626" t="s">
        <v>4504</v>
      </c>
      <c r="D357" s="3626">
        <v>35.99</v>
      </c>
      <c r="E357" s="3623">
        <f>典型户型修正!C379</f>
        <v>0.99</v>
      </c>
      <c r="F357" s="3623">
        <f ca="1">典型户型修正!R379</f>
        <v>5706</v>
      </c>
      <c r="G357" s="3623">
        <f ca="1">典型户型修正!S379</f>
        <v>21</v>
      </c>
    </row>
    <row r="358" spans="1:7">
      <c r="A358" s="3625" t="s">
        <v>5070</v>
      </c>
      <c r="B358" s="3625"/>
      <c r="C358" s="3626" t="s">
        <v>4505</v>
      </c>
      <c r="D358" s="3626">
        <v>37.11</v>
      </c>
      <c r="E358" s="3623">
        <f>典型户型修正!C380</f>
        <v>0.99</v>
      </c>
      <c r="F358" s="3623">
        <f ca="1">典型户型修正!R380</f>
        <v>5706</v>
      </c>
      <c r="G358" s="3623">
        <f ca="1">典型户型修正!S380</f>
        <v>21</v>
      </c>
    </row>
    <row r="359" spans="1:7">
      <c r="A359" s="3625" t="s">
        <v>5070</v>
      </c>
      <c r="B359" s="3625"/>
      <c r="C359" s="3626" t="s">
        <v>4506</v>
      </c>
      <c r="D359" s="3626">
        <v>37.11</v>
      </c>
      <c r="E359" s="3623">
        <f>典型户型修正!C381</f>
        <v>0.99</v>
      </c>
      <c r="F359" s="3623">
        <f ca="1">典型户型修正!R381</f>
        <v>5706</v>
      </c>
      <c r="G359" s="3623">
        <f ca="1">典型户型修正!S381</f>
        <v>21</v>
      </c>
    </row>
    <row r="360" spans="1:7">
      <c r="A360" s="3625" t="s">
        <v>5070</v>
      </c>
      <c r="B360" s="3625"/>
      <c r="C360" s="3626" t="s">
        <v>4507</v>
      </c>
      <c r="D360" s="3626">
        <v>37.11</v>
      </c>
      <c r="E360" s="3623">
        <f>典型户型修正!C382</f>
        <v>0.99</v>
      </c>
      <c r="F360" s="3623">
        <f ca="1">典型户型修正!R382</f>
        <v>5706</v>
      </c>
      <c r="G360" s="3623">
        <f ca="1">典型户型修正!S382</f>
        <v>21</v>
      </c>
    </row>
    <row r="361" spans="1:7">
      <c r="A361" s="3625" t="s">
        <v>5070</v>
      </c>
      <c r="B361" s="3625"/>
      <c r="C361" s="3626" t="s">
        <v>4508</v>
      </c>
      <c r="D361" s="3626">
        <v>37.11</v>
      </c>
      <c r="E361" s="3623">
        <f>典型户型修正!C383</f>
        <v>0.99</v>
      </c>
      <c r="F361" s="3623">
        <f ca="1">典型户型修正!R383</f>
        <v>5706</v>
      </c>
      <c r="G361" s="3623">
        <f ca="1">典型户型修正!S383</f>
        <v>21</v>
      </c>
    </row>
    <row r="362" spans="1:7">
      <c r="A362" s="3625" t="s">
        <v>5070</v>
      </c>
      <c r="B362" s="3625"/>
      <c r="C362" s="3626" t="s">
        <v>4509</v>
      </c>
      <c r="D362" s="3626">
        <v>37.11</v>
      </c>
      <c r="E362" s="3623">
        <f>典型户型修正!C384</f>
        <v>0.99</v>
      </c>
      <c r="F362" s="3623">
        <f ca="1">典型户型修正!R384</f>
        <v>5706</v>
      </c>
      <c r="G362" s="3623">
        <f ca="1">典型户型修正!S384</f>
        <v>21</v>
      </c>
    </row>
    <row r="363" spans="1:7">
      <c r="A363" s="3625" t="s">
        <v>5070</v>
      </c>
      <c r="B363" s="3625"/>
      <c r="C363" s="3626" t="s">
        <v>4510</v>
      </c>
      <c r="D363" s="3626">
        <v>37.11</v>
      </c>
      <c r="E363" s="3623">
        <f>典型户型修正!C385</f>
        <v>0.99</v>
      </c>
      <c r="F363" s="3623">
        <f ca="1">典型户型修正!R385</f>
        <v>5706</v>
      </c>
      <c r="G363" s="3623">
        <f ca="1">典型户型修正!S385</f>
        <v>21</v>
      </c>
    </row>
    <row r="364" spans="1:7">
      <c r="A364" s="3625" t="s">
        <v>5070</v>
      </c>
      <c r="B364" s="3625"/>
      <c r="C364" s="3626" t="s">
        <v>4511</v>
      </c>
      <c r="D364" s="3626">
        <v>37.11</v>
      </c>
      <c r="E364" s="3623">
        <f>典型户型修正!C386</f>
        <v>0.99</v>
      </c>
      <c r="F364" s="3623">
        <f ca="1">典型户型修正!R386</f>
        <v>5706</v>
      </c>
      <c r="G364" s="3623">
        <f ca="1">典型户型修正!S386</f>
        <v>21</v>
      </c>
    </row>
    <row r="365" spans="1:7">
      <c r="A365" s="3625" t="s">
        <v>5070</v>
      </c>
      <c r="B365" s="3625"/>
      <c r="C365" s="3626" t="s">
        <v>4512</v>
      </c>
      <c r="D365" s="3626">
        <v>37.11</v>
      </c>
      <c r="E365" s="3623">
        <f>典型户型修正!C387</f>
        <v>0.99</v>
      </c>
      <c r="F365" s="3623">
        <f ca="1">典型户型修正!R387</f>
        <v>5706</v>
      </c>
      <c r="G365" s="3623">
        <f ca="1">典型户型修正!S387</f>
        <v>21</v>
      </c>
    </row>
    <row r="366" spans="1:7">
      <c r="A366" s="3625" t="s">
        <v>5070</v>
      </c>
      <c r="B366" s="3625"/>
      <c r="C366" s="3626" t="s">
        <v>4513</v>
      </c>
      <c r="D366" s="3626">
        <v>37.11</v>
      </c>
      <c r="E366" s="3623">
        <f>典型户型修正!C388</f>
        <v>0.99</v>
      </c>
      <c r="F366" s="3623">
        <f ca="1">典型户型修正!R388</f>
        <v>5706</v>
      </c>
      <c r="G366" s="3623">
        <f ca="1">典型户型修正!S388</f>
        <v>21</v>
      </c>
    </row>
    <row r="367" spans="1:7">
      <c r="A367" s="3625" t="s">
        <v>5070</v>
      </c>
      <c r="B367" s="3625"/>
      <c r="C367" s="3626" t="s">
        <v>4514</v>
      </c>
      <c r="D367" s="3626">
        <v>37.11</v>
      </c>
      <c r="E367" s="3623">
        <f>典型户型修正!C389</f>
        <v>0.99</v>
      </c>
      <c r="F367" s="3623">
        <f ca="1">典型户型修正!R389</f>
        <v>5706</v>
      </c>
      <c r="G367" s="3623">
        <f ca="1">典型户型修正!S389</f>
        <v>21</v>
      </c>
    </row>
    <row r="368" spans="1:7">
      <c r="A368" s="3625" t="s">
        <v>5070</v>
      </c>
      <c r="B368" s="3625"/>
      <c r="C368" s="3626" t="s">
        <v>4515</v>
      </c>
      <c r="D368" s="3626">
        <v>37.11</v>
      </c>
      <c r="E368" s="3623">
        <f>典型户型修正!C390</f>
        <v>0.99</v>
      </c>
      <c r="F368" s="3623">
        <f ca="1">典型户型修正!R390</f>
        <v>5706</v>
      </c>
      <c r="G368" s="3623">
        <f ca="1">典型户型修正!S390</f>
        <v>21</v>
      </c>
    </row>
    <row r="369" spans="1:7">
      <c r="A369" s="3625" t="s">
        <v>5070</v>
      </c>
      <c r="B369" s="3625"/>
      <c r="C369" s="3626" t="s">
        <v>4516</v>
      </c>
      <c r="D369" s="3626">
        <v>37.11</v>
      </c>
      <c r="E369" s="3623">
        <f>典型户型修正!C391</f>
        <v>0.99</v>
      </c>
      <c r="F369" s="3623">
        <f ca="1">典型户型修正!R391</f>
        <v>5706</v>
      </c>
      <c r="G369" s="3623">
        <f ca="1">典型户型修正!S391</f>
        <v>21</v>
      </c>
    </row>
    <row r="370" spans="1:7">
      <c r="A370" s="3625" t="s">
        <v>5070</v>
      </c>
      <c r="B370" s="3625"/>
      <c r="C370" s="3626" t="s">
        <v>4517</v>
      </c>
      <c r="D370" s="3626">
        <v>37.11</v>
      </c>
      <c r="E370" s="3623">
        <f>典型户型修正!C392</f>
        <v>0.99</v>
      </c>
      <c r="F370" s="3623">
        <f ca="1">典型户型修正!R392</f>
        <v>5706</v>
      </c>
      <c r="G370" s="3623">
        <f ca="1">典型户型修正!S392</f>
        <v>21</v>
      </c>
    </row>
    <row r="371" spans="1:7">
      <c r="A371" s="3625" t="s">
        <v>5070</v>
      </c>
      <c r="B371" s="3625"/>
      <c r="C371" s="3626" t="s">
        <v>4518</v>
      </c>
      <c r="D371" s="3626">
        <v>37.11</v>
      </c>
      <c r="E371" s="3623">
        <f>典型户型修正!C393</f>
        <v>0.99</v>
      </c>
      <c r="F371" s="3623">
        <f ca="1">典型户型修正!R393</f>
        <v>5706</v>
      </c>
      <c r="G371" s="3623">
        <f ca="1">典型户型修正!S393</f>
        <v>21</v>
      </c>
    </row>
    <row r="372" spans="1:7">
      <c r="A372" s="3625" t="s">
        <v>5070</v>
      </c>
      <c r="B372" s="3625"/>
      <c r="C372" s="3626" t="s">
        <v>4519</v>
      </c>
      <c r="D372" s="3626">
        <v>37.11</v>
      </c>
      <c r="E372" s="3623">
        <f>典型户型修正!C394</f>
        <v>0.99</v>
      </c>
      <c r="F372" s="3623">
        <f ca="1">典型户型修正!R394</f>
        <v>5706</v>
      </c>
      <c r="G372" s="3623">
        <f ca="1">典型户型修正!S394</f>
        <v>21</v>
      </c>
    </row>
    <row r="373" spans="1:7">
      <c r="A373" s="3625" t="s">
        <v>5070</v>
      </c>
      <c r="B373" s="3625"/>
      <c r="C373" s="3626" t="s">
        <v>4520</v>
      </c>
      <c r="D373" s="3626">
        <v>37.11</v>
      </c>
      <c r="E373" s="3623">
        <f>典型户型修正!C395</f>
        <v>0.99</v>
      </c>
      <c r="F373" s="3623">
        <f ca="1">典型户型修正!R395</f>
        <v>5706</v>
      </c>
      <c r="G373" s="3623">
        <f ca="1">典型户型修正!S395</f>
        <v>21</v>
      </c>
    </row>
    <row r="374" spans="1:7">
      <c r="A374" s="3625" t="s">
        <v>5070</v>
      </c>
      <c r="B374" s="3625"/>
      <c r="C374" s="3626" t="s">
        <v>4521</v>
      </c>
      <c r="D374" s="3626">
        <v>35.96</v>
      </c>
      <c r="E374" s="3623">
        <f>典型户型修正!C396</f>
        <v>0.99</v>
      </c>
      <c r="F374" s="3623">
        <f ca="1">典型户型修正!R396</f>
        <v>5706</v>
      </c>
      <c r="G374" s="3623">
        <f ca="1">典型户型修正!S396</f>
        <v>21</v>
      </c>
    </row>
    <row r="375" spans="1:7">
      <c r="A375" s="3625" t="s">
        <v>5070</v>
      </c>
      <c r="B375" s="3625"/>
      <c r="C375" s="3626" t="s">
        <v>4522</v>
      </c>
      <c r="D375" s="3626">
        <v>35.96</v>
      </c>
      <c r="E375" s="3623">
        <f>典型户型修正!C397</f>
        <v>0.99</v>
      </c>
      <c r="F375" s="3623">
        <f ca="1">典型户型修正!R397</f>
        <v>5706</v>
      </c>
      <c r="G375" s="3623">
        <f ca="1">典型户型修正!S397</f>
        <v>21</v>
      </c>
    </row>
    <row r="376" spans="1:7">
      <c r="A376" s="3625" t="s">
        <v>5070</v>
      </c>
      <c r="B376" s="3625"/>
      <c r="C376" s="3626" t="s">
        <v>4523</v>
      </c>
      <c r="D376" s="3626">
        <v>31.27</v>
      </c>
      <c r="E376" s="3623">
        <f>典型户型修正!C398</f>
        <v>1</v>
      </c>
      <c r="F376" s="3623">
        <f ca="1">典型户型修正!R398</f>
        <v>5764</v>
      </c>
      <c r="G376" s="3623">
        <f ca="1">典型户型修正!S398</f>
        <v>18</v>
      </c>
    </row>
    <row r="377" spans="1:7">
      <c r="A377" s="3625" t="s">
        <v>5070</v>
      </c>
      <c r="B377" s="3625"/>
      <c r="C377" s="3626" t="s">
        <v>4524</v>
      </c>
      <c r="D377" s="3626">
        <v>39.090000000000003</v>
      </c>
      <c r="E377" s="3623">
        <f>典型户型修正!C399</f>
        <v>0.99</v>
      </c>
      <c r="F377" s="3623">
        <f ca="1">典型户型修正!R399</f>
        <v>5706</v>
      </c>
      <c r="G377" s="3623">
        <f ca="1">典型户型修正!S399</f>
        <v>22</v>
      </c>
    </row>
    <row r="378" spans="1:7">
      <c r="A378" s="3625" t="s">
        <v>5070</v>
      </c>
      <c r="B378" s="3625"/>
      <c r="C378" s="3626" t="s">
        <v>4525</v>
      </c>
      <c r="D378" s="3626">
        <v>35.96</v>
      </c>
      <c r="E378" s="3623">
        <f>典型户型修正!C400</f>
        <v>0.99</v>
      </c>
      <c r="F378" s="3623">
        <f ca="1">典型户型修正!R400</f>
        <v>5706</v>
      </c>
      <c r="G378" s="3623">
        <f ca="1">典型户型修正!S400</f>
        <v>21</v>
      </c>
    </row>
    <row r="379" spans="1:7">
      <c r="A379" s="3625" t="s">
        <v>5070</v>
      </c>
      <c r="B379" s="3625"/>
      <c r="C379" s="3626" t="s">
        <v>4526</v>
      </c>
      <c r="D379" s="3626">
        <v>35.96</v>
      </c>
      <c r="E379" s="3623">
        <f>典型户型修正!C401</f>
        <v>0.99</v>
      </c>
      <c r="F379" s="3623">
        <f ca="1">典型户型修正!R401</f>
        <v>5706</v>
      </c>
      <c r="G379" s="3623">
        <f ca="1">典型户型修正!S401</f>
        <v>21</v>
      </c>
    </row>
    <row r="380" spans="1:7">
      <c r="A380" s="3625" t="s">
        <v>5070</v>
      </c>
      <c r="B380" s="3625"/>
      <c r="C380" s="3626" t="s">
        <v>4527</v>
      </c>
      <c r="D380" s="3626">
        <v>37.11</v>
      </c>
      <c r="E380" s="3623">
        <f>典型户型修正!C402</f>
        <v>0.99</v>
      </c>
      <c r="F380" s="3623">
        <f ca="1">典型户型修正!R402</f>
        <v>5706</v>
      </c>
      <c r="G380" s="3623">
        <f ca="1">典型户型修正!S402</f>
        <v>21</v>
      </c>
    </row>
    <row r="381" spans="1:7">
      <c r="A381" s="3625" t="s">
        <v>5070</v>
      </c>
      <c r="B381" s="3625"/>
      <c r="C381" s="3626" t="s">
        <v>4528</v>
      </c>
      <c r="D381" s="3626">
        <v>36.340000000000003</v>
      </c>
      <c r="E381" s="3623">
        <f>典型户型修正!C403</f>
        <v>0.99</v>
      </c>
      <c r="F381" s="3623">
        <f ca="1">典型户型修正!R403</f>
        <v>5706</v>
      </c>
      <c r="G381" s="3623">
        <f ca="1">典型户型修正!S403</f>
        <v>21</v>
      </c>
    </row>
    <row r="382" spans="1:7">
      <c r="A382" s="3625" t="s">
        <v>5070</v>
      </c>
      <c r="B382" s="3625"/>
      <c r="C382" s="3626" t="s">
        <v>4529</v>
      </c>
      <c r="D382" s="3626">
        <v>36.340000000000003</v>
      </c>
      <c r="E382" s="3623">
        <f>典型户型修正!C404</f>
        <v>0.99</v>
      </c>
      <c r="F382" s="3623">
        <f ca="1">典型户型修正!R404</f>
        <v>5706</v>
      </c>
      <c r="G382" s="3623">
        <f ca="1">典型户型修正!S404</f>
        <v>21</v>
      </c>
    </row>
    <row r="383" spans="1:7">
      <c r="A383" s="3625" t="s">
        <v>5070</v>
      </c>
      <c r="B383" s="3625"/>
      <c r="C383" s="3626" t="s">
        <v>4530</v>
      </c>
      <c r="D383" s="3626">
        <v>36.340000000000003</v>
      </c>
      <c r="E383" s="3623">
        <f>典型户型修正!C405</f>
        <v>0.99</v>
      </c>
      <c r="F383" s="3623">
        <f ca="1">典型户型修正!R405</f>
        <v>5706</v>
      </c>
      <c r="G383" s="3623">
        <f ca="1">典型户型修正!S405</f>
        <v>21</v>
      </c>
    </row>
    <row r="384" spans="1:7">
      <c r="A384" s="3625" t="s">
        <v>5070</v>
      </c>
      <c r="B384" s="3625"/>
      <c r="C384" s="3626" t="s">
        <v>4531</v>
      </c>
      <c r="D384" s="3626">
        <v>36.340000000000003</v>
      </c>
      <c r="E384" s="3623">
        <f>典型户型修正!C406</f>
        <v>0.99</v>
      </c>
      <c r="F384" s="3623">
        <f ca="1">典型户型修正!R406</f>
        <v>5706</v>
      </c>
      <c r="G384" s="3623">
        <f ca="1">典型户型修正!S406</f>
        <v>21</v>
      </c>
    </row>
    <row r="385" spans="1:7">
      <c r="A385" s="3625" t="s">
        <v>5070</v>
      </c>
      <c r="B385" s="3625"/>
      <c r="C385" s="3626" t="s">
        <v>4532</v>
      </c>
      <c r="D385" s="3626">
        <v>36.340000000000003</v>
      </c>
      <c r="E385" s="3623">
        <f>典型户型修正!C407</f>
        <v>0.99</v>
      </c>
      <c r="F385" s="3623">
        <f ca="1">典型户型修正!R407</f>
        <v>5706</v>
      </c>
      <c r="G385" s="3623">
        <f ca="1">典型户型修正!S407</f>
        <v>21</v>
      </c>
    </row>
    <row r="386" spans="1:7">
      <c r="A386" s="3625" t="s">
        <v>5070</v>
      </c>
      <c r="B386" s="3625"/>
      <c r="C386" s="3626" t="s">
        <v>4533</v>
      </c>
      <c r="D386" s="3626">
        <v>36.340000000000003</v>
      </c>
      <c r="E386" s="3623">
        <f>典型户型修正!C408</f>
        <v>0.99</v>
      </c>
      <c r="F386" s="3623">
        <f ca="1">典型户型修正!R408</f>
        <v>5706</v>
      </c>
      <c r="G386" s="3623">
        <f ca="1">典型户型修正!S408</f>
        <v>21</v>
      </c>
    </row>
    <row r="387" spans="1:7">
      <c r="A387" s="3625" t="s">
        <v>5070</v>
      </c>
      <c r="B387" s="3625"/>
      <c r="C387" s="3626" t="s">
        <v>4534</v>
      </c>
      <c r="D387" s="3626">
        <v>36.340000000000003</v>
      </c>
      <c r="E387" s="3623">
        <f>典型户型修正!C409</f>
        <v>0.99</v>
      </c>
      <c r="F387" s="3623">
        <f ca="1">典型户型修正!R409</f>
        <v>5706</v>
      </c>
      <c r="G387" s="3623">
        <f ca="1">典型户型修正!S409</f>
        <v>21</v>
      </c>
    </row>
    <row r="388" spans="1:7">
      <c r="A388" s="3625" t="s">
        <v>5070</v>
      </c>
      <c r="B388" s="3625"/>
      <c r="C388" s="3626" t="s">
        <v>4535</v>
      </c>
      <c r="D388" s="3626">
        <v>38.659999999999997</v>
      </c>
      <c r="E388" s="3623">
        <f>典型户型修正!C410</f>
        <v>0.99</v>
      </c>
      <c r="F388" s="3623">
        <f ca="1">典型户型修正!R410</f>
        <v>5706</v>
      </c>
      <c r="G388" s="3623">
        <f ca="1">典型户型修正!S410</f>
        <v>22</v>
      </c>
    </row>
    <row r="389" spans="1:7">
      <c r="A389" s="3625" t="s">
        <v>5070</v>
      </c>
      <c r="B389" s="3625"/>
      <c r="C389" s="3626" t="s">
        <v>4536</v>
      </c>
      <c r="D389" s="3626">
        <v>38.659999999999997</v>
      </c>
      <c r="E389" s="3623">
        <f>典型户型修正!C411</f>
        <v>0.99</v>
      </c>
      <c r="F389" s="3623">
        <f ca="1">典型户型修正!R411</f>
        <v>5706</v>
      </c>
      <c r="G389" s="3623">
        <f ca="1">典型户型修正!S411</f>
        <v>22</v>
      </c>
    </row>
    <row r="390" spans="1:7">
      <c r="A390" s="3625" t="s">
        <v>5070</v>
      </c>
      <c r="B390" s="3625"/>
      <c r="C390" s="3626" t="s">
        <v>4537</v>
      </c>
      <c r="D390" s="3626">
        <v>38.659999999999997</v>
      </c>
      <c r="E390" s="3623">
        <f>典型户型修正!C412</f>
        <v>0.99</v>
      </c>
      <c r="F390" s="3623">
        <f ca="1">典型户型修正!R412</f>
        <v>5706</v>
      </c>
      <c r="G390" s="3623">
        <f ca="1">典型户型修正!S412</f>
        <v>22</v>
      </c>
    </row>
    <row r="391" spans="1:7">
      <c r="A391" s="3625" t="s">
        <v>5070</v>
      </c>
      <c r="B391" s="3625"/>
      <c r="C391" s="3626" t="s">
        <v>4538</v>
      </c>
      <c r="D391" s="3626">
        <v>38.659999999999997</v>
      </c>
      <c r="E391" s="3623">
        <f>典型户型修正!C413</f>
        <v>0.99</v>
      </c>
      <c r="F391" s="3623">
        <f ca="1">典型户型修正!R413</f>
        <v>5706</v>
      </c>
      <c r="G391" s="3623">
        <f ca="1">典型户型修正!S413</f>
        <v>22</v>
      </c>
    </row>
    <row r="392" spans="1:7">
      <c r="A392" s="3625" t="s">
        <v>5070</v>
      </c>
      <c r="B392" s="3625"/>
      <c r="C392" s="3626" t="s">
        <v>4539</v>
      </c>
      <c r="D392" s="3626">
        <v>36.340000000000003</v>
      </c>
      <c r="E392" s="3623">
        <f>典型户型修正!C414</f>
        <v>0.99</v>
      </c>
      <c r="F392" s="3623">
        <f ca="1">典型户型修正!R414</f>
        <v>5706</v>
      </c>
      <c r="G392" s="3623">
        <f ca="1">典型户型修正!S414</f>
        <v>21</v>
      </c>
    </row>
    <row r="393" spans="1:7">
      <c r="A393" s="3625" t="s">
        <v>5070</v>
      </c>
      <c r="B393" s="3625"/>
      <c r="C393" s="3626" t="s">
        <v>4540</v>
      </c>
      <c r="D393" s="3626">
        <v>36.340000000000003</v>
      </c>
      <c r="E393" s="3623">
        <f>典型户型修正!C415</f>
        <v>0.99</v>
      </c>
      <c r="F393" s="3623">
        <f ca="1">典型户型修正!R415</f>
        <v>5706</v>
      </c>
      <c r="G393" s="3623">
        <f ca="1">典型户型修正!S415</f>
        <v>21</v>
      </c>
    </row>
    <row r="394" spans="1:7">
      <c r="A394" s="3625" t="s">
        <v>5070</v>
      </c>
      <c r="B394" s="3625"/>
      <c r="C394" s="3626" t="s">
        <v>4541</v>
      </c>
      <c r="D394" s="3626">
        <v>36.340000000000003</v>
      </c>
      <c r="E394" s="3623">
        <f>典型户型修正!C416</f>
        <v>0.99</v>
      </c>
      <c r="F394" s="3623">
        <f ca="1">典型户型修正!R416</f>
        <v>5706</v>
      </c>
      <c r="G394" s="3623">
        <f ca="1">典型户型修正!S416</f>
        <v>21</v>
      </c>
    </row>
    <row r="395" spans="1:7">
      <c r="A395" s="3625" t="s">
        <v>5070</v>
      </c>
      <c r="B395" s="3625"/>
      <c r="C395" s="3626" t="s">
        <v>4542</v>
      </c>
      <c r="D395" s="3626">
        <v>36.340000000000003</v>
      </c>
      <c r="E395" s="3623">
        <f>典型户型修正!C417</f>
        <v>0.99</v>
      </c>
      <c r="F395" s="3623">
        <f ca="1">典型户型修正!R417</f>
        <v>5706</v>
      </c>
      <c r="G395" s="3623">
        <f ca="1">典型户型修正!S417</f>
        <v>21</v>
      </c>
    </row>
    <row r="396" spans="1:7">
      <c r="A396" s="3625" t="s">
        <v>5070</v>
      </c>
      <c r="B396" s="3625"/>
      <c r="C396" s="3626" t="s">
        <v>4543</v>
      </c>
      <c r="D396" s="3626">
        <v>36.340000000000003</v>
      </c>
      <c r="E396" s="3623">
        <f>典型户型修正!C418</f>
        <v>0.99</v>
      </c>
      <c r="F396" s="3623">
        <f ca="1">典型户型修正!R418</f>
        <v>5706</v>
      </c>
      <c r="G396" s="3623">
        <f ca="1">典型户型修正!S418</f>
        <v>21</v>
      </c>
    </row>
    <row r="397" spans="1:7">
      <c r="A397" s="3625" t="s">
        <v>5070</v>
      </c>
      <c r="B397" s="3625"/>
      <c r="C397" s="3626" t="s">
        <v>4544</v>
      </c>
      <c r="D397" s="3626">
        <v>36.340000000000003</v>
      </c>
      <c r="E397" s="3623">
        <f>典型户型修正!C419</f>
        <v>0.99</v>
      </c>
      <c r="F397" s="3623">
        <f ca="1">典型户型修正!R419</f>
        <v>5706</v>
      </c>
      <c r="G397" s="3623">
        <f ca="1">典型户型修正!S419</f>
        <v>21</v>
      </c>
    </row>
    <row r="398" spans="1:7">
      <c r="A398" s="3625" t="s">
        <v>5070</v>
      </c>
      <c r="B398" s="3625"/>
      <c r="C398" s="3626" t="s">
        <v>4545</v>
      </c>
      <c r="D398" s="3626">
        <v>36.340000000000003</v>
      </c>
      <c r="E398" s="3623">
        <f>典型户型修正!C420</f>
        <v>0.99</v>
      </c>
      <c r="F398" s="3623">
        <f ca="1">典型户型修正!R420</f>
        <v>5706</v>
      </c>
      <c r="G398" s="3623">
        <f ca="1">典型户型修正!S420</f>
        <v>21</v>
      </c>
    </row>
    <row r="399" spans="1:7">
      <c r="A399" s="3625" t="s">
        <v>5070</v>
      </c>
      <c r="B399" s="3625"/>
      <c r="C399" s="3626" t="s">
        <v>4546</v>
      </c>
      <c r="D399" s="3626">
        <v>36.340000000000003</v>
      </c>
      <c r="E399" s="3623">
        <f>典型户型修正!C421</f>
        <v>0.99</v>
      </c>
      <c r="F399" s="3623">
        <f ca="1">典型户型修正!R421</f>
        <v>5706</v>
      </c>
      <c r="G399" s="3623">
        <f ca="1">典型户型修正!S421</f>
        <v>21</v>
      </c>
    </row>
    <row r="400" spans="1:7">
      <c r="A400" s="3625" t="s">
        <v>5070</v>
      </c>
      <c r="B400" s="3625"/>
      <c r="C400" s="3626" t="s">
        <v>4547</v>
      </c>
      <c r="D400" s="3626">
        <v>35.99</v>
      </c>
      <c r="E400" s="3623">
        <f>典型户型修正!C422</f>
        <v>0.99</v>
      </c>
      <c r="F400" s="3623">
        <f ca="1">典型户型修正!R422</f>
        <v>5706</v>
      </c>
      <c r="G400" s="3623">
        <f ca="1">典型户型修正!S422</f>
        <v>21</v>
      </c>
    </row>
    <row r="401" spans="1:7">
      <c r="A401" s="3625" t="s">
        <v>5070</v>
      </c>
      <c r="B401" s="3625"/>
      <c r="C401" s="3626" t="s">
        <v>4548</v>
      </c>
      <c r="D401" s="3626">
        <v>37.49</v>
      </c>
      <c r="E401" s="3623">
        <f>典型户型修正!C423</f>
        <v>0.99</v>
      </c>
      <c r="F401" s="3623">
        <f ca="1">典型户型修正!R423</f>
        <v>5706</v>
      </c>
      <c r="G401" s="3623">
        <f ca="1">典型户型修正!S423</f>
        <v>21</v>
      </c>
    </row>
    <row r="402" spans="1:7">
      <c r="A402" s="3625" t="s">
        <v>5070</v>
      </c>
      <c r="B402" s="3625"/>
      <c r="C402" s="3626" t="s">
        <v>4549</v>
      </c>
      <c r="D402" s="3626">
        <v>37.49</v>
      </c>
      <c r="E402" s="3623">
        <f>典型户型修正!C424</f>
        <v>0.99</v>
      </c>
      <c r="F402" s="3623">
        <f ca="1">典型户型修正!R424</f>
        <v>5706</v>
      </c>
      <c r="G402" s="3623">
        <f ca="1">典型户型修正!S424</f>
        <v>21</v>
      </c>
    </row>
    <row r="403" spans="1:7">
      <c r="A403" s="3625" t="s">
        <v>5070</v>
      </c>
      <c r="B403" s="3625"/>
      <c r="C403" s="3626" t="s">
        <v>4550</v>
      </c>
      <c r="D403" s="3626">
        <v>35.99</v>
      </c>
      <c r="E403" s="3623">
        <f>典型户型修正!C425</f>
        <v>0.99</v>
      </c>
      <c r="F403" s="3623">
        <f ca="1">典型户型修正!R425</f>
        <v>5706</v>
      </c>
      <c r="G403" s="3623">
        <f ca="1">典型户型修正!S425</f>
        <v>21</v>
      </c>
    </row>
    <row r="404" spans="1:7">
      <c r="A404" s="3625" t="s">
        <v>5070</v>
      </c>
      <c r="B404" s="3625"/>
      <c r="C404" s="3626" t="s">
        <v>4551</v>
      </c>
      <c r="D404" s="3626">
        <v>37.49</v>
      </c>
      <c r="E404" s="3623">
        <f>典型户型修正!C426</f>
        <v>0.99</v>
      </c>
      <c r="F404" s="3623">
        <f ca="1">典型户型修正!R426</f>
        <v>5706</v>
      </c>
      <c r="G404" s="3623">
        <f ca="1">典型户型修正!S426</f>
        <v>21</v>
      </c>
    </row>
    <row r="405" spans="1:7">
      <c r="A405" s="3625" t="s">
        <v>5070</v>
      </c>
      <c r="B405" s="3625"/>
      <c r="C405" s="3626" t="s">
        <v>4552</v>
      </c>
      <c r="D405" s="3626">
        <v>37.49</v>
      </c>
      <c r="E405" s="3623">
        <f>典型户型修正!C427</f>
        <v>0.99</v>
      </c>
      <c r="F405" s="3623">
        <f ca="1">典型户型修正!R427</f>
        <v>5706</v>
      </c>
      <c r="G405" s="3623">
        <f ca="1">典型户型修正!S427</f>
        <v>21</v>
      </c>
    </row>
    <row r="406" spans="1:7">
      <c r="A406" s="3625" t="s">
        <v>5070</v>
      </c>
      <c r="B406" s="3625"/>
      <c r="C406" s="3626" t="s">
        <v>4553</v>
      </c>
      <c r="D406" s="3626">
        <v>37.49</v>
      </c>
      <c r="E406" s="3623">
        <f>典型户型修正!C428</f>
        <v>0.99</v>
      </c>
      <c r="F406" s="3623">
        <f ca="1">典型户型修正!R428</f>
        <v>5706</v>
      </c>
      <c r="G406" s="3623">
        <f ca="1">典型户型修正!S428</f>
        <v>21</v>
      </c>
    </row>
    <row r="407" spans="1:7">
      <c r="A407" s="3625" t="s">
        <v>5070</v>
      </c>
      <c r="B407" s="3625"/>
      <c r="C407" s="3626" t="s">
        <v>4554</v>
      </c>
      <c r="D407" s="3626">
        <v>37.49</v>
      </c>
      <c r="E407" s="3623">
        <f>典型户型修正!C429</f>
        <v>0.99</v>
      </c>
      <c r="F407" s="3623">
        <f ca="1">典型户型修正!R429</f>
        <v>5706</v>
      </c>
      <c r="G407" s="3623">
        <f ca="1">典型户型修正!S429</f>
        <v>21</v>
      </c>
    </row>
    <row r="408" spans="1:7">
      <c r="A408" s="3625" t="s">
        <v>5070</v>
      </c>
      <c r="B408" s="3625"/>
      <c r="C408" s="3626" t="s">
        <v>4555</v>
      </c>
      <c r="D408" s="3626">
        <v>37.49</v>
      </c>
      <c r="E408" s="3623">
        <f>典型户型修正!C430</f>
        <v>0.99</v>
      </c>
      <c r="F408" s="3623">
        <f ca="1">典型户型修正!R430</f>
        <v>5706</v>
      </c>
      <c r="G408" s="3623">
        <f ca="1">典型户型修正!S430</f>
        <v>21</v>
      </c>
    </row>
    <row r="409" spans="1:7">
      <c r="A409" s="3625" t="s">
        <v>5070</v>
      </c>
      <c r="B409" s="3625"/>
      <c r="C409" s="3626" t="s">
        <v>4556</v>
      </c>
      <c r="D409" s="3626">
        <v>37.49</v>
      </c>
      <c r="E409" s="3623">
        <f>典型户型修正!C431</f>
        <v>0.99</v>
      </c>
      <c r="F409" s="3623">
        <f ca="1">典型户型修正!R431</f>
        <v>5706</v>
      </c>
      <c r="G409" s="3623">
        <f ca="1">典型户型修正!S431</f>
        <v>21</v>
      </c>
    </row>
    <row r="410" spans="1:7">
      <c r="A410" s="3625" t="s">
        <v>5070</v>
      </c>
      <c r="B410" s="3625"/>
      <c r="C410" s="3626" t="s">
        <v>4557</v>
      </c>
      <c r="D410" s="3626">
        <v>37.49</v>
      </c>
      <c r="E410" s="3623">
        <f>典型户型修正!C432</f>
        <v>0.99</v>
      </c>
      <c r="F410" s="3623">
        <f ca="1">典型户型修正!R432</f>
        <v>5706</v>
      </c>
      <c r="G410" s="3623">
        <f ca="1">典型户型修正!S432</f>
        <v>21</v>
      </c>
    </row>
    <row r="411" spans="1:7">
      <c r="A411" s="3625" t="s">
        <v>5070</v>
      </c>
      <c r="B411" s="3625"/>
      <c r="C411" s="3626" t="s">
        <v>4558</v>
      </c>
      <c r="D411" s="3626">
        <v>35.99</v>
      </c>
      <c r="E411" s="3623">
        <f>典型户型修正!C433</f>
        <v>0.99</v>
      </c>
      <c r="F411" s="3623">
        <f ca="1">典型户型修正!R433</f>
        <v>5706</v>
      </c>
      <c r="G411" s="3623">
        <f ca="1">典型户型修正!S433</f>
        <v>21</v>
      </c>
    </row>
    <row r="412" spans="1:7">
      <c r="A412" s="3625" t="s">
        <v>5070</v>
      </c>
      <c r="B412" s="3625"/>
      <c r="C412" s="3626" t="s">
        <v>4559</v>
      </c>
      <c r="D412" s="3626">
        <v>37.49</v>
      </c>
      <c r="E412" s="3623">
        <f>典型户型修正!C434</f>
        <v>0.99</v>
      </c>
      <c r="F412" s="3623">
        <f ca="1">典型户型修正!R434</f>
        <v>5706</v>
      </c>
      <c r="G412" s="3623">
        <f ca="1">典型户型修正!S434</f>
        <v>21</v>
      </c>
    </row>
    <row r="413" spans="1:7">
      <c r="A413" s="3625" t="s">
        <v>5070</v>
      </c>
      <c r="B413" s="3625"/>
      <c r="C413" s="3626" t="s">
        <v>4560</v>
      </c>
      <c r="D413" s="3626">
        <v>37.49</v>
      </c>
      <c r="E413" s="3623">
        <f>典型户型修正!C435</f>
        <v>0.99</v>
      </c>
      <c r="F413" s="3623">
        <f ca="1">典型户型修正!R435</f>
        <v>5706</v>
      </c>
      <c r="G413" s="3623">
        <f ca="1">典型户型修正!S435</f>
        <v>21</v>
      </c>
    </row>
    <row r="414" spans="1:7">
      <c r="A414" s="3625" t="s">
        <v>5070</v>
      </c>
      <c r="B414" s="3625"/>
      <c r="C414" s="3626" t="s">
        <v>4561</v>
      </c>
      <c r="D414" s="3626">
        <v>37.49</v>
      </c>
      <c r="E414" s="3623">
        <f>典型户型修正!C436</f>
        <v>0.99</v>
      </c>
      <c r="F414" s="3623">
        <f ca="1">典型户型修正!R436</f>
        <v>5706</v>
      </c>
      <c r="G414" s="3623">
        <f ca="1">典型户型修正!S436</f>
        <v>21</v>
      </c>
    </row>
    <row r="415" spans="1:7">
      <c r="A415" s="3625" t="s">
        <v>5070</v>
      </c>
      <c r="B415" s="3625"/>
      <c r="C415" s="3626" t="s">
        <v>4562</v>
      </c>
      <c r="D415" s="3626">
        <v>35.24</v>
      </c>
      <c r="E415" s="3623">
        <f>典型户型修正!C437</f>
        <v>0.99</v>
      </c>
      <c r="F415" s="3623">
        <f ca="1">典型户型修正!R437</f>
        <v>5706</v>
      </c>
      <c r="G415" s="3623">
        <f ca="1">典型户型修正!S437</f>
        <v>20</v>
      </c>
    </row>
    <row r="416" spans="1:7">
      <c r="A416" s="3625" t="s">
        <v>5070</v>
      </c>
      <c r="B416" s="3625"/>
      <c r="C416" s="3626" t="s">
        <v>4563</v>
      </c>
      <c r="D416" s="3626">
        <v>35.24</v>
      </c>
      <c r="E416" s="3623">
        <f>典型户型修正!C438</f>
        <v>0.99</v>
      </c>
      <c r="F416" s="3623">
        <f ca="1">典型户型修正!R438</f>
        <v>5706</v>
      </c>
      <c r="G416" s="3623">
        <f ca="1">典型户型修正!S438</f>
        <v>20</v>
      </c>
    </row>
    <row r="417" spans="1:7">
      <c r="A417" s="3625" t="s">
        <v>5070</v>
      </c>
      <c r="B417" s="3625"/>
      <c r="C417" s="3626" t="s">
        <v>4564</v>
      </c>
      <c r="D417" s="3626">
        <v>35.24</v>
      </c>
      <c r="E417" s="3623">
        <f>典型户型修正!C439</f>
        <v>0.99</v>
      </c>
      <c r="F417" s="3623">
        <f ca="1">典型户型修正!R439</f>
        <v>5706</v>
      </c>
      <c r="G417" s="3623">
        <f ca="1">典型户型修正!S439</f>
        <v>20</v>
      </c>
    </row>
    <row r="418" spans="1:7">
      <c r="A418" s="3625" t="s">
        <v>5070</v>
      </c>
      <c r="B418" s="3625"/>
      <c r="C418" s="3626" t="s">
        <v>4565</v>
      </c>
      <c r="D418" s="3626">
        <v>37.49</v>
      </c>
      <c r="E418" s="3623">
        <f>典型户型修正!C440</f>
        <v>0.99</v>
      </c>
      <c r="F418" s="3623">
        <f ca="1">典型户型修正!R440</f>
        <v>5706</v>
      </c>
      <c r="G418" s="3623">
        <f ca="1">典型户型修正!S440</f>
        <v>21</v>
      </c>
    </row>
    <row r="419" spans="1:7">
      <c r="A419" s="3625" t="s">
        <v>5070</v>
      </c>
      <c r="B419" s="3625"/>
      <c r="C419" s="3626" t="s">
        <v>4566</v>
      </c>
      <c r="D419" s="3626">
        <v>37.49</v>
      </c>
      <c r="E419" s="3623">
        <f>典型户型修正!C441</f>
        <v>0.99</v>
      </c>
      <c r="F419" s="3623">
        <f ca="1">典型户型修正!R441</f>
        <v>5706</v>
      </c>
      <c r="G419" s="3623">
        <f ca="1">典型户型修正!S441</f>
        <v>21</v>
      </c>
    </row>
    <row r="420" spans="1:7">
      <c r="A420" s="3625" t="s">
        <v>5070</v>
      </c>
      <c r="B420" s="3625"/>
      <c r="C420" s="3626" t="s">
        <v>4567</v>
      </c>
      <c r="D420" s="3626">
        <v>37.49</v>
      </c>
      <c r="E420" s="3623">
        <f>典型户型修正!C442</f>
        <v>0.99</v>
      </c>
      <c r="F420" s="3623">
        <f ca="1">典型户型修正!R442</f>
        <v>5706</v>
      </c>
      <c r="G420" s="3623">
        <f ca="1">典型户型修正!S442</f>
        <v>21</v>
      </c>
    </row>
    <row r="421" spans="1:7">
      <c r="A421" s="3625" t="s">
        <v>5070</v>
      </c>
      <c r="B421" s="3625"/>
      <c r="C421" s="3626" t="s">
        <v>4568</v>
      </c>
      <c r="D421" s="3626">
        <v>37.49</v>
      </c>
      <c r="E421" s="3623">
        <f>典型户型修正!C443</f>
        <v>0.99</v>
      </c>
      <c r="F421" s="3623">
        <f ca="1">典型户型修正!R443</f>
        <v>5706</v>
      </c>
      <c r="G421" s="3623">
        <f ca="1">典型户型修正!S443</f>
        <v>21</v>
      </c>
    </row>
    <row r="422" spans="1:7">
      <c r="A422" s="3625" t="s">
        <v>5070</v>
      </c>
      <c r="B422" s="3625"/>
      <c r="C422" s="3626" t="s">
        <v>4569</v>
      </c>
      <c r="D422" s="3626">
        <v>37.49</v>
      </c>
      <c r="E422" s="3623">
        <f>典型户型修正!C444</f>
        <v>0.99</v>
      </c>
      <c r="F422" s="3623">
        <f ca="1">典型户型修正!R444</f>
        <v>5706</v>
      </c>
      <c r="G422" s="3623">
        <f ca="1">典型户型修正!S444</f>
        <v>21</v>
      </c>
    </row>
    <row r="423" spans="1:7">
      <c r="A423" s="3625" t="s">
        <v>5070</v>
      </c>
      <c r="B423" s="3625"/>
      <c r="C423" s="3626" t="s">
        <v>4570</v>
      </c>
      <c r="D423" s="3626">
        <v>37.49</v>
      </c>
      <c r="E423" s="3623">
        <f>典型户型修正!C445</f>
        <v>0.99</v>
      </c>
      <c r="F423" s="3623">
        <f ca="1">典型户型修正!R445</f>
        <v>5706</v>
      </c>
      <c r="G423" s="3623">
        <f ca="1">典型户型修正!S445</f>
        <v>21</v>
      </c>
    </row>
    <row r="424" spans="1:7">
      <c r="A424" s="3625" t="s">
        <v>5070</v>
      </c>
      <c r="B424" s="3625"/>
      <c r="C424" s="3626" t="s">
        <v>4571</v>
      </c>
      <c r="D424" s="3626">
        <v>37.49</v>
      </c>
      <c r="E424" s="3623">
        <f>典型户型修正!C446</f>
        <v>0.99</v>
      </c>
      <c r="F424" s="3623">
        <f ca="1">典型户型修正!R446</f>
        <v>5706</v>
      </c>
      <c r="G424" s="3623">
        <f ca="1">典型户型修正!S446</f>
        <v>21</v>
      </c>
    </row>
    <row r="425" spans="1:7">
      <c r="A425" s="3625" t="s">
        <v>5070</v>
      </c>
      <c r="B425" s="3625"/>
      <c r="C425" s="3626" t="s">
        <v>4572</v>
      </c>
      <c r="D425" s="3626">
        <v>37.49</v>
      </c>
      <c r="E425" s="3623">
        <f>典型户型修正!C447</f>
        <v>0.99</v>
      </c>
      <c r="F425" s="3623">
        <f ca="1">典型户型修正!R447</f>
        <v>5706</v>
      </c>
      <c r="G425" s="3623">
        <f ca="1">典型户型修正!S447</f>
        <v>21</v>
      </c>
    </row>
    <row r="426" spans="1:7">
      <c r="A426" s="3625" t="s">
        <v>5070</v>
      </c>
      <c r="B426" s="3625"/>
      <c r="C426" s="3626" t="s">
        <v>4573</v>
      </c>
      <c r="D426" s="3626">
        <v>35.99</v>
      </c>
      <c r="E426" s="3623">
        <f>典型户型修正!C448</f>
        <v>0.99</v>
      </c>
      <c r="F426" s="3623">
        <f ca="1">典型户型修正!R448</f>
        <v>5706</v>
      </c>
      <c r="G426" s="3623">
        <f ca="1">典型户型修正!S448</f>
        <v>21</v>
      </c>
    </row>
    <row r="427" spans="1:7">
      <c r="A427" s="3625" t="s">
        <v>5070</v>
      </c>
      <c r="B427" s="3625"/>
      <c r="C427" s="3626" t="s">
        <v>4574</v>
      </c>
      <c r="D427" s="3626">
        <v>35.99</v>
      </c>
      <c r="E427" s="3623">
        <f>典型户型修正!C449</f>
        <v>0.99</v>
      </c>
      <c r="F427" s="3623">
        <f ca="1">典型户型修正!R449</f>
        <v>5706</v>
      </c>
      <c r="G427" s="3623">
        <f ca="1">典型户型修正!S449</f>
        <v>21</v>
      </c>
    </row>
    <row r="428" spans="1:7">
      <c r="A428" s="3625" t="s">
        <v>5070</v>
      </c>
      <c r="B428" s="3625"/>
      <c r="C428" s="3626" t="s">
        <v>4575</v>
      </c>
      <c r="D428" s="3626">
        <v>35.99</v>
      </c>
      <c r="E428" s="3623">
        <f>典型户型修正!C450</f>
        <v>0.99</v>
      </c>
      <c r="F428" s="3623">
        <f ca="1">典型户型修正!R450</f>
        <v>5706</v>
      </c>
      <c r="G428" s="3623">
        <f ca="1">典型户型修正!S450</f>
        <v>21</v>
      </c>
    </row>
    <row r="429" spans="1:7">
      <c r="A429" s="3625" t="s">
        <v>5070</v>
      </c>
      <c r="B429" s="3625"/>
      <c r="C429" s="3626" t="s">
        <v>4576</v>
      </c>
      <c r="D429" s="3626">
        <v>35.99</v>
      </c>
      <c r="E429" s="3623">
        <f>典型户型修正!C451</f>
        <v>0.99</v>
      </c>
      <c r="F429" s="3623">
        <f ca="1">典型户型修正!R451</f>
        <v>5706</v>
      </c>
      <c r="G429" s="3623">
        <f ca="1">典型户型修正!S451</f>
        <v>21</v>
      </c>
    </row>
    <row r="430" spans="1:7">
      <c r="A430" s="3625" t="s">
        <v>5070</v>
      </c>
      <c r="B430" s="3625"/>
      <c r="C430" s="3626" t="s">
        <v>4577</v>
      </c>
      <c r="D430" s="3626">
        <v>35.99</v>
      </c>
      <c r="E430" s="3623">
        <f>典型户型修正!C452</f>
        <v>0.99</v>
      </c>
      <c r="F430" s="3623">
        <f ca="1">典型户型修正!R452</f>
        <v>5706</v>
      </c>
      <c r="G430" s="3623">
        <f ca="1">典型户型修正!S452</f>
        <v>21</v>
      </c>
    </row>
    <row r="431" spans="1:7">
      <c r="A431" s="3625" t="s">
        <v>5070</v>
      </c>
      <c r="B431" s="3625"/>
      <c r="C431" s="3626" t="s">
        <v>4578</v>
      </c>
      <c r="D431" s="3626">
        <v>35.99</v>
      </c>
      <c r="E431" s="3623">
        <f>典型户型修正!C453</f>
        <v>0.99</v>
      </c>
      <c r="F431" s="3623">
        <f ca="1">典型户型修正!R453</f>
        <v>5706</v>
      </c>
      <c r="G431" s="3623">
        <f ca="1">典型户型修正!S453</f>
        <v>21</v>
      </c>
    </row>
    <row r="432" spans="1:7">
      <c r="A432" s="3625" t="s">
        <v>5070</v>
      </c>
      <c r="B432" s="3625"/>
      <c r="C432" s="3626" t="s">
        <v>4579</v>
      </c>
      <c r="D432" s="3626">
        <v>35.99</v>
      </c>
      <c r="E432" s="3623">
        <f>典型户型修正!C454</f>
        <v>0.99</v>
      </c>
      <c r="F432" s="3623">
        <f ca="1">典型户型修正!R454</f>
        <v>5706</v>
      </c>
      <c r="G432" s="3623">
        <f ca="1">典型户型修正!S454</f>
        <v>21</v>
      </c>
    </row>
    <row r="433" spans="1:7">
      <c r="A433" s="3625" t="s">
        <v>5070</v>
      </c>
      <c r="B433" s="3625"/>
      <c r="C433" s="3626" t="s">
        <v>4580</v>
      </c>
      <c r="D433" s="3626">
        <v>35.99</v>
      </c>
      <c r="E433" s="3623">
        <f>典型户型修正!C455</f>
        <v>0.99</v>
      </c>
      <c r="F433" s="3623">
        <f ca="1">典型户型修正!R455</f>
        <v>5706</v>
      </c>
      <c r="G433" s="3623">
        <f ca="1">典型户型修正!S455</f>
        <v>21</v>
      </c>
    </row>
    <row r="434" spans="1:7">
      <c r="A434" s="3625" t="s">
        <v>5070</v>
      </c>
      <c r="B434" s="3625"/>
      <c r="C434" s="3626" t="s">
        <v>4581</v>
      </c>
      <c r="D434" s="3626">
        <v>35.99</v>
      </c>
      <c r="E434" s="3623">
        <f>典型户型修正!C456</f>
        <v>0.99</v>
      </c>
      <c r="F434" s="3623">
        <f ca="1">典型户型修正!R456</f>
        <v>5706</v>
      </c>
      <c r="G434" s="3623">
        <f ca="1">典型户型修正!S456</f>
        <v>21</v>
      </c>
    </row>
    <row r="435" spans="1:7">
      <c r="A435" s="3625" t="s">
        <v>5070</v>
      </c>
      <c r="B435" s="3625"/>
      <c r="C435" s="3626" t="s">
        <v>4582</v>
      </c>
      <c r="D435" s="3626">
        <v>35.99</v>
      </c>
      <c r="E435" s="3623">
        <f>典型户型修正!C457</f>
        <v>0.99</v>
      </c>
      <c r="F435" s="3623">
        <f ca="1">典型户型修正!R457</f>
        <v>5706</v>
      </c>
      <c r="G435" s="3623">
        <f ca="1">典型户型修正!S457</f>
        <v>21</v>
      </c>
    </row>
    <row r="436" spans="1:7">
      <c r="A436" s="3625" t="s">
        <v>5070</v>
      </c>
      <c r="B436" s="3625"/>
      <c r="C436" s="3626" t="s">
        <v>4583</v>
      </c>
      <c r="D436" s="3626">
        <v>35.99</v>
      </c>
      <c r="E436" s="3623">
        <f>典型户型修正!C458</f>
        <v>0.99</v>
      </c>
      <c r="F436" s="3623">
        <f ca="1">典型户型修正!R458</f>
        <v>5706</v>
      </c>
      <c r="G436" s="3623">
        <f ca="1">典型户型修正!S458</f>
        <v>21</v>
      </c>
    </row>
    <row r="437" spans="1:7">
      <c r="A437" s="3625" t="s">
        <v>5070</v>
      </c>
      <c r="B437" s="3625"/>
      <c r="C437" s="3626" t="s">
        <v>4584</v>
      </c>
      <c r="D437" s="3626">
        <v>35.99</v>
      </c>
      <c r="E437" s="3623">
        <f>典型户型修正!C459</f>
        <v>0.99</v>
      </c>
      <c r="F437" s="3623">
        <f ca="1">典型户型修正!R459</f>
        <v>5706</v>
      </c>
      <c r="G437" s="3623">
        <f ca="1">典型户型修正!S459</f>
        <v>21</v>
      </c>
    </row>
    <row r="438" spans="1:7">
      <c r="A438" s="3625" t="s">
        <v>5070</v>
      </c>
      <c r="B438" s="3625"/>
      <c r="C438" s="3626" t="s">
        <v>4585</v>
      </c>
      <c r="D438" s="3626">
        <v>35.99</v>
      </c>
      <c r="E438" s="3623">
        <f>典型户型修正!C460</f>
        <v>0.99</v>
      </c>
      <c r="F438" s="3623">
        <f ca="1">典型户型修正!R460</f>
        <v>5706</v>
      </c>
      <c r="G438" s="3623">
        <f ca="1">典型户型修正!S460</f>
        <v>21</v>
      </c>
    </row>
    <row r="439" spans="1:7">
      <c r="A439" s="3625" t="s">
        <v>5070</v>
      </c>
      <c r="B439" s="3625"/>
      <c r="C439" s="3626" t="s">
        <v>4586</v>
      </c>
      <c r="D439" s="3626">
        <v>35.99</v>
      </c>
      <c r="E439" s="3623">
        <f>典型户型修正!C461</f>
        <v>0.99</v>
      </c>
      <c r="F439" s="3623">
        <f ca="1">典型户型修正!R461</f>
        <v>5706</v>
      </c>
      <c r="G439" s="3623">
        <f ca="1">典型户型修正!S461</f>
        <v>21</v>
      </c>
    </row>
    <row r="440" spans="1:7">
      <c r="A440" s="3625" t="s">
        <v>5070</v>
      </c>
      <c r="B440" s="3625"/>
      <c r="C440" s="3626" t="s">
        <v>4587</v>
      </c>
      <c r="D440" s="3626">
        <v>35.99</v>
      </c>
      <c r="E440" s="3623">
        <f>典型户型修正!C462</f>
        <v>0.99</v>
      </c>
      <c r="F440" s="3623">
        <f ca="1">典型户型修正!R462</f>
        <v>5706</v>
      </c>
      <c r="G440" s="3623">
        <f ca="1">典型户型修正!S462</f>
        <v>21</v>
      </c>
    </row>
    <row r="441" spans="1:7">
      <c r="A441" s="3625" t="s">
        <v>5070</v>
      </c>
      <c r="B441" s="3625"/>
      <c r="C441" s="3626" t="s">
        <v>4588</v>
      </c>
      <c r="D441" s="3626">
        <v>35.99</v>
      </c>
      <c r="E441" s="3623">
        <f>典型户型修正!C463</f>
        <v>0.99</v>
      </c>
      <c r="F441" s="3623">
        <f ca="1">典型户型修正!R463</f>
        <v>5706</v>
      </c>
      <c r="G441" s="3623">
        <f ca="1">典型户型修正!S463</f>
        <v>21</v>
      </c>
    </row>
    <row r="442" spans="1:7">
      <c r="A442" s="3625" t="s">
        <v>5070</v>
      </c>
      <c r="B442" s="3625"/>
      <c r="C442" s="3626" t="s">
        <v>4589</v>
      </c>
      <c r="D442" s="3626">
        <v>34.49</v>
      </c>
      <c r="E442" s="3623">
        <f>典型户型修正!C464</f>
        <v>1</v>
      </c>
      <c r="F442" s="3623">
        <f ca="1">典型户型修正!R464</f>
        <v>5764</v>
      </c>
      <c r="G442" s="3623">
        <f ca="1">典型户型修正!S464</f>
        <v>20</v>
      </c>
    </row>
    <row r="443" spans="1:7">
      <c r="A443" s="3625" t="s">
        <v>5070</v>
      </c>
      <c r="B443" s="3625"/>
      <c r="C443" s="3626" t="s">
        <v>4590</v>
      </c>
      <c r="D443" s="3626">
        <v>34.49</v>
      </c>
      <c r="E443" s="3623">
        <f>典型户型修正!C465</f>
        <v>1</v>
      </c>
      <c r="F443" s="3623">
        <f ca="1">典型户型修正!R465</f>
        <v>5764</v>
      </c>
      <c r="G443" s="3623">
        <f ca="1">典型户型修正!S465</f>
        <v>20</v>
      </c>
    </row>
    <row r="444" spans="1:7">
      <c r="A444" s="3625" t="s">
        <v>5070</v>
      </c>
      <c r="B444" s="3625"/>
      <c r="C444" s="3626" t="s">
        <v>4591</v>
      </c>
      <c r="D444" s="3626">
        <v>34.49</v>
      </c>
      <c r="E444" s="3623">
        <f>典型户型修正!C466</f>
        <v>1</v>
      </c>
      <c r="F444" s="3623">
        <f ca="1">典型户型修正!R466</f>
        <v>5764</v>
      </c>
      <c r="G444" s="3623">
        <f ca="1">典型户型修正!S466</f>
        <v>20</v>
      </c>
    </row>
    <row r="445" spans="1:7">
      <c r="A445" s="3625" t="s">
        <v>5070</v>
      </c>
      <c r="B445" s="3625"/>
      <c r="C445" s="3626" t="s">
        <v>4592</v>
      </c>
      <c r="D445" s="3626">
        <v>35.99</v>
      </c>
      <c r="E445" s="3623">
        <f>典型户型修正!C467</f>
        <v>0.99</v>
      </c>
      <c r="F445" s="3623">
        <f ca="1">典型户型修正!R467</f>
        <v>5706</v>
      </c>
      <c r="G445" s="3623">
        <f ca="1">典型户型修正!S467</f>
        <v>21</v>
      </c>
    </row>
    <row r="446" spans="1:7">
      <c r="A446" s="3625" t="s">
        <v>5070</v>
      </c>
      <c r="B446" s="3625"/>
      <c r="C446" s="3626" t="s">
        <v>4593</v>
      </c>
      <c r="D446" s="3626">
        <v>35.99</v>
      </c>
      <c r="E446" s="3623">
        <f>典型户型修正!C468</f>
        <v>0.99</v>
      </c>
      <c r="F446" s="3623">
        <f ca="1">典型户型修正!R468</f>
        <v>5706</v>
      </c>
      <c r="G446" s="3623">
        <f ca="1">典型户型修正!S468</f>
        <v>21</v>
      </c>
    </row>
    <row r="447" spans="1:7">
      <c r="A447" s="3625" t="s">
        <v>5070</v>
      </c>
      <c r="B447" s="3625"/>
      <c r="C447" s="3626" t="s">
        <v>4594</v>
      </c>
      <c r="D447" s="3626">
        <v>35.99</v>
      </c>
      <c r="E447" s="3623">
        <f>典型户型修正!C469</f>
        <v>0.99</v>
      </c>
      <c r="F447" s="3623">
        <f ca="1">典型户型修正!R469</f>
        <v>5706</v>
      </c>
      <c r="G447" s="3623">
        <f ca="1">典型户型修正!S469</f>
        <v>21</v>
      </c>
    </row>
    <row r="448" spans="1:7">
      <c r="A448" s="3625" t="s">
        <v>5070</v>
      </c>
      <c r="B448" s="3625"/>
      <c r="C448" s="3626" t="s">
        <v>4595</v>
      </c>
      <c r="D448" s="3626">
        <v>35.99</v>
      </c>
      <c r="E448" s="3623">
        <f>典型户型修正!C470</f>
        <v>0.99</v>
      </c>
      <c r="F448" s="3623">
        <f ca="1">典型户型修正!R470</f>
        <v>5706</v>
      </c>
      <c r="G448" s="3623">
        <f ca="1">典型户型修正!S470</f>
        <v>21</v>
      </c>
    </row>
    <row r="449" spans="1:7">
      <c r="A449" s="3625" t="s">
        <v>5070</v>
      </c>
      <c r="B449" s="3625"/>
      <c r="C449" s="3626" t="s">
        <v>4596</v>
      </c>
      <c r="D449" s="3626">
        <v>35.99</v>
      </c>
      <c r="E449" s="3623">
        <f>典型户型修正!C471</f>
        <v>0.99</v>
      </c>
      <c r="F449" s="3623">
        <f ca="1">典型户型修正!R471</f>
        <v>5706</v>
      </c>
      <c r="G449" s="3623">
        <f ca="1">典型户型修正!S471</f>
        <v>21</v>
      </c>
    </row>
    <row r="450" spans="1:7">
      <c r="A450" s="3625" t="s">
        <v>5070</v>
      </c>
      <c r="B450" s="3625"/>
      <c r="C450" s="3626" t="s">
        <v>4597</v>
      </c>
      <c r="D450" s="3626">
        <v>37.49</v>
      </c>
      <c r="E450" s="3623">
        <f>典型户型修正!C472</f>
        <v>0.99</v>
      </c>
      <c r="F450" s="3623">
        <f ca="1">典型户型修正!R472</f>
        <v>5706</v>
      </c>
      <c r="G450" s="3623">
        <f ca="1">典型户型修正!S472</f>
        <v>21</v>
      </c>
    </row>
    <row r="451" spans="1:7">
      <c r="A451" s="3625" t="s">
        <v>5070</v>
      </c>
      <c r="B451" s="3625"/>
      <c r="C451" s="3626" t="s">
        <v>4598</v>
      </c>
      <c r="D451" s="3626">
        <v>35.99</v>
      </c>
      <c r="E451" s="3623">
        <f>典型户型修正!C473</f>
        <v>0.99</v>
      </c>
      <c r="F451" s="3623">
        <f ca="1">典型户型修正!R473</f>
        <v>5706</v>
      </c>
      <c r="G451" s="3623">
        <f ca="1">典型户型修正!S473</f>
        <v>21</v>
      </c>
    </row>
    <row r="452" spans="1:7">
      <c r="A452" s="3625" t="s">
        <v>5070</v>
      </c>
      <c r="B452" s="3625"/>
      <c r="C452" s="3626" t="s">
        <v>4599</v>
      </c>
      <c r="D452" s="3626">
        <v>35.99</v>
      </c>
      <c r="E452" s="3623">
        <f>典型户型修正!C474</f>
        <v>0.99</v>
      </c>
      <c r="F452" s="3623">
        <f ca="1">典型户型修正!R474</f>
        <v>5706</v>
      </c>
      <c r="G452" s="3623">
        <f ca="1">典型户型修正!S474</f>
        <v>21</v>
      </c>
    </row>
    <row r="453" spans="1:7">
      <c r="A453" s="3625" t="s">
        <v>5070</v>
      </c>
      <c r="B453" s="3625"/>
      <c r="C453" s="3626" t="s">
        <v>4600</v>
      </c>
      <c r="D453" s="3626">
        <v>35.99</v>
      </c>
      <c r="E453" s="3623">
        <f>典型户型修正!C475</f>
        <v>0.99</v>
      </c>
      <c r="F453" s="3623">
        <f ca="1">典型户型修正!R475</f>
        <v>5706</v>
      </c>
      <c r="G453" s="3623">
        <f ca="1">典型户型修正!S475</f>
        <v>21</v>
      </c>
    </row>
    <row r="454" spans="1:7">
      <c r="A454" s="3625" t="s">
        <v>5070</v>
      </c>
      <c r="B454" s="3625"/>
      <c r="C454" s="3626" t="s">
        <v>4601</v>
      </c>
      <c r="D454" s="3626">
        <v>35.99</v>
      </c>
      <c r="E454" s="3623">
        <f>典型户型修正!C476</f>
        <v>0.99</v>
      </c>
      <c r="F454" s="3623">
        <f ca="1">典型户型修正!R476</f>
        <v>5706</v>
      </c>
      <c r="G454" s="3623">
        <f ca="1">典型户型修正!S476</f>
        <v>21</v>
      </c>
    </row>
    <row r="455" spans="1:7">
      <c r="A455" s="3625" t="s">
        <v>5070</v>
      </c>
      <c r="B455" s="3625"/>
      <c r="C455" s="3626" t="s">
        <v>4602</v>
      </c>
      <c r="D455" s="3626">
        <v>37.49</v>
      </c>
      <c r="E455" s="3623">
        <f>典型户型修正!C477</f>
        <v>0.99</v>
      </c>
      <c r="F455" s="3623">
        <f ca="1">典型户型修正!R477</f>
        <v>5706</v>
      </c>
      <c r="G455" s="3623">
        <f ca="1">典型户型修正!S477</f>
        <v>21</v>
      </c>
    </row>
    <row r="456" spans="1:7">
      <c r="A456" s="3625" t="s">
        <v>5070</v>
      </c>
      <c r="B456" s="3625"/>
      <c r="C456" s="3626" t="s">
        <v>4603</v>
      </c>
      <c r="D456" s="3626">
        <v>37.49</v>
      </c>
      <c r="E456" s="3623">
        <f>典型户型修正!C478</f>
        <v>0.99</v>
      </c>
      <c r="F456" s="3623">
        <f ca="1">典型户型修正!R478</f>
        <v>5706</v>
      </c>
      <c r="G456" s="3623">
        <f ca="1">典型户型修正!S478</f>
        <v>21</v>
      </c>
    </row>
    <row r="457" spans="1:7">
      <c r="A457" s="3625" t="s">
        <v>5070</v>
      </c>
      <c r="B457" s="3625"/>
      <c r="C457" s="3626" t="s">
        <v>4604</v>
      </c>
      <c r="D457" s="3626">
        <v>37.49</v>
      </c>
      <c r="E457" s="3623">
        <f>典型户型修正!C479</f>
        <v>0.99</v>
      </c>
      <c r="F457" s="3623">
        <f ca="1">典型户型修正!R479</f>
        <v>5706</v>
      </c>
      <c r="G457" s="3623">
        <f ca="1">典型户型修正!S479</f>
        <v>21</v>
      </c>
    </row>
    <row r="458" spans="1:7">
      <c r="A458" s="3625" t="s">
        <v>5070</v>
      </c>
      <c r="B458" s="3625"/>
      <c r="C458" s="3626" t="s">
        <v>4605</v>
      </c>
      <c r="D458" s="3626">
        <v>36.71</v>
      </c>
      <c r="E458" s="3623">
        <f>典型户型修正!C480</f>
        <v>0.99</v>
      </c>
      <c r="F458" s="3623">
        <f ca="1">典型户型修正!R480</f>
        <v>5706</v>
      </c>
      <c r="G458" s="3623">
        <f ca="1">典型户型修正!S480</f>
        <v>21</v>
      </c>
    </row>
    <row r="459" spans="1:7">
      <c r="A459" s="3625" t="s">
        <v>5070</v>
      </c>
      <c r="B459" s="3625"/>
      <c r="C459" s="3626" t="s">
        <v>4606</v>
      </c>
      <c r="D459" s="3626">
        <v>37.49</v>
      </c>
      <c r="E459" s="3623">
        <f>典型户型修正!C481</f>
        <v>0.99</v>
      </c>
      <c r="F459" s="3623">
        <f ca="1">典型户型修正!R481</f>
        <v>5706</v>
      </c>
      <c r="G459" s="3623">
        <f ca="1">典型户型修正!S481</f>
        <v>21</v>
      </c>
    </row>
    <row r="460" spans="1:7">
      <c r="A460" s="3625" t="s">
        <v>5070</v>
      </c>
      <c r="B460" s="3625"/>
      <c r="C460" s="3626" t="s">
        <v>4607</v>
      </c>
      <c r="D460" s="3626">
        <v>37.49</v>
      </c>
      <c r="E460" s="3623">
        <f>典型户型修正!C482</f>
        <v>0.99</v>
      </c>
      <c r="F460" s="3623">
        <f ca="1">典型户型修正!R482</f>
        <v>5706</v>
      </c>
      <c r="G460" s="3623">
        <f ca="1">典型户型修正!S482</f>
        <v>21</v>
      </c>
    </row>
    <row r="461" spans="1:7">
      <c r="A461" s="3625" t="s">
        <v>5070</v>
      </c>
      <c r="B461" s="3625"/>
      <c r="C461" s="3626" t="s">
        <v>4608</v>
      </c>
      <c r="D461" s="3626">
        <v>38.99</v>
      </c>
      <c r="E461" s="3623">
        <f>典型户型修正!C483</f>
        <v>0.99</v>
      </c>
      <c r="F461" s="3623">
        <f ca="1">典型户型修正!R483</f>
        <v>5706</v>
      </c>
      <c r="G461" s="3623">
        <f ca="1">典型户型修正!S483</f>
        <v>22</v>
      </c>
    </row>
    <row r="462" spans="1:7">
      <c r="A462" s="3625" t="s">
        <v>5070</v>
      </c>
      <c r="B462" s="3625"/>
      <c r="C462" s="3626" t="s">
        <v>4609</v>
      </c>
      <c r="D462" s="3626">
        <v>35.99</v>
      </c>
      <c r="E462" s="3623">
        <f>典型户型修正!C484</f>
        <v>0.99</v>
      </c>
      <c r="F462" s="3623">
        <f ca="1">典型户型修正!R484</f>
        <v>5706</v>
      </c>
      <c r="G462" s="3623">
        <f ca="1">典型户型修正!S484</f>
        <v>21</v>
      </c>
    </row>
    <row r="463" spans="1:7">
      <c r="A463" s="3625" t="s">
        <v>5070</v>
      </c>
      <c r="B463" s="3625"/>
      <c r="C463" s="3626" t="s">
        <v>4610</v>
      </c>
      <c r="D463" s="3626">
        <v>35.99</v>
      </c>
      <c r="E463" s="3623">
        <f>典型户型修正!C485</f>
        <v>0.99</v>
      </c>
      <c r="F463" s="3623">
        <f ca="1">典型户型修正!R485</f>
        <v>5706</v>
      </c>
      <c r="G463" s="3623">
        <f ca="1">典型户型修正!S485</f>
        <v>21</v>
      </c>
    </row>
    <row r="464" spans="1:7">
      <c r="A464" s="3625" t="s">
        <v>5070</v>
      </c>
      <c r="B464" s="3625"/>
      <c r="C464" s="3626" t="s">
        <v>4611</v>
      </c>
      <c r="D464" s="3626">
        <v>35.99</v>
      </c>
      <c r="E464" s="3623">
        <f>典型户型修正!C486</f>
        <v>0.99</v>
      </c>
      <c r="F464" s="3623">
        <f ca="1">典型户型修正!R486</f>
        <v>5706</v>
      </c>
      <c r="G464" s="3623">
        <f ca="1">典型户型修正!S486</f>
        <v>21</v>
      </c>
    </row>
    <row r="465" spans="1:7">
      <c r="A465" s="3625" t="s">
        <v>5070</v>
      </c>
      <c r="B465" s="3625"/>
      <c r="C465" s="3626" t="s">
        <v>4612</v>
      </c>
      <c r="D465" s="3626">
        <v>35.99</v>
      </c>
      <c r="E465" s="3623">
        <f>典型户型修正!C487</f>
        <v>0.99</v>
      </c>
      <c r="F465" s="3623">
        <f ca="1">典型户型修正!R487</f>
        <v>5706</v>
      </c>
      <c r="G465" s="3623">
        <f ca="1">典型户型修正!S487</f>
        <v>21</v>
      </c>
    </row>
    <row r="466" spans="1:7">
      <c r="A466" s="3625" t="s">
        <v>5070</v>
      </c>
      <c r="B466" s="3625"/>
      <c r="C466" s="3626" t="s">
        <v>4613</v>
      </c>
      <c r="D466" s="3626">
        <v>35.99</v>
      </c>
      <c r="E466" s="3623">
        <f>典型户型修正!C488</f>
        <v>0.99</v>
      </c>
      <c r="F466" s="3623">
        <f ca="1">典型户型修正!R488</f>
        <v>5706</v>
      </c>
      <c r="G466" s="3623">
        <f ca="1">典型户型修正!S488</f>
        <v>21</v>
      </c>
    </row>
    <row r="467" spans="1:7">
      <c r="A467" s="3625" t="s">
        <v>5070</v>
      </c>
      <c r="B467" s="3625"/>
      <c r="C467" s="3626" t="s">
        <v>4614</v>
      </c>
      <c r="D467" s="3626">
        <v>35.99</v>
      </c>
      <c r="E467" s="3623">
        <f>典型户型修正!C489</f>
        <v>0.99</v>
      </c>
      <c r="F467" s="3623">
        <f ca="1">典型户型修正!R489</f>
        <v>5706</v>
      </c>
      <c r="G467" s="3623">
        <f ca="1">典型户型修正!S489</f>
        <v>21</v>
      </c>
    </row>
    <row r="468" spans="1:7">
      <c r="A468" s="3625" t="s">
        <v>5070</v>
      </c>
      <c r="B468" s="3625"/>
      <c r="C468" s="3626" t="s">
        <v>4615</v>
      </c>
      <c r="D468" s="3626">
        <v>37.49</v>
      </c>
      <c r="E468" s="3623">
        <f>典型户型修正!C490</f>
        <v>0.99</v>
      </c>
      <c r="F468" s="3623">
        <f ca="1">典型户型修正!R490</f>
        <v>5706</v>
      </c>
      <c r="G468" s="3623">
        <f ca="1">典型户型修正!S490</f>
        <v>21</v>
      </c>
    </row>
    <row r="469" spans="1:7">
      <c r="A469" s="3625" t="s">
        <v>5070</v>
      </c>
      <c r="B469" s="3625"/>
      <c r="C469" s="3626" t="s">
        <v>4616</v>
      </c>
      <c r="D469" s="3626">
        <v>37.49</v>
      </c>
      <c r="E469" s="3623">
        <f>典型户型修正!C491</f>
        <v>0.99</v>
      </c>
      <c r="F469" s="3623">
        <f ca="1">典型户型修正!R491</f>
        <v>5706</v>
      </c>
      <c r="G469" s="3623">
        <f ca="1">典型户型修正!S491</f>
        <v>21</v>
      </c>
    </row>
    <row r="470" spans="1:7">
      <c r="A470" s="3625" t="s">
        <v>5070</v>
      </c>
      <c r="B470" s="3625"/>
      <c r="C470" s="3626" t="s">
        <v>4617</v>
      </c>
      <c r="D470" s="3626">
        <v>35.99</v>
      </c>
      <c r="E470" s="3623">
        <f>典型户型修正!C492</f>
        <v>0.99</v>
      </c>
      <c r="F470" s="3623">
        <f ca="1">典型户型修正!R492</f>
        <v>5706</v>
      </c>
      <c r="G470" s="3623">
        <f ca="1">典型户型修正!S492</f>
        <v>21</v>
      </c>
    </row>
    <row r="471" spans="1:7">
      <c r="A471" s="3625" t="s">
        <v>5070</v>
      </c>
      <c r="B471" s="3625"/>
      <c r="C471" s="3626" t="s">
        <v>4618</v>
      </c>
      <c r="D471" s="3626">
        <v>35.99</v>
      </c>
      <c r="E471" s="3623">
        <f>典型户型修正!C493</f>
        <v>0.99</v>
      </c>
      <c r="F471" s="3623">
        <f ca="1">典型户型修正!R493</f>
        <v>5706</v>
      </c>
      <c r="G471" s="3623">
        <f ca="1">典型户型修正!S493</f>
        <v>21</v>
      </c>
    </row>
    <row r="472" spans="1:7">
      <c r="A472" s="3625" t="s">
        <v>5070</v>
      </c>
      <c r="B472" s="3625"/>
      <c r="C472" s="3626" t="s">
        <v>4619</v>
      </c>
      <c r="D472" s="3626">
        <v>35.99</v>
      </c>
      <c r="E472" s="3623">
        <f>典型户型修正!C494</f>
        <v>0.99</v>
      </c>
      <c r="F472" s="3623">
        <f ca="1">典型户型修正!R494</f>
        <v>5706</v>
      </c>
      <c r="G472" s="3623">
        <f ca="1">典型户型修正!S494</f>
        <v>21</v>
      </c>
    </row>
    <row r="473" spans="1:7">
      <c r="A473" s="3625" t="s">
        <v>5070</v>
      </c>
      <c r="B473" s="3625"/>
      <c r="C473" s="3626" t="s">
        <v>4620</v>
      </c>
      <c r="D473" s="3626">
        <v>35.99</v>
      </c>
      <c r="E473" s="3623">
        <f>典型户型修正!C495</f>
        <v>0.99</v>
      </c>
      <c r="F473" s="3623">
        <f ca="1">典型户型修正!R495</f>
        <v>5706</v>
      </c>
      <c r="G473" s="3623">
        <f ca="1">典型户型修正!S495</f>
        <v>21</v>
      </c>
    </row>
    <row r="474" spans="1:7">
      <c r="A474" s="3625" t="s">
        <v>5070</v>
      </c>
      <c r="B474" s="3625"/>
      <c r="C474" s="3626" t="s">
        <v>4621</v>
      </c>
      <c r="D474" s="3626">
        <v>35.99</v>
      </c>
      <c r="E474" s="3623">
        <f>典型户型修正!C496</f>
        <v>0.99</v>
      </c>
      <c r="F474" s="3623">
        <f ca="1">典型户型修正!R496</f>
        <v>5706</v>
      </c>
      <c r="G474" s="3623">
        <f ca="1">典型户型修正!S496</f>
        <v>21</v>
      </c>
    </row>
    <row r="475" spans="1:7">
      <c r="A475" s="3625" t="s">
        <v>5070</v>
      </c>
      <c r="B475" s="3625"/>
      <c r="C475" s="3626" t="s">
        <v>4622</v>
      </c>
      <c r="D475" s="3626">
        <v>35.99</v>
      </c>
      <c r="E475" s="3623">
        <f>典型户型修正!C497</f>
        <v>0.99</v>
      </c>
      <c r="F475" s="3623">
        <f ca="1">典型户型修正!R497</f>
        <v>5706</v>
      </c>
      <c r="G475" s="3623">
        <f ca="1">典型户型修正!S497</f>
        <v>21</v>
      </c>
    </row>
    <row r="476" spans="1:7">
      <c r="A476" s="3625" t="s">
        <v>5070</v>
      </c>
      <c r="B476" s="3625"/>
      <c r="C476" s="3626" t="s">
        <v>4623</v>
      </c>
      <c r="D476" s="3626">
        <v>35.99</v>
      </c>
      <c r="E476" s="3623">
        <f>典型户型修正!C498</f>
        <v>0.99</v>
      </c>
      <c r="F476" s="3623">
        <f ca="1">典型户型修正!R498</f>
        <v>5706</v>
      </c>
      <c r="G476" s="3623">
        <f ca="1">典型户型修正!S498</f>
        <v>21</v>
      </c>
    </row>
    <row r="477" spans="1:7">
      <c r="A477" s="3625" t="s">
        <v>5070</v>
      </c>
      <c r="B477" s="3625"/>
      <c r="C477" s="3626" t="s">
        <v>4624</v>
      </c>
      <c r="D477" s="3626">
        <v>36.340000000000003</v>
      </c>
      <c r="E477" s="3623">
        <f>典型户型修正!C499</f>
        <v>0.99</v>
      </c>
      <c r="F477" s="3623">
        <f ca="1">典型户型修正!R499</f>
        <v>5706</v>
      </c>
      <c r="G477" s="3623">
        <f ca="1">典型户型修正!S499</f>
        <v>21</v>
      </c>
    </row>
    <row r="478" spans="1:7">
      <c r="A478" s="3625" t="s">
        <v>5070</v>
      </c>
      <c r="B478" s="3625"/>
      <c r="C478" s="3626" t="s">
        <v>4625</v>
      </c>
      <c r="D478" s="3626">
        <v>36.340000000000003</v>
      </c>
      <c r="E478" s="3623">
        <f>典型户型修正!C500</f>
        <v>0.99</v>
      </c>
      <c r="F478" s="3623">
        <f ca="1">典型户型修正!R500</f>
        <v>5706</v>
      </c>
      <c r="G478" s="3623">
        <f ca="1">典型户型修正!S500</f>
        <v>21</v>
      </c>
    </row>
    <row r="479" spans="1:7">
      <c r="A479" s="3625" t="s">
        <v>5070</v>
      </c>
      <c r="B479" s="3625"/>
      <c r="C479" s="3626" t="s">
        <v>4626</v>
      </c>
      <c r="D479" s="3626">
        <v>36.340000000000003</v>
      </c>
      <c r="E479" s="3623">
        <f>典型户型修正!C501</f>
        <v>0.99</v>
      </c>
      <c r="F479" s="3623">
        <f ca="1">典型户型修正!R501</f>
        <v>5706</v>
      </c>
      <c r="G479" s="3623">
        <f ca="1">典型户型修正!S501</f>
        <v>21</v>
      </c>
    </row>
    <row r="480" spans="1:7">
      <c r="A480" s="3625" t="s">
        <v>5070</v>
      </c>
      <c r="B480" s="3625"/>
      <c r="C480" s="3626" t="s">
        <v>4627</v>
      </c>
      <c r="D480" s="3626">
        <v>36.340000000000003</v>
      </c>
      <c r="E480" s="3623">
        <f>典型户型修正!C502</f>
        <v>0.99</v>
      </c>
      <c r="F480" s="3623">
        <f ca="1">典型户型修正!R502</f>
        <v>5706</v>
      </c>
      <c r="G480" s="3623">
        <f ca="1">典型户型修正!S502</f>
        <v>21</v>
      </c>
    </row>
    <row r="481" spans="1:7">
      <c r="A481" s="3625" t="s">
        <v>5070</v>
      </c>
      <c r="B481" s="3625"/>
      <c r="C481" s="3626" t="s">
        <v>4628</v>
      </c>
      <c r="D481" s="3626">
        <v>36.340000000000003</v>
      </c>
      <c r="E481" s="3623">
        <f>典型户型修正!C503</f>
        <v>0.99</v>
      </c>
      <c r="F481" s="3623">
        <f ca="1">典型户型修正!R503</f>
        <v>5706</v>
      </c>
      <c r="G481" s="3623">
        <f ca="1">典型户型修正!S503</f>
        <v>21</v>
      </c>
    </row>
    <row r="482" spans="1:7">
      <c r="A482" s="3625" t="s">
        <v>5070</v>
      </c>
      <c r="B482" s="3625"/>
      <c r="C482" s="3626" t="s">
        <v>4629</v>
      </c>
      <c r="D482" s="3626">
        <v>38.659999999999997</v>
      </c>
      <c r="E482" s="3623">
        <f>典型户型修正!C504</f>
        <v>0.99</v>
      </c>
      <c r="F482" s="3623">
        <f ca="1">典型户型修正!R504</f>
        <v>5706</v>
      </c>
      <c r="G482" s="3623">
        <f ca="1">典型户型修正!S504</f>
        <v>22</v>
      </c>
    </row>
    <row r="483" spans="1:7">
      <c r="A483" s="3625" t="s">
        <v>5070</v>
      </c>
      <c r="B483" s="3625"/>
      <c r="C483" s="3626" t="s">
        <v>4630</v>
      </c>
      <c r="D483" s="3626">
        <v>38.659999999999997</v>
      </c>
      <c r="E483" s="3623">
        <f>典型户型修正!C505</f>
        <v>0.99</v>
      </c>
      <c r="F483" s="3623">
        <f ca="1">典型户型修正!R505</f>
        <v>5706</v>
      </c>
      <c r="G483" s="3623">
        <f ca="1">典型户型修正!S505</f>
        <v>22</v>
      </c>
    </row>
    <row r="484" spans="1:7">
      <c r="A484" s="3625" t="s">
        <v>5070</v>
      </c>
      <c r="B484" s="3625"/>
      <c r="C484" s="3626" t="s">
        <v>4631</v>
      </c>
      <c r="D484" s="3626">
        <v>35.56</v>
      </c>
      <c r="E484" s="3623">
        <f>典型户型修正!C506</f>
        <v>0.99</v>
      </c>
      <c r="F484" s="3623">
        <f ca="1">典型户型修正!R506</f>
        <v>5706</v>
      </c>
      <c r="G484" s="3623">
        <f ca="1">典型户型修正!S506</f>
        <v>20</v>
      </c>
    </row>
    <row r="485" spans="1:7">
      <c r="A485" s="3625" t="s">
        <v>5070</v>
      </c>
      <c r="B485" s="3625"/>
      <c r="C485" s="3626" t="s">
        <v>4632</v>
      </c>
      <c r="D485" s="3626">
        <v>35.56</v>
      </c>
      <c r="E485" s="3623">
        <f>典型户型修正!C507</f>
        <v>0.99</v>
      </c>
      <c r="F485" s="3623">
        <f ca="1">典型户型修正!R507</f>
        <v>5706</v>
      </c>
      <c r="G485" s="3623">
        <f ca="1">典型户型修正!S507</f>
        <v>20</v>
      </c>
    </row>
    <row r="486" spans="1:7">
      <c r="A486" s="3625" t="s">
        <v>5070</v>
      </c>
      <c r="B486" s="3625"/>
      <c r="C486" s="3626" t="s">
        <v>4633</v>
      </c>
      <c r="D486" s="3626">
        <v>35.56</v>
      </c>
      <c r="E486" s="3623">
        <f>典型户型修正!C508</f>
        <v>0.99</v>
      </c>
      <c r="F486" s="3623">
        <f ca="1">典型户型修正!R508</f>
        <v>5706</v>
      </c>
      <c r="G486" s="3623">
        <f ca="1">典型户型修正!S508</f>
        <v>20</v>
      </c>
    </row>
    <row r="487" spans="1:7">
      <c r="A487" s="3625" t="s">
        <v>5070</v>
      </c>
      <c r="B487" s="3625"/>
      <c r="C487" s="3626" t="s">
        <v>4634</v>
      </c>
      <c r="D487" s="3626">
        <v>35.56</v>
      </c>
      <c r="E487" s="3623">
        <f>典型户型修正!C509</f>
        <v>0.99</v>
      </c>
      <c r="F487" s="3623">
        <f ca="1">典型户型修正!R509</f>
        <v>5706</v>
      </c>
      <c r="G487" s="3623">
        <f ca="1">典型户型修正!S509</f>
        <v>20</v>
      </c>
    </row>
    <row r="488" spans="1:7">
      <c r="A488" s="3625" t="s">
        <v>5070</v>
      </c>
      <c r="B488" s="3625"/>
      <c r="C488" s="3626" t="s">
        <v>4635</v>
      </c>
      <c r="D488" s="3626">
        <v>35.56</v>
      </c>
      <c r="E488" s="3623">
        <f>典型户型修正!C510</f>
        <v>0.99</v>
      </c>
      <c r="F488" s="3623">
        <f ca="1">典型户型修正!R510</f>
        <v>5706</v>
      </c>
      <c r="G488" s="3623">
        <f ca="1">典型户型修正!S510</f>
        <v>20</v>
      </c>
    </row>
    <row r="489" spans="1:7">
      <c r="A489" s="3625" t="s">
        <v>5070</v>
      </c>
      <c r="B489" s="3625"/>
      <c r="C489" s="3626" t="s">
        <v>4636</v>
      </c>
      <c r="D489" s="3626">
        <v>35.56</v>
      </c>
      <c r="E489" s="3623">
        <f>典型户型修正!C511</f>
        <v>0.99</v>
      </c>
      <c r="F489" s="3623">
        <f ca="1">典型户型修正!R511</f>
        <v>5706</v>
      </c>
      <c r="G489" s="3623">
        <f ca="1">典型户型修正!S511</f>
        <v>20</v>
      </c>
    </row>
    <row r="490" spans="1:7">
      <c r="A490" s="3625" t="s">
        <v>5070</v>
      </c>
      <c r="B490" s="3625"/>
      <c r="C490" s="3626" t="s">
        <v>4637</v>
      </c>
      <c r="D490" s="3626">
        <v>35.56</v>
      </c>
      <c r="E490" s="3623">
        <f>典型户型修正!C512</f>
        <v>0.99</v>
      </c>
      <c r="F490" s="3623">
        <f ca="1">典型户型修正!R512</f>
        <v>5706</v>
      </c>
      <c r="G490" s="3623">
        <f ca="1">典型户型修正!S512</f>
        <v>20</v>
      </c>
    </row>
    <row r="491" spans="1:7">
      <c r="A491" s="3625" t="s">
        <v>5070</v>
      </c>
      <c r="B491" s="3625"/>
      <c r="C491" s="3626" t="s">
        <v>4638</v>
      </c>
      <c r="D491" s="3626">
        <v>35.56</v>
      </c>
      <c r="E491" s="3623">
        <f>典型户型修正!C513</f>
        <v>0.99</v>
      </c>
      <c r="F491" s="3623">
        <f ca="1">典型户型修正!R513</f>
        <v>5706</v>
      </c>
      <c r="G491" s="3623">
        <f ca="1">典型户型修正!S513</f>
        <v>20</v>
      </c>
    </row>
    <row r="492" spans="1:7">
      <c r="A492" s="3625" t="s">
        <v>5070</v>
      </c>
      <c r="B492" s="3625"/>
      <c r="C492" s="3626" t="s">
        <v>4639</v>
      </c>
      <c r="D492" s="3626">
        <v>35.56</v>
      </c>
      <c r="E492" s="3623">
        <f>典型户型修正!C514</f>
        <v>0.99</v>
      </c>
      <c r="F492" s="3623">
        <f ca="1">典型户型修正!R514</f>
        <v>5706</v>
      </c>
      <c r="G492" s="3623">
        <f ca="1">典型户型修正!S514</f>
        <v>20</v>
      </c>
    </row>
    <row r="493" spans="1:7">
      <c r="A493" s="3625" t="s">
        <v>5070</v>
      </c>
      <c r="B493" s="3625"/>
      <c r="C493" s="3626" t="s">
        <v>4640</v>
      </c>
      <c r="D493" s="3626">
        <v>36.340000000000003</v>
      </c>
      <c r="E493" s="3623">
        <f>典型户型修正!C515</f>
        <v>0.99</v>
      </c>
      <c r="F493" s="3623">
        <f ca="1">典型户型修正!R515</f>
        <v>5706</v>
      </c>
      <c r="G493" s="3623">
        <f ca="1">典型户型修正!S515</f>
        <v>21</v>
      </c>
    </row>
    <row r="494" spans="1:7">
      <c r="A494" s="3625" t="s">
        <v>5070</v>
      </c>
      <c r="B494" s="3625"/>
      <c r="C494" s="3626" t="s">
        <v>4641</v>
      </c>
      <c r="D494" s="3626">
        <v>36.340000000000003</v>
      </c>
      <c r="E494" s="3623">
        <f>典型户型修正!C516</f>
        <v>0.99</v>
      </c>
      <c r="F494" s="3623">
        <f ca="1">典型户型修正!R516</f>
        <v>5706</v>
      </c>
      <c r="G494" s="3623">
        <f ca="1">典型户型修正!S516</f>
        <v>21</v>
      </c>
    </row>
    <row r="495" spans="1:7">
      <c r="A495" s="3625" t="s">
        <v>5070</v>
      </c>
      <c r="B495" s="3625"/>
      <c r="C495" s="3626" t="s">
        <v>4642</v>
      </c>
      <c r="D495" s="3626">
        <v>36.340000000000003</v>
      </c>
      <c r="E495" s="3623">
        <f>典型户型修正!C517</f>
        <v>0.99</v>
      </c>
      <c r="F495" s="3623">
        <f ca="1">典型户型修正!R517</f>
        <v>5706</v>
      </c>
      <c r="G495" s="3623">
        <f ca="1">典型户型修正!S517</f>
        <v>21</v>
      </c>
    </row>
    <row r="496" spans="1:7">
      <c r="A496" s="3625" t="s">
        <v>5070</v>
      </c>
      <c r="B496" s="3625"/>
      <c r="C496" s="3626" t="s">
        <v>4643</v>
      </c>
      <c r="D496" s="3626">
        <v>36.340000000000003</v>
      </c>
      <c r="E496" s="3623">
        <f>典型户型修正!C518</f>
        <v>0.99</v>
      </c>
      <c r="F496" s="3623">
        <f ca="1">典型户型修正!R518</f>
        <v>5706</v>
      </c>
      <c r="G496" s="3623">
        <f ca="1">典型户型修正!S518</f>
        <v>21</v>
      </c>
    </row>
    <row r="497" spans="1:7">
      <c r="A497" s="3625" t="s">
        <v>5070</v>
      </c>
      <c r="B497" s="3625"/>
      <c r="C497" s="3626" t="s">
        <v>4644</v>
      </c>
      <c r="D497" s="3626">
        <v>36.340000000000003</v>
      </c>
      <c r="E497" s="3623">
        <f>典型户型修正!C519</f>
        <v>0.99</v>
      </c>
      <c r="F497" s="3623">
        <f ca="1">典型户型修正!R519</f>
        <v>5706</v>
      </c>
      <c r="G497" s="3623">
        <f ca="1">典型户型修正!S519</f>
        <v>21</v>
      </c>
    </row>
    <row r="498" spans="1:7">
      <c r="A498" s="3625" t="s">
        <v>5070</v>
      </c>
      <c r="B498" s="3625"/>
      <c r="C498" s="3626" t="s">
        <v>4645</v>
      </c>
      <c r="D498" s="3626">
        <v>36.340000000000003</v>
      </c>
      <c r="E498" s="3623">
        <f>典型户型修正!C520</f>
        <v>0.99</v>
      </c>
      <c r="F498" s="3623">
        <f ca="1">典型户型修正!R520</f>
        <v>5706</v>
      </c>
      <c r="G498" s="3623">
        <f ca="1">典型户型修正!S520</f>
        <v>21</v>
      </c>
    </row>
    <row r="499" spans="1:7">
      <c r="A499" s="3625" t="s">
        <v>5070</v>
      </c>
      <c r="B499" s="3625"/>
      <c r="C499" s="3626" t="s">
        <v>4646</v>
      </c>
      <c r="D499" s="3626">
        <v>36.340000000000003</v>
      </c>
      <c r="E499" s="3623">
        <f>典型户型修正!C521</f>
        <v>0.99</v>
      </c>
      <c r="F499" s="3623">
        <f ca="1">典型户型修正!R521</f>
        <v>5706</v>
      </c>
      <c r="G499" s="3623">
        <f ca="1">典型户型修正!S521</f>
        <v>21</v>
      </c>
    </row>
    <row r="500" spans="1:7">
      <c r="A500" s="3625" t="s">
        <v>5070</v>
      </c>
      <c r="B500" s="3625"/>
      <c r="C500" s="3626" t="s">
        <v>4647</v>
      </c>
      <c r="D500" s="3626">
        <v>36.340000000000003</v>
      </c>
      <c r="E500" s="3623">
        <f>典型户型修正!C522</f>
        <v>0.99</v>
      </c>
      <c r="F500" s="3623">
        <f ca="1">典型户型修正!R522</f>
        <v>5706</v>
      </c>
      <c r="G500" s="3623">
        <f ca="1">典型户型修正!S522</f>
        <v>21</v>
      </c>
    </row>
    <row r="501" spans="1:7">
      <c r="A501" s="3625" t="s">
        <v>5070</v>
      </c>
      <c r="B501" s="3625"/>
      <c r="C501" s="3626" t="s">
        <v>4648</v>
      </c>
      <c r="D501" s="3626">
        <v>36.340000000000003</v>
      </c>
      <c r="E501" s="3623">
        <f>典型户型修正!C523</f>
        <v>0.99</v>
      </c>
      <c r="F501" s="3623">
        <f ca="1">典型户型修正!R523</f>
        <v>5706</v>
      </c>
      <c r="G501" s="3623">
        <f ca="1">典型户型修正!S523</f>
        <v>21</v>
      </c>
    </row>
    <row r="502" spans="1:7">
      <c r="A502" s="3625" t="s">
        <v>5070</v>
      </c>
      <c r="B502" s="3625"/>
      <c r="C502" s="3626" t="s">
        <v>4649</v>
      </c>
      <c r="D502" s="3626">
        <v>36.340000000000003</v>
      </c>
      <c r="E502" s="3623">
        <f>典型户型修正!C524</f>
        <v>0.99</v>
      </c>
      <c r="F502" s="3623">
        <f ca="1">典型户型修正!R524</f>
        <v>5706</v>
      </c>
      <c r="G502" s="3623">
        <f ca="1">典型户型修正!S524</f>
        <v>21</v>
      </c>
    </row>
    <row r="503" spans="1:7">
      <c r="A503" s="3625" t="s">
        <v>5070</v>
      </c>
      <c r="B503" s="3625"/>
      <c r="C503" s="3626" t="s">
        <v>4650</v>
      </c>
      <c r="D503" s="3626">
        <v>36.340000000000003</v>
      </c>
      <c r="E503" s="3623">
        <f>典型户型修正!C525</f>
        <v>0.99</v>
      </c>
      <c r="F503" s="3623">
        <f ca="1">典型户型修正!R525</f>
        <v>5706</v>
      </c>
      <c r="G503" s="3623">
        <f ca="1">典型户型修正!S525</f>
        <v>21</v>
      </c>
    </row>
    <row r="504" spans="1:7">
      <c r="A504" s="3625" t="s">
        <v>5070</v>
      </c>
      <c r="B504" s="3625"/>
      <c r="C504" s="3626" t="s">
        <v>4651</v>
      </c>
      <c r="D504" s="3626">
        <v>36.340000000000003</v>
      </c>
      <c r="E504" s="3623">
        <f>典型户型修正!C526</f>
        <v>0.99</v>
      </c>
      <c r="F504" s="3623">
        <f ca="1">典型户型修正!R526</f>
        <v>5706</v>
      </c>
      <c r="G504" s="3623">
        <f ca="1">典型户型修正!S526</f>
        <v>21</v>
      </c>
    </row>
    <row r="505" spans="1:7">
      <c r="A505" s="3625" t="s">
        <v>5070</v>
      </c>
      <c r="B505" s="3625"/>
      <c r="C505" s="3626" t="s">
        <v>4652</v>
      </c>
      <c r="D505" s="3626">
        <v>36.340000000000003</v>
      </c>
      <c r="E505" s="3623">
        <f>典型户型修正!C527</f>
        <v>0.99</v>
      </c>
      <c r="F505" s="3623">
        <f ca="1">典型户型修正!R527</f>
        <v>5706</v>
      </c>
      <c r="G505" s="3623">
        <f ca="1">典型户型修正!S527</f>
        <v>21</v>
      </c>
    </row>
    <row r="506" spans="1:7">
      <c r="A506" s="3625" t="s">
        <v>5070</v>
      </c>
      <c r="B506" s="3625"/>
      <c r="C506" s="3626" t="s">
        <v>4653</v>
      </c>
      <c r="D506" s="3626">
        <v>36.340000000000003</v>
      </c>
      <c r="E506" s="3623">
        <f>典型户型修正!C528</f>
        <v>0.99</v>
      </c>
      <c r="F506" s="3623">
        <f ca="1">典型户型修正!R528</f>
        <v>5706</v>
      </c>
      <c r="G506" s="3623">
        <f ca="1">典型户型修正!S528</f>
        <v>21</v>
      </c>
    </row>
    <row r="507" spans="1:7">
      <c r="A507" s="3625" t="s">
        <v>5070</v>
      </c>
      <c r="B507" s="3625"/>
      <c r="C507" s="3626" t="s">
        <v>4654</v>
      </c>
      <c r="D507" s="3626">
        <v>36.340000000000003</v>
      </c>
      <c r="E507" s="3623">
        <f>典型户型修正!C529</f>
        <v>0.99</v>
      </c>
      <c r="F507" s="3623">
        <f ca="1">典型户型修正!R529</f>
        <v>5706</v>
      </c>
      <c r="G507" s="3623">
        <f ca="1">典型户型修正!S529</f>
        <v>21</v>
      </c>
    </row>
    <row r="508" spans="1:7">
      <c r="A508" s="3625" t="s">
        <v>5070</v>
      </c>
      <c r="B508" s="3625"/>
      <c r="C508" s="3626" t="s">
        <v>4655</v>
      </c>
      <c r="D508" s="3626">
        <v>37.11</v>
      </c>
      <c r="E508" s="3623">
        <f>典型户型修正!C530</f>
        <v>0.99</v>
      </c>
      <c r="F508" s="3623">
        <f ca="1">典型户型修正!R530</f>
        <v>5706</v>
      </c>
      <c r="G508" s="3623">
        <f ca="1">典型户型修正!S530</f>
        <v>21</v>
      </c>
    </row>
    <row r="509" spans="1:7">
      <c r="A509" s="3625" t="s">
        <v>5070</v>
      </c>
      <c r="B509" s="3625"/>
      <c r="C509" s="3626" t="s">
        <v>4656</v>
      </c>
      <c r="D509" s="3626">
        <v>37.11</v>
      </c>
      <c r="E509" s="3623">
        <f>典型户型修正!C531</f>
        <v>0.99</v>
      </c>
      <c r="F509" s="3623">
        <f ca="1">典型户型修正!R531</f>
        <v>5706</v>
      </c>
      <c r="G509" s="3623">
        <f ca="1">典型户型修正!S531</f>
        <v>21</v>
      </c>
    </row>
    <row r="510" spans="1:7">
      <c r="A510" s="3625" t="s">
        <v>5070</v>
      </c>
      <c r="B510" s="3625"/>
      <c r="C510" s="3626" t="s">
        <v>4657</v>
      </c>
      <c r="D510" s="3626">
        <v>37.11</v>
      </c>
      <c r="E510" s="3623">
        <f>典型户型修正!C532</f>
        <v>0.99</v>
      </c>
      <c r="F510" s="3623">
        <f ca="1">典型户型修正!R532</f>
        <v>5706</v>
      </c>
      <c r="G510" s="3623">
        <f ca="1">典型户型修正!S532</f>
        <v>21</v>
      </c>
    </row>
    <row r="511" spans="1:7">
      <c r="A511" s="3625" t="s">
        <v>5070</v>
      </c>
      <c r="B511" s="3625"/>
      <c r="C511" s="3626" t="s">
        <v>4658</v>
      </c>
      <c r="D511" s="3626">
        <v>35.630000000000003</v>
      </c>
      <c r="E511" s="3623">
        <f>典型户型修正!C533</f>
        <v>0.99</v>
      </c>
      <c r="F511" s="3623">
        <f ca="1">典型户型修正!R533</f>
        <v>5706</v>
      </c>
      <c r="G511" s="3623">
        <f ca="1">典型户型修正!S533</f>
        <v>20</v>
      </c>
    </row>
    <row r="512" spans="1:7">
      <c r="A512" s="3625" t="s">
        <v>5070</v>
      </c>
      <c r="B512" s="3625"/>
      <c r="C512" s="3626" t="s">
        <v>4659</v>
      </c>
      <c r="D512" s="3626">
        <v>35.630000000000003</v>
      </c>
      <c r="E512" s="3623">
        <f>典型户型修正!C534</f>
        <v>0.99</v>
      </c>
      <c r="F512" s="3623">
        <f ca="1">典型户型修正!R534</f>
        <v>5706</v>
      </c>
      <c r="G512" s="3623">
        <f ca="1">典型户型修正!S534</f>
        <v>20</v>
      </c>
    </row>
    <row r="513" spans="1:7">
      <c r="A513" s="3625" t="s">
        <v>5070</v>
      </c>
      <c r="B513" s="3625"/>
      <c r="C513" s="3626" t="s">
        <v>4660</v>
      </c>
      <c r="D513" s="3626">
        <v>35.630000000000003</v>
      </c>
      <c r="E513" s="3623">
        <f>典型户型修正!C535</f>
        <v>0.99</v>
      </c>
      <c r="F513" s="3623">
        <f ca="1">典型户型修正!R535</f>
        <v>5706</v>
      </c>
      <c r="G513" s="3623">
        <f ca="1">典型户型修正!S535</f>
        <v>20</v>
      </c>
    </row>
    <row r="514" spans="1:7">
      <c r="A514" s="3625" t="s">
        <v>5070</v>
      </c>
      <c r="B514" s="3625"/>
      <c r="C514" s="3626" t="s">
        <v>4661</v>
      </c>
      <c r="D514" s="3626">
        <v>37.85</v>
      </c>
      <c r="E514" s="3623">
        <f>典型户型修正!C536</f>
        <v>0.99</v>
      </c>
      <c r="F514" s="3623">
        <f ca="1">典型户型修正!R536</f>
        <v>5706</v>
      </c>
      <c r="G514" s="3623">
        <f ca="1">典型户型修正!S536</f>
        <v>22</v>
      </c>
    </row>
    <row r="515" spans="1:7">
      <c r="A515" s="3625" t="s">
        <v>5070</v>
      </c>
      <c r="B515" s="3625"/>
      <c r="C515" s="3626" t="s">
        <v>4662</v>
      </c>
      <c r="D515" s="3626">
        <v>37.85</v>
      </c>
      <c r="E515" s="3623">
        <f>典型户型修正!C537</f>
        <v>0.99</v>
      </c>
      <c r="F515" s="3623">
        <f ca="1">典型户型修正!R537</f>
        <v>5706</v>
      </c>
      <c r="G515" s="3623">
        <f ca="1">典型户型修正!S537</f>
        <v>22</v>
      </c>
    </row>
    <row r="516" spans="1:7">
      <c r="A516" s="3625" t="s">
        <v>5070</v>
      </c>
      <c r="B516" s="3625"/>
      <c r="C516" s="3626" t="s">
        <v>4663</v>
      </c>
      <c r="D516" s="3626">
        <v>35.630000000000003</v>
      </c>
      <c r="E516" s="3623">
        <f>典型户型修正!C538</f>
        <v>0.99</v>
      </c>
      <c r="F516" s="3623">
        <f ca="1">典型户型修正!R538</f>
        <v>5706</v>
      </c>
      <c r="G516" s="3623">
        <f ca="1">典型户型修正!S538</f>
        <v>20</v>
      </c>
    </row>
    <row r="517" spans="1:7">
      <c r="A517" s="3625" t="s">
        <v>5070</v>
      </c>
      <c r="B517" s="3625"/>
      <c r="C517" s="3626" t="s">
        <v>4664</v>
      </c>
      <c r="D517" s="3626">
        <v>35.630000000000003</v>
      </c>
      <c r="E517" s="3623">
        <f>典型户型修正!C539</f>
        <v>0.99</v>
      </c>
      <c r="F517" s="3623">
        <f ca="1">典型户型修正!R539</f>
        <v>5706</v>
      </c>
      <c r="G517" s="3623">
        <f ca="1">典型户型修正!S539</f>
        <v>20</v>
      </c>
    </row>
    <row r="518" spans="1:7">
      <c r="A518" s="3625" t="s">
        <v>5070</v>
      </c>
      <c r="B518" s="3625"/>
      <c r="C518" s="3626" t="s">
        <v>4665</v>
      </c>
      <c r="D518" s="3626">
        <v>35.630000000000003</v>
      </c>
      <c r="E518" s="3623">
        <f>典型户型修正!C540</f>
        <v>0.99</v>
      </c>
      <c r="F518" s="3623">
        <f ca="1">典型户型修正!R540</f>
        <v>5706</v>
      </c>
      <c r="G518" s="3623">
        <f ca="1">典型户型修正!S540</f>
        <v>20</v>
      </c>
    </row>
    <row r="519" spans="1:7">
      <c r="A519" s="3625" t="s">
        <v>5070</v>
      </c>
      <c r="B519" s="3625"/>
      <c r="C519" s="3626" t="s">
        <v>4666</v>
      </c>
      <c r="D519" s="3626">
        <v>35.630000000000003</v>
      </c>
      <c r="E519" s="3623">
        <f>典型户型修正!C541</f>
        <v>0.99</v>
      </c>
      <c r="F519" s="3623">
        <f ca="1">典型户型修正!R541</f>
        <v>5706</v>
      </c>
      <c r="G519" s="3623">
        <f ca="1">典型户型修正!S541</f>
        <v>20</v>
      </c>
    </row>
    <row r="520" spans="1:7">
      <c r="A520" s="3625" t="s">
        <v>5070</v>
      </c>
      <c r="B520" s="3625"/>
      <c r="C520" s="3626" t="s">
        <v>4667</v>
      </c>
      <c r="D520" s="3626">
        <v>35.630000000000003</v>
      </c>
      <c r="E520" s="3623">
        <f>典型户型修正!C542</f>
        <v>0.99</v>
      </c>
      <c r="F520" s="3623">
        <f ca="1">典型户型修正!R542</f>
        <v>5706</v>
      </c>
      <c r="G520" s="3623">
        <f ca="1">典型户型修正!S542</f>
        <v>20</v>
      </c>
    </row>
    <row r="521" spans="1:7">
      <c r="A521" s="3625" t="s">
        <v>5070</v>
      </c>
      <c r="B521" s="3625"/>
      <c r="C521" s="3626" t="s">
        <v>4668</v>
      </c>
      <c r="D521" s="3626">
        <v>35.630000000000003</v>
      </c>
      <c r="E521" s="3623">
        <f>典型户型修正!C543</f>
        <v>0.99</v>
      </c>
      <c r="F521" s="3623">
        <f ca="1">典型户型修正!R543</f>
        <v>5706</v>
      </c>
      <c r="G521" s="3623">
        <f ca="1">典型户型修正!S543</f>
        <v>20</v>
      </c>
    </row>
    <row r="522" spans="1:7">
      <c r="A522" s="3625" t="s">
        <v>5070</v>
      </c>
      <c r="B522" s="3625"/>
      <c r="C522" s="3626" t="s">
        <v>4669</v>
      </c>
      <c r="D522" s="3626">
        <v>35.99</v>
      </c>
      <c r="E522" s="3623">
        <f>典型户型修正!C544</f>
        <v>0.99</v>
      </c>
      <c r="F522" s="3623">
        <f ca="1">典型户型修正!R544</f>
        <v>5706</v>
      </c>
      <c r="G522" s="3623">
        <f ca="1">典型户型修正!S544</f>
        <v>21</v>
      </c>
    </row>
    <row r="523" spans="1:7">
      <c r="A523" s="3625" t="s">
        <v>5070</v>
      </c>
      <c r="B523" s="3625"/>
      <c r="C523" s="3626" t="s">
        <v>4670</v>
      </c>
      <c r="D523" s="3626">
        <v>37.49</v>
      </c>
      <c r="E523" s="3623">
        <f>典型户型修正!C545</f>
        <v>0.99</v>
      </c>
      <c r="F523" s="3623">
        <f ca="1">典型户型修正!R545</f>
        <v>5706</v>
      </c>
      <c r="G523" s="3623">
        <f ca="1">典型户型修正!S545</f>
        <v>21</v>
      </c>
    </row>
    <row r="524" spans="1:7">
      <c r="A524" s="3625" t="s">
        <v>5070</v>
      </c>
      <c r="B524" s="3625"/>
      <c r="C524" s="3626" t="s">
        <v>4671</v>
      </c>
      <c r="D524" s="3626">
        <v>37.49</v>
      </c>
      <c r="E524" s="3623">
        <f>典型户型修正!C546</f>
        <v>0.99</v>
      </c>
      <c r="F524" s="3623">
        <f ca="1">典型户型修正!R546</f>
        <v>5706</v>
      </c>
      <c r="G524" s="3623">
        <f ca="1">典型户型修正!S546</f>
        <v>21</v>
      </c>
    </row>
    <row r="525" spans="1:7">
      <c r="A525" s="3625" t="s">
        <v>5070</v>
      </c>
      <c r="B525" s="3625"/>
      <c r="C525" s="3626" t="s">
        <v>4672</v>
      </c>
      <c r="D525" s="3626">
        <v>35.99</v>
      </c>
      <c r="E525" s="3623">
        <f>典型户型修正!C547</f>
        <v>0.99</v>
      </c>
      <c r="F525" s="3623">
        <f ca="1">典型户型修正!R547</f>
        <v>5706</v>
      </c>
      <c r="G525" s="3623">
        <f ca="1">典型户型修正!S547</f>
        <v>21</v>
      </c>
    </row>
    <row r="526" spans="1:7">
      <c r="A526" s="3625" t="s">
        <v>5070</v>
      </c>
      <c r="B526" s="3625"/>
      <c r="C526" s="3626" t="s">
        <v>4673</v>
      </c>
      <c r="D526" s="3626">
        <v>35.99</v>
      </c>
      <c r="E526" s="3623">
        <f>典型户型修正!C548</f>
        <v>0.99</v>
      </c>
      <c r="F526" s="3623">
        <f ca="1">典型户型修正!R548</f>
        <v>5706</v>
      </c>
      <c r="G526" s="3623">
        <f ca="1">典型户型修正!S548</f>
        <v>21</v>
      </c>
    </row>
    <row r="527" spans="1:7">
      <c r="A527" s="3625" t="s">
        <v>5070</v>
      </c>
      <c r="B527" s="3625"/>
      <c r="C527" s="3626" t="s">
        <v>4674</v>
      </c>
      <c r="D527" s="3626">
        <v>35.99</v>
      </c>
      <c r="E527" s="3623">
        <f>典型户型修正!C549</f>
        <v>0.99</v>
      </c>
      <c r="F527" s="3623">
        <f ca="1">典型户型修正!R549</f>
        <v>5706</v>
      </c>
      <c r="G527" s="3623">
        <f ca="1">典型户型修正!S549</f>
        <v>21</v>
      </c>
    </row>
    <row r="528" spans="1:7">
      <c r="A528" s="3625" t="s">
        <v>5070</v>
      </c>
      <c r="B528" s="3625"/>
      <c r="C528" s="3626" t="s">
        <v>4675</v>
      </c>
      <c r="D528" s="3626">
        <v>35.99</v>
      </c>
      <c r="E528" s="3623">
        <f>典型户型修正!C550</f>
        <v>0.99</v>
      </c>
      <c r="F528" s="3623">
        <f ca="1">典型户型修正!R550</f>
        <v>5706</v>
      </c>
      <c r="G528" s="3623">
        <f ca="1">典型户型修正!S550</f>
        <v>21</v>
      </c>
    </row>
    <row r="529" spans="1:7">
      <c r="A529" s="3625" t="s">
        <v>5070</v>
      </c>
      <c r="B529" s="3625"/>
      <c r="C529" s="3626" t="s">
        <v>4676</v>
      </c>
      <c r="D529" s="3626">
        <v>35.99</v>
      </c>
      <c r="E529" s="3623">
        <f>典型户型修正!C551</f>
        <v>0.99</v>
      </c>
      <c r="F529" s="3623">
        <f ca="1">典型户型修正!R551</f>
        <v>5706</v>
      </c>
      <c r="G529" s="3623">
        <f ca="1">典型户型修正!S551</f>
        <v>21</v>
      </c>
    </row>
    <row r="530" spans="1:7">
      <c r="A530" s="3625" t="s">
        <v>5070</v>
      </c>
      <c r="B530" s="3625"/>
      <c r="C530" s="3626" t="s">
        <v>4677</v>
      </c>
      <c r="D530" s="3626">
        <v>35.99</v>
      </c>
      <c r="E530" s="3623">
        <f>典型户型修正!C552</f>
        <v>0.99</v>
      </c>
      <c r="F530" s="3623">
        <f ca="1">典型户型修正!R552</f>
        <v>5706</v>
      </c>
      <c r="G530" s="3623">
        <f ca="1">典型户型修正!S552</f>
        <v>21</v>
      </c>
    </row>
    <row r="531" spans="1:7">
      <c r="A531" s="3625" t="s">
        <v>5070</v>
      </c>
      <c r="B531" s="3625"/>
      <c r="C531" s="3626" t="s">
        <v>4678</v>
      </c>
      <c r="D531" s="3626">
        <v>35.99</v>
      </c>
      <c r="E531" s="3623">
        <f>典型户型修正!C553</f>
        <v>0.99</v>
      </c>
      <c r="F531" s="3623">
        <f ca="1">典型户型修正!R553</f>
        <v>5706</v>
      </c>
      <c r="G531" s="3623">
        <f ca="1">典型户型修正!S553</f>
        <v>21</v>
      </c>
    </row>
    <row r="532" spans="1:7">
      <c r="A532" s="3625" t="s">
        <v>5070</v>
      </c>
      <c r="B532" s="3625"/>
      <c r="C532" s="3626" t="s">
        <v>4679</v>
      </c>
      <c r="D532" s="3626">
        <v>35.99</v>
      </c>
      <c r="E532" s="3623">
        <f>典型户型修正!C554</f>
        <v>0.99</v>
      </c>
      <c r="F532" s="3623">
        <f ca="1">典型户型修正!R554</f>
        <v>5706</v>
      </c>
      <c r="G532" s="3623">
        <f ca="1">典型户型修正!S554</f>
        <v>21</v>
      </c>
    </row>
    <row r="533" spans="1:7">
      <c r="A533" s="3625" t="s">
        <v>5070</v>
      </c>
      <c r="B533" s="3625"/>
      <c r="C533" s="3626" t="s">
        <v>4680</v>
      </c>
      <c r="D533" s="3626">
        <v>35.99</v>
      </c>
      <c r="E533" s="3623">
        <f>典型户型修正!C555</f>
        <v>0.99</v>
      </c>
      <c r="F533" s="3623">
        <f ca="1">典型户型修正!R555</f>
        <v>5706</v>
      </c>
      <c r="G533" s="3623">
        <f ca="1">典型户型修正!S555</f>
        <v>21</v>
      </c>
    </row>
    <row r="534" spans="1:7">
      <c r="A534" s="3625" t="s">
        <v>5070</v>
      </c>
      <c r="B534" s="3625"/>
      <c r="C534" s="3626" t="s">
        <v>4681</v>
      </c>
      <c r="D534" s="3626">
        <v>33.65</v>
      </c>
      <c r="E534" s="3623">
        <f>典型户型修正!C556</f>
        <v>1</v>
      </c>
      <c r="F534" s="3623">
        <f ca="1">典型户型修正!R556</f>
        <v>5764</v>
      </c>
      <c r="G534" s="3623">
        <f ca="1">典型户型修正!S556</f>
        <v>19</v>
      </c>
    </row>
    <row r="535" spans="1:7">
      <c r="A535" s="3625" t="s">
        <v>5070</v>
      </c>
      <c r="B535" s="3625"/>
      <c r="C535" s="3626" t="s">
        <v>4682</v>
      </c>
      <c r="D535" s="3626">
        <v>37.49</v>
      </c>
      <c r="E535" s="3623">
        <f>典型户型修正!C557</f>
        <v>0.99</v>
      </c>
      <c r="F535" s="3623">
        <f ca="1">典型户型修正!R557</f>
        <v>5706</v>
      </c>
      <c r="G535" s="3623">
        <f ca="1">典型户型修正!S557</f>
        <v>21</v>
      </c>
    </row>
    <row r="536" spans="1:7">
      <c r="A536" s="3625" t="s">
        <v>5070</v>
      </c>
      <c r="B536" s="3625"/>
      <c r="C536" s="3626" t="s">
        <v>4683</v>
      </c>
      <c r="D536" s="3626">
        <v>37.49</v>
      </c>
      <c r="E536" s="3623">
        <f>典型户型修正!C558</f>
        <v>0.99</v>
      </c>
      <c r="F536" s="3623">
        <f ca="1">典型户型修正!R558</f>
        <v>5706</v>
      </c>
      <c r="G536" s="3623">
        <f ca="1">典型户型修正!S558</f>
        <v>21</v>
      </c>
    </row>
    <row r="537" spans="1:7">
      <c r="A537" s="3625" t="s">
        <v>5070</v>
      </c>
      <c r="B537" s="3625"/>
      <c r="C537" s="3626" t="s">
        <v>4684</v>
      </c>
      <c r="D537" s="3626">
        <v>37.49</v>
      </c>
      <c r="E537" s="3623">
        <f>典型户型修正!C559</f>
        <v>0.99</v>
      </c>
      <c r="F537" s="3623">
        <f ca="1">典型户型修正!R559</f>
        <v>5706</v>
      </c>
      <c r="G537" s="3623">
        <f ca="1">典型户型修正!S559</f>
        <v>21</v>
      </c>
    </row>
    <row r="538" spans="1:7">
      <c r="A538" s="3625" t="s">
        <v>5070</v>
      </c>
      <c r="B538" s="3625"/>
      <c r="C538" s="3626" t="s">
        <v>4685</v>
      </c>
      <c r="D538" s="3626">
        <v>37.49</v>
      </c>
      <c r="E538" s="3623">
        <f>典型户型修正!C560</f>
        <v>0.99</v>
      </c>
      <c r="F538" s="3623">
        <f ca="1">典型户型修正!R560</f>
        <v>5706</v>
      </c>
      <c r="G538" s="3623">
        <f ca="1">典型户型修正!S560</f>
        <v>21</v>
      </c>
    </row>
    <row r="539" spans="1:7">
      <c r="A539" s="3625" t="s">
        <v>5070</v>
      </c>
      <c r="B539" s="3625"/>
      <c r="C539" s="3626" t="s">
        <v>4686</v>
      </c>
      <c r="D539" s="3626">
        <v>37.49</v>
      </c>
      <c r="E539" s="3623">
        <f>典型户型修正!C561</f>
        <v>0.99</v>
      </c>
      <c r="F539" s="3623">
        <f ca="1">典型户型修正!R561</f>
        <v>5706</v>
      </c>
      <c r="G539" s="3623">
        <f ca="1">典型户型修正!S561</f>
        <v>21</v>
      </c>
    </row>
    <row r="540" spans="1:7">
      <c r="A540" s="3625" t="s">
        <v>5070</v>
      </c>
      <c r="B540" s="3625"/>
      <c r="C540" s="3626" t="s">
        <v>4687</v>
      </c>
      <c r="D540" s="3626">
        <v>37.49</v>
      </c>
      <c r="E540" s="3623">
        <f>典型户型修正!C562</f>
        <v>0.99</v>
      </c>
      <c r="F540" s="3623">
        <f ca="1">典型户型修正!R562</f>
        <v>5706</v>
      </c>
      <c r="G540" s="3623">
        <f ca="1">典型户型修正!S562</f>
        <v>21</v>
      </c>
    </row>
    <row r="541" spans="1:7">
      <c r="A541" s="3625" t="s">
        <v>5070</v>
      </c>
      <c r="B541" s="3625"/>
      <c r="C541" s="3626" t="s">
        <v>4688</v>
      </c>
      <c r="D541" s="3626">
        <v>37.49</v>
      </c>
      <c r="E541" s="3623">
        <f>典型户型修正!C563</f>
        <v>0.99</v>
      </c>
      <c r="F541" s="3623">
        <f ca="1">典型户型修正!R563</f>
        <v>5706</v>
      </c>
      <c r="G541" s="3623">
        <f ca="1">典型户型修正!S563</f>
        <v>21</v>
      </c>
    </row>
    <row r="542" spans="1:7">
      <c r="A542" s="3625" t="s">
        <v>5070</v>
      </c>
      <c r="B542" s="3625"/>
      <c r="C542" s="3626" t="s">
        <v>4689</v>
      </c>
      <c r="D542" s="3626">
        <v>37.49</v>
      </c>
      <c r="E542" s="3623">
        <f>典型户型修正!C564</f>
        <v>0.99</v>
      </c>
      <c r="F542" s="3623">
        <f ca="1">典型户型修正!R564</f>
        <v>5706</v>
      </c>
      <c r="G542" s="3623">
        <f ca="1">典型户型修正!S564</f>
        <v>21</v>
      </c>
    </row>
    <row r="543" spans="1:7">
      <c r="A543" s="3625" t="s">
        <v>5070</v>
      </c>
      <c r="B543" s="3625"/>
      <c r="C543" s="3626" t="s">
        <v>4690</v>
      </c>
      <c r="D543" s="3626">
        <v>37.49</v>
      </c>
      <c r="E543" s="3623">
        <f>典型户型修正!C565</f>
        <v>0.99</v>
      </c>
      <c r="F543" s="3623">
        <f ca="1">典型户型修正!R565</f>
        <v>5706</v>
      </c>
      <c r="G543" s="3623">
        <f ca="1">典型户型修正!S565</f>
        <v>21</v>
      </c>
    </row>
    <row r="544" spans="1:7">
      <c r="A544" s="3625" t="s">
        <v>5070</v>
      </c>
      <c r="B544" s="3625"/>
      <c r="C544" s="3626" t="s">
        <v>4691</v>
      </c>
      <c r="D544" s="3626">
        <v>37.49</v>
      </c>
      <c r="E544" s="3623">
        <f>典型户型修正!C566</f>
        <v>0.99</v>
      </c>
      <c r="F544" s="3623">
        <f ca="1">典型户型修正!R566</f>
        <v>5706</v>
      </c>
      <c r="G544" s="3623">
        <f ca="1">典型户型修正!S566</f>
        <v>21</v>
      </c>
    </row>
    <row r="545" spans="1:7">
      <c r="A545" s="3625" t="s">
        <v>5070</v>
      </c>
      <c r="B545" s="3625"/>
      <c r="C545" s="3626" t="s">
        <v>4692</v>
      </c>
      <c r="D545" s="3626">
        <v>37.49</v>
      </c>
      <c r="E545" s="3623">
        <f>典型户型修正!C567</f>
        <v>0.99</v>
      </c>
      <c r="F545" s="3623">
        <f ca="1">典型户型修正!R567</f>
        <v>5706</v>
      </c>
      <c r="G545" s="3623">
        <f ca="1">典型户型修正!S567</f>
        <v>21</v>
      </c>
    </row>
    <row r="546" spans="1:7">
      <c r="A546" s="3625" t="s">
        <v>5070</v>
      </c>
      <c r="B546" s="3625"/>
      <c r="C546" s="3626" t="s">
        <v>4693</v>
      </c>
      <c r="D546" s="3626">
        <v>37.49</v>
      </c>
      <c r="E546" s="3623">
        <f>典型户型修正!C568</f>
        <v>0.99</v>
      </c>
      <c r="F546" s="3623">
        <f ca="1">典型户型修正!R568</f>
        <v>5706</v>
      </c>
      <c r="G546" s="3623">
        <f ca="1">典型户型修正!S568</f>
        <v>21</v>
      </c>
    </row>
    <row r="547" spans="1:7">
      <c r="A547" s="3625" t="s">
        <v>5070</v>
      </c>
      <c r="B547" s="3625"/>
      <c r="C547" s="3626" t="s">
        <v>4694</v>
      </c>
      <c r="D547" s="3626">
        <v>37.49</v>
      </c>
      <c r="E547" s="3623">
        <f>典型户型修正!C569</f>
        <v>0.99</v>
      </c>
      <c r="F547" s="3623">
        <f ca="1">典型户型修正!R569</f>
        <v>5706</v>
      </c>
      <c r="G547" s="3623">
        <f ca="1">典型户型修正!S569</f>
        <v>21</v>
      </c>
    </row>
    <row r="548" spans="1:7">
      <c r="A548" s="3625" t="s">
        <v>5070</v>
      </c>
      <c r="B548" s="3625"/>
      <c r="C548" s="3626" t="s">
        <v>4695</v>
      </c>
      <c r="D548" s="3626">
        <v>37.49</v>
      </c>
      <c r="E548" s="3623">
        <f>典型户型修正!C570</f>
        <v>0.99</v>
      </c>
      <c r="F548" s="3623">
        <f ca="1">典型户型修正!R570</f>
        <v>5706</v>
      </c>
      <c r="G548" s="3623">
        <f ca="1">典型户型修正!S570</f>
        <v>21</v>
      </c>
    </row>
    <row r="549" spans="1:7">
      <c r="A549" s="3625" t="s">
        <v>5070</v>
      </c>
      <c r="B549" s="3625"/>
      <c r="C549" s="3626" t="s">
        <v>4696</v>
      </c>
      <c r="D549" s="3626">
        <v>37.49</v>
      </c>
      <c r="E549" s="3623">
        <f>典型户型修正!C571</f>
        <v>0.99</v>
      </c>
      <c r="F549" s="3623">
        <f ca="1">典型户型修正!R571</f>
        <v>5706</v>
      </c>
      <c r="G549" s="3623">
        <f ca="1">典型户型修正!S571</f>
        <v>21</v>
      </c>
    </row>
    <row r="550" spans="1:7">
      <c r="A550" s="3625" t="s">
        <v>5070</v>
      </c>
      <c r="B550" s="3625"/>
      <c r="C550" s="3626" t="s">
        <v>4697</v>
      </c>
      <c r="D550" s="3626">
        <v>37.49</v>
      </c>
      <c r="E550" s="3623">
        <f>典型户型修正!C572</f>
        <v>0.99</v>
      </c>
      <c r="F550" s="3623">
        <f ca="1">典型户型修正!R572</f>
        <v>5706</v>
      </c>
      <c r="G550" s="3623">
        <f ca="1">典型户型修正!S572</f>
        <v>21</v>
      </c>
    </row>
    <row r="551" spans="1:7">
      <c r="A551" s="3625" t="s">
        <v>5070</v>
      </c>
      <c r="B551" s="3625"/>
      <c r="C551" s="3626" t="s">
        <v>4698</v>
      </c>
      <c r="D551" s="3626">
        <v>37.49</v>
      </c>
      <c r="E551" s="3623">
        <f>典型户型修正!C573</f>
        <v>0.99</v>
      </c>
      <c r="F551" s="3623">
        <f ca="1">典型户型修正!R573</f>
        <v>5706</v>
      </c>
      <c r="G551" s="3623">
        <f ca="1">典型户型修正!S573</f>
        <v>21</v>
      </c>
    </row>
    <row r="552" spans="1:7">
      <c r="A552" s="3625" t="s">
        <v>5070</v>
      </c>
      <c r="B552" s="3625"/>
      <c r="C552" s="3626" t="s">
        <v>4699</v>
      </c>
      <c r="D552" s="3626">
        <v>36.340000000000003</v>
      </c>
      <c r="E552" s="3623">
        <f>典型户型修正!C574</f>
        <v>0.99</v>
      </c>
      <c r="F552" s="3623">
        <f ca="1">典型户型修正!R574</f>
        <v>5706</v>
      </c>
      <c r="G552" s="3623">
        <f ca="1">典型户型修正!S574</f>
        <v>21</v>
      </c>
    </row>
    <row r="553" spans="1:7">
      <c r="A553" s="3625" t="s">
        <v>5070</v>
      </c>
      <c r="B553" s="3625"/>
      <c r="C553" s="3626" t="s">
        <v>4700</v>
      </c>
      <c r="D553" s="3626">
        <v>36.340000000000003</v>
      </c>
      <c r="E553" s="3623">
        <f>典型户型修正!C575</f>
        <v>0.99</v>
      </c>
      <c r="F553" s="3623">
        <f ca="1">典型户型修正!R575</f>
        <v>5706</v>
      </c>
      <c r="G553" s="3623">
        <f ca="1">典型户型修正!S575</f>
        <v>21</v>
      </c>
    </row>
    <row r="554" spans="1:7">
      <c r="A554" s="3625" t="s">
        <v>5070</v>
      </c>
      <c r="B554" s="3625"/>
      <c r="C554" s="3626" t="s">
        <v>4701</v>
      </c>
      <c r="D554" s="3626">
        <v>36.340000000000003</v>
      </c>
      <c r="E554" s="3623">
        <f>典型户型修正!C576</f>
        <v>0.99</v>
      </c>
      <c r="F554" s="3623">
        <f ca="1">典型户型修正!R576</f>
        <v>5706</v>
      </c>
      <c r="G554" s="3623">
        <f ca="1">典型户型修正!S576</f>
        <v>21</v>
      </c>
    </row>
    <row r="555" spans="1:7">
      <c r="A555" s="3625" t="s">
        <v>5070</v>
      </c>
      <c r="B555" s="3625"/>
      <c r="C555" s="3626" t="s">
        <v>4702</v>
      </c>
      <c r="D555" s="3626">
        <v>36.340000000000003</v>
      </c>
      <c r="E555" s="3623">
        <f>典型户型修正!C577</f>
        <v>0.99</v>
      </c>
      <c r="F555" s="3623">
        <f ca="1">典型户型修正!R577</f>
        <v>5706</v>
      </c>
      <c r="G555" s="3623">
        <f ca="1">典型户型修正!S577</f>
        <v>21</v>
      </c>
    </row>
    <row r="556" spans="1:7">
      <c r="A556" s="3625" t="s">
        <v>5070</v>
      </c>
      <c r="B556" s="3625"/>
      <c r="C556" s="3626" t="s">
        <v>4703</v>
      </c>
      <c r="D556" s="3626">
        <v>37.11</v>
      </c>
      <c r="E556" s="3623">
        <f>典型户型修正!C578</f>
        <v>0.99</v>
      </c>
      <c r="F556" s="3623">
        <f ca="1">典型户型修正!R578</f>
        <v>5706</v>
      </c>
      <c r="G556" s="3623">
        <f ca="1">典型户型修正!S578</f>
        <v>21</v>
      </c>
    </row>
    <row r="557" spans="1:7">
      <c r="A557" s="3625" t="s">
        <v>5070</v>
      </c>
      <c r="B557" s="3625"/>
      <c r="C557" s="3626" t="s">
        <v>4704</v>
      </c>
      <c r="D557" s="3626">
        <v>37.11</v>
      </c>
      <c r="E557" s="3623">
        <f>典型户型修正!C579</f>
        <v>0.99</v>
      </c>
      <c r="F557" s="3623">
        <f ca="1">典型户型修正!R579</f>
        <v>5706</v>
      </c>
      <c r="G557" s="3623">
        <f ca="1">典型户型修正!S579</f>
        <v>21</v>
      </c>
    </row>
    <row r="558" spans="1:7">
      <c r="A558" s="3625" t="s">
        <v>5070</v>
      </c>
      <c r="B558" s="3625"/>
      <c r="C558" s="3626" t="s">
        <v>4705</v>
      </c>
      <c r="D558" s="3626">
        <v>37.520000000000003</v>
      </c>
      <c r="E558" s="3623">
        <f>典型户型修正!C580</f>
        <v>0.99</v>
      </c>
      <c r="F558" s="3623">
        <f ca="1">典型户型修正!R580</f>
        <v>5706</v>
      </c>
      <c r="G558" s="3623">
        <f ca="1">典型户型修正!S580</f>
        <v>21</v>
      </c>
    </row>
    <row r="559" spans="1:7">
      <c r="A559" s="3625" t="s">
        <v>5070</v>
      </c>
      <c r="B559" s="3625"/>
      <c r="C559" s="3626" t="s">
        <v>4706</v>
      </c>
      <c r="D559" s="3626">
        <v>37.520000000000003</v>
      </c>
      <c r="E559" s="3623">
        <f>典型户型修正!C581</f>
        <v>0.99</v>
      </c>
      <c r="F559" s="3623">
        <f ca="1">典型户型修正!R581</f>
        <v>5706</v>
      </c>
      <c r="G559" s="3623">
        <f ca="1">典型户型修正!S581</f>
        <v>21</v>
      </c>
    </row>
    <row r="560" spans="1:7">
      <c r="A560" s="3625" t="s">
        <v>5070</v>
      </c>
      <c r="B560" s="3625"/>
      <c r="C560" s="3626" t="s">
        <v>4707</v>
      </c>
      <c r="D560" s="3626">
        <v>37.520000000000003</v>
      </c>
      <c r="E560" s="3623">
        <f>典型户型修正!C582</f>
        <v>0.99</v>
      </c>
      <c r="F560" s="3623">
        <f ca="1">典型户型修正!R582</f>
        <v>5706</v>
      </c>
      <c r="G560" s="3623">
        <f ca="1">典型户型修正!S582</f>
        <v>21</v>
      </c>
    </row>
    <row r="561" spans="1:7">
      <c r="A561" s="3625" t="s">
        <v>5070</v>
      </c>
      <c r="B561" s="3625"/>
      <c r="C561" s="3626" t="s">
        <v>4708</v>
      </c>
      <c r="D561" s="3626">
        <v>37.520000000000003</v>
      </c>
      <c r="E561" s="3623">
        <f>典型户型修正!C583</f>
        <v>0.99</v>
      </c>
      <c r="F561" s="3623">
        <f ca="1">典型户型修正!R583</f>
        <v>5706</v>
      </c>
      <c r="G561" s="3623">
        <f ca="1">典型户型修正!S583</f>
        <v>21</v>
      </c>
    </row>
    <row r="562" spans="1:7">
      <c r="A562" s="3625" t="s">
        <v>5070</v>
      </c>
      <c r="B562" s="3625"/>
      <c r="C562" s="3626" t="s">
        <v>4709</v>
      </c>
      <c r="D562" s="3626">
        <v>37.520000000000003</v>
      </c>
      <c r="E562" s="3623">
        <f>典型户型修正!C584</f>
        <v>0.99</v>
      </c>
      <c r="F562" s="3623">
        <f ca="1">典型户型修正!R584</f>
        <v>5706</v>
      </c>
      <c r="G562" s="3623">
        <f ca="1">典型户型修正!S584</f>
        <v>21</v>
      </c>
    </row>
    <row r="563" spans="1:7">
      <c r="A563" s="3625" t="s">
        <v>5070</v>
      </c>
      <c r="B563" s="3625"/>
      <c r="C563" s="3626" t="s">
        <v>4710</v>
      </c>
      <c r="D563" s="3626">
        <v>37.520000000000003</v>
      </c>
      <c r="E563" s="3623">
        <f>典型户型修正!C585</f>
        <v>0.99</v>
      </c>
      <c r="F563" s="3623">
        <f ca="1">典型户型修正!R585</f>
        <v>5706</v>
      </c>
      <c r="G563" s="3623">
        <f ca="1">典型户型修正!S585</f>
        <v>21</v>
      </c>
    </row>
    <row r="564" spans="1:7">
      <c r="A564" s="3625" t="s">
        <v>5070</v>
      </c>
      <c r="B564" s="3625"/>
      <c r="C564" s="3626" t="s">
        <v>4711</v>
      </c>
      <c r="D564" s="3626">
        <v>37.520000000000003</v>
      </c>
      <c r="E564" s="3623">
        <f>典型户型修正!C586</f>
        <v>0.99</v>
      </c>
      <c r="F564" s="3623">
        <f ca="1">典型户型修正!R586</f>
        <v>5706</v>
      </c>
      <c r="G564" s="3623">
        <f ca="1">典型户型修正!S586</f>
        <v>21</v>
      </c>
    </row>
    <row r="565" spans="1:7">
      <c r="A565" s="3625" t="s">
        <v>5070</v>
      </c>
      <c r="B565" s="3625"/>
      <c r="C565" s="3626" t="s">
        <v>4712</v>
      </c>
      <c r="D565" s="3626">
        <v>37.520000000000003</v>
      </c>
      <c r="E565" s="3623">
        <f>典型户型修正!C587</f>
        <v>0.99</v>
      </c>
      <c r="F565" s="3623">
        <f ca="1">典型户型修正!R587</f>
        <v>5706</v>
      </c>
      <c r="G565" s="3623">
        <f ca="1">典型户型修正!S587</f>
        <v>21</v>
      </c>
    </row>
    <row r="566" spans="1:7">
      <c r="A566" s="3625" t="s">
        <v>5070</v>
      </c>
      <c r="B566" s="3625"/>
      <c r="C566" s="3626" t="s">
        <v>4713</v>
      </c>
      <c r="D566" s="3626">
        <v>37.520000000000003</v>
      </c>
      <c r="E566" s="3623">
        <f>典型户型修正!C588</f>
        <v>0.99</v>
      </c>
      <c r="F566" s="3623">
        <f ca="1">典型户型修正!R588</f>
        <v>5706</v>
      </c>
      <c r="G566" s="3623">
        <f ca="1">典型户型修正!S588</f>
        <v>21</v>
      </c>
    </row>
    <row r="567" spans="1:7">
      <c r="A567" s="3625" t="s">
        <v>5070</v>
      </c>
      <c r="B567" s="3625"/>
      <c r="C567" s="3626" t="s">
        <v>4714</v>
      </c>
      <c r="D567" s="3626">
        <v>37.520000000000003</v>
      </c>
      <c r="E567" s="3623">
        <f>典型户型修正!C589</f>
        <v>0.99</v>
      </c>
      <c r="F567" s="3623">
        <f ca="1">典型户型修正!R589</f>
        <v>5706</v>
      </c>
      <c r="G567" s="3623">
        <f ca="1">典型户型修正!S589</f>
        <v>21</v>
      </c>
    </row>
    <row r="568" spans="1:7">
      <c r="A568" s="3625" t="s">
        <v>5070</v>
      </c>
      <c r="B568" s="3625"/>
      <c r="C568" s="3626" t="s">
        <v>4715</v>
      </c>
      <c r="D568" s="3626">
        <v>37.520000000000003</v>
      </c>
      <c r="E568" s="3623">
        <f>典型户型修正!C590</f>
        <v>0.99</v>
      </c>
      <c r="F568" s="3623">
        <f ca="1">典型户型修正!R590</f>
        <v>5706</v>
      </c>
      <c r="G568" s="3623">
        <f ca="1">典型户型修正!S590</f>
        <v>21</v>
      </c>
    </row>
    <row r="569" spans="1:7">
      <c r="A569" s="3625" t="s">
        <v>5070</v>
      </c>
      <c r="B569" s="3625"/>
      <c r="C569" s="3626" t="s">
        <v>4716</v>
      </c>
      <c r="D569" s="3626">
        <v>39.090000000000003</v>
      </c>
      <c r="E569" s="3623">
        <f>典型户型修正!C591</f>
        <v>0.99</v>
      </c>
      <c r="F569" s="3623">
        <f ca="1">典型户型修正!R591</f>
        <v>5706</v>
      </c>
      <c r="G569" s="3623">
        <f ca="1">典型户型修正!S591</f>
        <v>22</v>
      </c>
    </row>
    <row r="570" spans="1:7">
      <c r="A570" s="3625" t="s">
        <v>5070</v>
      </c>
      <c r="B570" s="3625"/>
      <c r="C570" s="3626" t="s">
        <v>4717</v>
      </c>
      <c r="D570" s="3626">
        <v>39.090000000000003</v>
      </c>
      <c r="E570" s="3623">
        <f>典型户型修正!C592</f>
        <v>0.99</v>
      </c>
      <c r="F570" s="3623">
        <f ca="1">典型户型修正!R592</f>
        <v>5706</v>
      </c>
      <c r="G570" s="3623">
        <f ca="1">典型户型修正!S592</f>
        <v>22</v>
      </c>
    </row>
    <row r="571" spans="1:7">
      <c r="A571" s="3625" t="s">
        <v>5070</v>
      </c>
      <c r="B571" s="3625"/>
      <c r="C571" s="3626" t="s">
        <v>4718</v>
      </c>
      <c r="D571" s="3626">
        <v>39.090000000000003</v>
      </c>
      <c r="E571" s="3623">
        <f>典型户型修正!C593</f>
        <v>0.99</v>
      </c>
      <c r="F571" s="3623">
        <f ca="1">典型户型修正!R593</f>
        <v>5706</v>
      </c>
      <c r="G571" s="3623">
        <f ca="1">典型户型修正!S593</f>
        <v>22</v>
      </c>
    </row>
    <row r="572" spans="1:7">
      <c r="A572" s="3625" t="s">
        <v>5070</v>
      </c>
      <c r="B572" s="3625"/>
      <c r="C572" s="3626" t="s">
        <v>4719</v>
      </c>
      <c r="D572" s="3626">
        <v>39.090000000000003</v>
      </c>
      <c r="E572" s="3623">
        <f>典型户型修正!C594</f>
        <v>0.99</v>
      </c>
      <c r="F572" s="3623">
        <f ca="1">典型户型修正!R594</f>
        <v>5706</v>
      </c>
      <c r="G572" s="3623">
        <f ca="1">典型户型修正!S594</f>
        <v>22</v>
      </c>
    </row>
    <row r="573" spans="1:7">
      <c r="A573" s="3625" t="s">
        <v>5070</v>
      </c>
      <c r="B573" s="3625"/>
      <c r="C573" s="3626" t="s">
        <v>4720</v>
      </c>
      <c r="D573" s="3626">
        <v>37.520000000000003</v>
      </c>
      <c r="E573" s="3623">
        <f>典型户型修正!C595</f>
        <v>0.99</v>
      </c>
      <c r="F573" s="3623">
        <f ca="1">典型户型修正!R595</f>
        <v>5706</v>
      </c>
      <c r="G573" s="3623">
        <f ca="1">典型户型修正!S595</f>
        <v>21</v>
      </c>
    </row>
    <row r="574" spans="1:7">
      <c r="A574" s="3625" t="s">
        <v>5070</v>
      </c>
      <c r="B574" s="3625"/>
      <c r="C574" s="3626" t="s">
        <v>4721</v>
      </c>
      <c r="D574" s="3626">
        <v>37.520000000000003</v>
      </c>
      <c r="E574" s="3623">
        <f>典型户型修正!C596</f>
        <v>0.99</v>
      </c>
      <c r="F574" s="3623">
        <f ca="1">典型户型修正!R596</f>
        <v>5706</v>
      </c>
      <c r="G574" s="3623">
        <f ca="1">典型户型修正!S596</f>
        <v>21</v>
      </c>
    </row>
    <row r="575" spans="1:7">
      <c r="A575" s="3625" t="s">
        <v>5070</v>
      </c>
      <c r="B575" s="3625"/>
      <c r="C575" s="3626" t="s">
        <v>4722</v>
      </c>
      <c r="D575" s="3626">
        <v>37.520000000000003</v>
      </c>
      <c r="E575" s="3623">
        <f>典型户型修正!C597</f>
        <v>0.99</v>
      </c>
      <c r="F575" s="3623">
        <f ca="1">典型户型修正!R597</f>
        <v>5706</v>
      </c>
      <c r="G575" s="3623">
        <f ca="1">典型户型修正!S597</f>
        <v>21</v>
      </c>
    </row>
    <row r="576" spans="1:7">
      <c r="A576" s="3625" t="s">
        <v>5070</v>
      </c>
      <c r="B576" s="3625"/>
      <c r="C576" s="3626" t="s">
        <v>4723</v>
      </c>
      <c r="D576" s="3626">
        <v>37.520000000000003</v>
      </c>
      <c r="E576" s="3623">
        <f>典型户型修正!C598</f>
        <v>0.99</v>
      </c>
      <c r="F576" s="3623">
        <f ca="1">典型户型修正!R598</f>
        <v>5706</v>
      </c>
      <c r="G576" s="3623">
        <f ca="1">典型户型修正!S598</f>
        <v>21</v>
      </c>
    </row>
    <row r="577" spans="1:7">
      <c r="A577" s="3625" t="s">
        <v>5070</v>
      </c>
      <c r="B577" s="3625"/>
      <c r="C577" s="3626" t="s">
        <v>4724</v>
      </c>
      <c r="D577" s="3626">
        <v>37.520000000000003</v>
      </c>
      <c r="E577" s="3623">
        <f>典型户型修正!C599</f>
        <v>0.99</v>
      </c>
      <c r="F577" s="3623">
        <f ca="1">典型户型修正!R599</f>
        <v>5706</v>
      </c>
      <c r="G577" s="3623">
        <f ca="1">典型户型修正!S599</f>
        <v>21</v>
      </c>
    </row>
    <row r="578" spans="1:7">
      <c r="A578" s="3625" t="s">
        <v>5070</v>
      </c>
      <c r="B578" s="3625"/>
      <c r="C578" s="3626" t="s">
        <v>4725</v>
      </c>
      <c r="D578" s="3626">
        <v>37.520000000000003</v>
      </c>
      <c r="E578" s="3623">
        <f>典型户型修正!C600</f>
        <v>0.99</v>
      </c>
      <c r="F578" s="3623">
        <f ca="1">典型户型修正!R600</f>
        <v>5706</v>
      </c>
      <c r="G578" s="3623">
        <f ca="1">典型户型修正!S600</f>
        <v>21</v>
      </c>
    </row>
    <row r="579" spans="1:7">
      <c r="A579" s="3625" t="s">
        <v>5070</v>
      </c>
      <c r="B579" s="3625"/>
      <c r="C579" s="3626" t="s">
        <v>4726</v>
      </c>
      <c r="D579" s="3626">
        <v>37.520000000000003</v>
      </c>
      <c r="E579" s="3623">
        <f>典型户型修正!C601</f>
        <v>0.99</v>
      </c>
      <c r="F579" s="3623">
        <f ca="1">典型户型修正!R601</f>
        <v>5706</v>
      </c>
      <c r="G579" s="3623">
        <f ca="1">典型户型修正!S601</f>
        <v>21</v>
      </c>
    </row>
    <row r="580" spans="1:7">
      <c r="A580" s="3625" t="s">
        <v>5070</v>
      </c>
      <c r="B580" s="3625"/>
      <c r="C580" s="3626" t="s">
        <v>4727</v>
      </c>
      <c r="D580" s="3626">
        <v>37.520000000000003</v>
      </c>
      <c r="E580" s="3623">
        <f>典型户型修正!C602</f>
        <v>0.99</v>
      </c>
      <c r="F580" s="3623">
        <f ca="1">典型户型修正!R602</f>
        <v>5706</v>
      </c>
      <c r="G580" s="3623">
        <f ca="1">典型户型修正!S602</f>
        <v>21</v>
      </c>
    </row>
    <row r="581" spans="1:7">
      <c r="A581" s="3625" t="s">
        <v>5070</v>
      </c>
      <c r="B581" s="3625"/>
      <c r="C581" s="3626" t="s">
        <v>4728</v>
      </c>
      <c r="D581" s="3626">
        <v>37.520000000000003</v>
      </c>
      <c r="E581" s="3623">
        <f>典型户型修正!C603</f>
        <v>0.99</v>
      </c>
      <c r="F581" s="3623">
        <f ca="1">典型户型修正!R603</f>
        <v>5706</v>
      </c>
      <c r="G581" s="3623">
        <f ca="1">典型户型修正!S603</f>
        <v>21</v>
      </c>
    </row>
    <row r="582" spans="1:7">
      <c r="A582" s="3625" t="s">
        <v>5070</v>
      </c>
      <c r="B582" s="3625"/>
      <c r="C582" s="3626" t="s">
        <v>4729</v>
      </c>
      <c r="D582" s="3626">
        <v>37.520000000000003</v>
      </c>
      <c r="E582" s="3623">
        <f>典型户型修正!C604</f>
        <v>0.99</v>
      </c>
      <c r="F582" s="3623">
        <f ca="1">典型户型修正!R604</f>
        <v>5706</v>
      </c>
      <c r="G582" s="3623">
        <f ca="1">典型户型修正!S604</f>
        <v>21</v>
      </c>
    </row>
    <row r="583" spans="1:7">
      <c r="A583" s="3625" t="s">
        <v>5070</v>
      </c>
      <c r="B583" s="3625"/>
      <c r="C583" s="3626" t="s">
        <v>4730</v>
      </c>
      <c r="D583" s="3626">
        <v>37.520000000000003</v>
      </c>
      <c r="E583" s="3623">
        <f>典型户型修正!C605</f>
        <v>0.99</v>
      </c>
      <c r="F583" s="3623">
        <f ca="1">典型户型修正!R605</f>
        <v>5706</v>
      </c>
      <c r="G583" s="3623">
        <f ca="1">典型户型修正!S605</f>
        <v>21</v>
      </c>
    </row>
    <row r="584" spans="1:7">
      <c r="A584" s="3625" t="s">
        <v>5070</v>
      </c>
      <c r="B584" s="3625"/>
      <c r="C584" s="3626" t="s">
        <v>4731</v>
      </c>
      <c r="D584" s="3626">
        <v>37.520000000000003</v>
      </c>
      <c r="E584" s="3623">
        <f>典型户型修正!C606</f>
        <v>0.99</v>
      </c>
      <c r="F584" s="3623">
        <f ca="1">典型户型修正!R606</f>
        <v>5706</v>
      </c>
      <c r="G584" s="3623">
        <f ca="1">典型户型修正!S606</f>
        <v>21</v>
      </c>
    </row>
    <row r="585" spans="1:7">
      <c r="A585" s="3625" t="s">
        <v>5070</v>
      </c>
      <c r="B585" s="3625"/>
      <c r="C585" s="3626" t="s">
        <v>4732</v>
      </c>
      <c r="D585" s="3626">
        <v>37.520000000000003</v>
      </c>
      <c r="E585" s="3623">
        <f>典型户型修正!C607</f>
        <v>0.99</v>
      </c>
      <c r="F585" s="3623">
        <f ca="1">典型户型修正!R607</f>
        <v>5706</v>
      </c>
      <c r="G585" s="3623">
        <f ca="1">典型户型修正!S607</f>
        <v>21</v>
      </c>
    </row>
    <row r="586" spans="1:7">
      <c r="A586" s="3625" t="s">
        <v>5070</v>
      </c>
      <c r="B586" s="3625"/>
      <c r="C586" s="3626" t="s">
        <v>4733</v>
      </c>
      <c r="D586" s="3626">
        <v>37.520000000000003</v>
      </c>
      <c r="E586" s="3623">
        <f>典型户型修正!C608</f>
        <v>0.99</v>
      </c>
      <c r="F586" s="3623">
        <f ca="1">典型户型修正!R608</f>
        <v>5706</v>
      </c>
      <c r="G586" s="3623">
        <f ca="1">典型户型修正!S608</f>
        <v>21</v>
      </c>
    </row>
    <row r="587" spans="1:7">
      <c r="A587" s="3625" t="s">
        <v>5070</v>
      </c>
      <c r="B587" s="3625"/>
      <c r="C587" s="3626" t="s">
        <v>4734</v>
      </c>
      <c r="D587" s="3626">
        <v>37.520000000000003</v>
      </c>
      <c r="E587" s="3623">
        <f>典型户型修正!C609</f>
        <v>0.99</v>
      </c>
      <c r="F587" s="3623">
        <f ca="1">典型户型修正!R609</f>
        <v>5706</v>
      </c>
      <c r="G587" s="3623">
        <f ca="1">典型户型修正!S609</f>
        <v>21</v>
      </c>
    </row>
    <row r="588" spans="1:7">
      <c r="A588" s="3625" t="s">
        <v>5070</v>
      </c>
      <c r="B588" s="3625"/>
      <c r="C588" s="3626" t="s">
        <v>4735</v>
      </c>
      <c r="D588" s="3626">
        <v>37.520000000000003</v>
      </c>
      <c r="E588" s="3623">
        <f>典型户型修正!C610</f>
        <v>0.99</v>
      </c>
      <c r="F588" s="3623">
        <f ca="1">典型户型修正!R610</f>
        <v>5706</v>
      </c>
      <c r="G588" s="3623">
        <f ca="1">典型户型修正!S610</f>
        <v>21</v>
      </c>
    </row>
    <row r="589" spans="1:7">
      <c r="A589" s="3625" t="s">
        <v>5070</v>
      </c>
      <c r="B589" s="3625"/>
      <c r="C589" s="3626" t="s">
        <v>4736</v>
      </c>
      <c r="D589" s="3626">
        <v>37.520000000000003</v>
      </c>
      <c r="E589" s="3623">
        <f>典型户型修正!C611</f>
        <v>0.99</v>
      </c>
      <c r="F589" s="3623">
        <f ca="1">典型户型修正!R611</f>
        <v>5706</v>
      </c>
      <c r="G589" s="3623">
        <f ca="1">典型户型修正!S611</f>
        <v>21</v>
      </c>
    </row>
    <row r="590" spans="1:7">
      <c r="A590" s="3625" t="s">
        <v>5070</v>
      </c>
      <c r="B590" s="3625"/>
      <c r="C590" s="3626" t="s">
        <v>4737</v>
      </c>
      <c r="D590" s="3626">
        <v>37.520000000000003</v>
      </c>
      <c r="E590" s="3623">
        <f>典型户型修正!C612</f>
        <v>0.99</v>
      </c>
      <c r="F590" s="3623">
        <f ca="1">典型户型修正!R612</f>
        <v>5706</v>
      </c>
      <c r="G590" s="3623">
        <f ca="1">典型户型修正!S612</f>
        <v>21</v>
      </c>
    </row>
    <row r="591" spans="1:7">
      <c r="A591" s="3625" t="s">
        <v>5070</v>
      </c>
      <c r="B591" s="3625"/>
      <c r="C591" s="3626" t="s">
        <v>4738</v>
      </c>
      <c r="D591" s="3626">
        <v>37.520000000000003</v>
      </c>
      <c r="E591" s="3623">
        <f>典型户型修正!C613</f>
        <v>0.99</v>
      </c>
      <c r="F591" s="3623">
        <f ca="1">典型户型修正!R613</f>
        <v>5706</v>
      </c>
      <c r="G591" s="3623">
        <f ca="1">典型户型修正!S613</f>
        <v>21</v>
      </c>
    </row>
    <row r="592" spans="1:7">
      <c r="A592" s="3625" t="s">
        <v>5070</v>
      </c>
      <c r="B592" s="3625"/>
      <c r="C592" s="3626" t="s">
        <v>4739</v>
      </c>
      <c r="D592" s="3626">
        <v>37.520000000000003</v>
      </c>
      <c r="E592" s="3623">
        <f>典型户型修正!C614</f>
        <v>0.99</v>
      </c>
      <c r="F592" s="3623">
        <f ca="1">典型户型修正!R614</f>
        <v>5706</v>
      </c>
      <c r="G592" s="3623">
        <f ca="1">典型户型修正!S614</f>
        <v>21</v>
      </c>
    </row>
    <row r="593" spans="1:7">
      <c r="A593" s="3625" t="s">
        <v>5070</v>
      </c>
      <c r="B593" s="3625"/>
      <c r="C593" s="3626" t="s">
        <v>4740</v>
      </c>
      <c r="D593" s="3626">
        <v>37.520000000000003</v>
      </c>
      <c r="E593" s="3623">
        <f>典型户型修正!C615</f>
        <v>0.99</v>
      </c>
      <c r="F593" s="3623">
        <f ca="1">典型户型修正!R615</f>
        <v>5706</v>
      </c>
      <c r="G593" s="3623">
        <f ca="1">典型户型修正!S615</f>
        <v>21</v>
      </c>
    </row>
    <row r="594" spans="1:7">
      <c r="A594" s="3625" t="s">
        <v>5070</v>
      </c>
      <c r="B594" s="3625"/>
      <c r="C594" s="3626" t="s">
        <v>4741</v>
      </c>
      <c r="D594" s="3626">
        <v>37.520000000000003</v>
      </c>
      <c r="E594" s="3623">
        <f>典型户型修正!C616</f>
        <v>0.99</v>
      </c>
      <c r="F594" s="3623">
        <f ca="1">典型户型修正!R616</f>
        <v>5706</v>
      </c>
      <c r="G594" s="3623">
        <f ca="1">典型户型修正!S616</f>
        <v>21</v>
      </c>
    </row>
    <row r="595" spans="1:7">
      <c r="A595" s="3625" t="s">
        <v>5070</v>
      </c>
      <c r="B595" s="3625"/>
      <c r="C595" s="3626" t="s">
        <v>4742</v>
      </c>
      <c r="D595" s="3626">
        <v>37.520000000000003</v>
      </c>
      <c r="E595" s="3623">
        <f>典型户型修正!C617</f>
        <v>0.99</v>
      </c>
      <c r="F595" s="3623">
        <f ca="1">典型户型修正!R617</f>
        <v>5706</v>
      </c>
      <c r="G595" s="3623">
        <f ca="1">典型户型修正!S617</f>
        <v>21</v>
      </c>
    </row>
    <row r="596" spans="1:7">
      <c r="A596" s="3625" t="s">
        <v>5070</v>
      </c>
      <c r="B596" s="3625"/>
      <c r="C596" s="3626" t="s">
        <v>4743</v>
      </c>
      <c r="D596" s="3626">
        <v>37.520000000000003</v>
      </c>
      <c r="E596" s="3623">
        <f>典型户型修正!C618</f>
        <v>0.99</v>
      </c>
      <c r="F596" s="3623">
        <f ca="1">典型户型修正!R618</f>
        <v>5706</v>
      </c>
      <c r="G596" s="3623">
        <f ca="1">典型户型修正!S618</f>
        <v>21</v>
      </c>
    </row>
    <row r="597" spans="1:7">
      <c r="A597" s="3625" t="s">
        <v>5070</v>
      </c>
      <c r="B597" s="3625"/>
      <c r="C597" s="3626" t="s">
        <v>4744</v>
      </c>
      <c r="D597" s="3626">
        <v>37.520000000000003</v>
      </c>
      <c r="E597" s="3623">
        <f>典型户型修正!C619</f>
        <v>0.99</v>
      </c>
      <c r="F597" s="3623">
        <f ca="1">典型户型修正!R619</f>
        <v>5706</v>
      </c>
      <c r="G597" s="3623">
        <f ca="1">典型户型修正!S619</f>
        <v>21</v>
      </c>
    </row>
    <row r="598" spans="1:7">
      <c r="A598" s="3625" t="s">
        <v>5070</v>
      </c>
      <c r="B598" s="3625"/>
      <c r="C598" s="3626" t="s">
        <v>4745</v>
      </c>
      <c r="D598" s="3626">
        <v>37.520000000000003</v>
      </c>
      <c r="E598" s="3623">
        <f>典型户型修正!C620</f>
        <v>0.99</v>
      </c>
      <c r="F598" s="3623">
        <f ca="1">典型户型修正!R620</f>
        <v>5706</v>
      </c>
      <c r="G598" s="3623">
        <f ca="1">典型户型修正!S620</f>
        <v>21</v>
      </c>
    </row>
    <row r="599" spans="1:7">
      <c r="A599" s="3625" t="s">
        <v>5070</v>
      </c>
      <c r="B599" s="3625"/>
      <c r="C599" s="3626" t="s">
        <v>4746</v>
      </c>
      <c r="D599" s="3626">
        <v>37.520000000000003</v>
      </c>
      <c r="E599" s="3623">
        <f>典型户型修正!C621</f>
        <v>0.99</v>
      </c>
      <c r="F599" s="3623">
        <f ca="1">典型户型修正!R621</f>
        <v>5706</v>
      </c>
      <c r="G599" s="3623">
        <f ca="1">典型户型修正!S621</f>
        <v>21</v>
      </c>
    </row>
    <row r="600" spans="1:7">
      <c r="A600" s="3625" t="s">
        <v>5070</v>
      </c>
      <c r="B600" s="3625"/>
      <c r="C600" s="3626" t="s">
        <v>4747</v>
      </c>
      <c r="D600" s="3626">
        <v>37.520000000000003</v>
      </c>
      <c r="E600" s="3623">
        <f>典型户型修正!C622</f>
        <v>0.99</v>
      </c>
      <c r="F600" s="3623">
        <f ca="1">典型户型修正!R622</f>
        <v>5706</v>
      </c>
      <c r="G600" s="3623">
        <f ca="1">典型户型修正!S622</f>
        <v>21</v>
      </c>
    </row>
    <row r="601" spans="1:7">
      <c r="A601" s="3625" t="s">
        <v>5070</v>
      </c>
      <c r="B601" s="3625"/>
      <c r="C601" s="3626" t="s">
        <v>4748</v>
      </c>
      <c r="D601" s="3626">
        <v>37.520000000000003</v>
      </c>
      <c r="E601" s="3623">
        <f>典型户型修正!C623</f>
        <v>0.99</v>
      </c>
      <c r="F601" s="3623">
        <f ca="1">典型户型修正!R623</f>
        <v>5706</v>
      </c>
      <c r="G601" s="3623">
        <f ca="1">典型户型修正!S623</f>
        <v>21</v>
      </c>
    </row>
    <row r="602" spans="1:7">
      <c r="A602" s="3625" t="s">
        <v>5070</v>
      </c>
      <c r="B602" s="3625"/>
      <c r="C602" s="3626" t="s">
        <v>4749</v>
      </c>
      <c r="D602" s="3626">
        <v>37.520000000000003</v>
      </c>
      <c r="E602" s="3623">
        <f>典型户型修正!C624</f>
        <v>0.99</v>
      </c>
      <c r="F602" s="3623">
        <f ca="1">典型户型修正!R624</f>
        <v>5706</v>
      </c>
      <c r="G602" s="3623">
        <f ca="1">典型户型修正!S624</f>
        <v>21</v>
      </c>
    </row>
    <row r="603" spans="1:7">
      <c r="A603" s="3625" t="s">
        <v>5070</v>
      </c>
      <c r="B603" s="3625"/>
      <c r="C603" s="3626" t="s">
        <v>4750</v>
      </c>
      <c r="D603" s="3626">
        <v>37.520000000000003</v>
      </c>
      <c r="E603" s="3623">
        <f>典型户型修正!C625</f>
        <v>0.99</v>
      </c>
      <c r="F603" s="3623">
        <f ca="1">典型户型修正!R625</f>
        <v>5706</v>
      </c>
      <c r="G603" s="3623">
        <f ca="1">典型户型修正!S625</f>
        <v>21</v>
      </c>
    </row>
    <row r="604" spans="1:7">
      <c r="A604" s="3625" t="s">
        <v>5070</v>
      </c>
      <c r="B604" s="3625"/>
      <c r="C604" s="3626" t="s">
        <v>4751</v>
      </c>
      <c r="D604" s="3626">
        <v>37.520000000000003</v>
      </c>
      <c r="E604" s="3623">
        <f>典型户型修正!C626</f>
        <v>0.99</v>
      </c>
      <c r="F604" s="3623">
        <f ca="1">典型户型修正!R626</f>
        <v>5706</v>
      </c>
      <c r="G604" s="3623">
        <f ca="1">典型户型修正!S626</f>
        <v>21</v>
      </c>
    </row>
    <row r="605" spans="1:7">
      <c r="A605" s="3625" t="s">
        <v>5070</v>
      </c>
      <c r="B605" s="3625"/>
      <c r="C605" s="3626" t="s">
        <v>4752</v>
      </c>
      <c r="D605" s="3626">
        <v>37.520000000000003</v>
      </c>
      <c r="E605" s="3623">
        <f>典型户型修正!C627</f>
        <v>0.99</v>
      </c>
      <c r="F605" s="3623">
        <f ca="1">典型户型修正!R627</f>
        <v>5706</v>
      </c>
      <c r="G605" s="3623">
        <f ca="1">典型户型修正!S627</f>
        <v>21</v>
      </c>
    </row>
    <row r="606" spans="1:7">
      <c r="A606" s="3625" t="s">
        <v>5070</v>
      </c>
      <c r="B606" s="3625"/>
      <c r="C606" s="3626" t="s">
        <v>4753</v>
      </c>
      <c r="D606" s="3626">
        <v>37.520000000000003</v>
      </c>
      <c r="E606" s="3623">
        <f>典型户型修正!C628</f>
        <v>0.99</v>
      </c>
      <c r="F606" s="3623">
        <f ca="1">典型户型修正!R628</f>
        <v>5706</v>
      </c>
      <c r="G606" s="3623">
        <f ca="1">典型户型修正!S628</f>
        <v>21</v>
      </c>
    </row>
    <row r="607" spans="1:7">
      <c r="A607" s="3625" t="s">
        <v>5070</v>
      </c>
      <c r="B607" s="3625"/>
      <c r="C607" s="3626" t="s">
        <v>4754</v>
      </c>
      <c r="D607" s="3626">
        <v>37.520000000000003</v>
      </c>
      <c r="E607" s="3623">
        <f>典型户型修正!C629</f>
        <v>0.99</v>
      </c>
      <c r="F607" s="3623">
        <f ca="1">典型户型修正!R629</f>
        <v>5706</v>
      </c>
      <c r="G607" s="3623">
        <f ca="1">典型户型修正!S629</f>
        <v>21</v>
      </c>
    </row>
    <row r="608" spans="1:7">
      <c r="A608" s="3625" t="s">
        <v>5070</v>
      </c>
      <c r="B608" s="3625"/>
      <c r="C608" s="3626" t="s">
        <v>4755</v>
      </c>
      <c r="D608" s="3626">
        <v>37.520000000000003</v>
      </c>
      <c r="E608" s="3623">
        <f>典型户型修正!C630</f>
        <v>0.99</v>
      </c>
      <c r="F608" s="3623">
        <f ca="1">典型户型修正!R630</f>
        <v>5706</v>
      </c>
      <c r="G608" s="3623">
        <f ca="1">典型户型修正!S630</f>
        <v>21</v>
      </c>
    </row>
    <row r="609" spans="1:7">
      <c r="A609" s="3625" t="s">
        <v>5070</v>
      </c>
      <c r="B609" s="3625"/>
      <c r="C609" s="3626" t="s">
        <v>4756</v>
      </c>
      <c r="D609" s="3626">
        <v>37.520000000000003</v>
      </c>
      <c r="E609" s="3623">
        <f>典型户型修正!C631</f>
        <v>0.99</v>
      </c>
      <c r="F609" s="3623">
        <f ca="1">典型户型修正!R631</f>
        <v>5706</v>
      </c>
      <c r="G609" s="3623">
        <f ca="1">典型户型修正!S631</f>
        <v>21</v>
      </c>
    </row>
    <row r="610" spans="1:7">
      <c r="A610" s="3625" t="s">
        <v>5070</v>
      </c>
      <c r="B610" s="3625"/>
      <c r="C610" s="3626" t="s">
        <v>4757</v>
      </c>
      <c r="D610" s="3626">
        <v>37.520000000000003</v>
      </c>
      <c r="E610" s="3623">
        <f>典型户型修正!C632</f>
        <v>0.99</v>
      </c>
      <c r="F610" s="3623">
        <f ca="1">典型户型修正!R632</f>
        <v>5706</v>
      </c>
      <c r="G610" s="3623">
        <f ca="1">典型户型修正!S632</f>
        <v>21</v>
      </c>
    </row>
    <row r="611" spans="1:7">
      <c r="A611" s="3625" t="s">
        <v>5070</v>
      </c>
      <c r="B611" s="3625"/>
      <c r="C611" s="3626" t="s">
        <v>4758</v>
      </c>
      <c r="D611" s="3626">
        <v>37.520000000000003</v>
      </c>
      <c r="E611" s="3623">
        <f>典型户型修正!C633</f>
        <v>0.99</v>
      </c>
      <c r="F611" s="3623">
        <f ca="1">典型户型修正!R633</f>
        <v>5706</v>
      </c>
      <c r="G611" s="3623">
        <f ca="1">典型户型修正!S633</f>
        <v>21</v>
      </c>
    </row>
    <row r="612" spans="1:7">
      <c r="A612" s="3625" t="s">
        <v>5070</v>
      </c>
      <c r="B612" s="3625"/>
      <c r="C612" s="3626" t="s">
        <v>4759</v>
      </c>
      <c r="D612" s="3626">
        <v>37.520000000000003</v>
      </c>
      <c r="E612" s="3623">
        <f>典型户型修正!C634</f>
        <v>0.99</v>
      </c>
      <c r="F612" s="3623">
        <f ca="1">典型户型修正!R634</f>
        <v>5706</v>
      </c>
      <c r="G612" s="3623">
        <f ca="1">典型户型修正!S634</f>
        <v>21</v>
      </c>
    </row>
    <row r="613" spans="1:7">
      <c r="A613" s="3625" t="s">
        <v>5070</v>
      </c>
      <c r="B613" s="3625"/>
      <c r="C613" s="3626" t="s">
        <v>4760</v>
      </c>
      <c r="D613" s="3626">
        <v>37.520000000000003</v>
      </c>
      <c r="E613" s="3623">
        <f>典型户型修正!C635</f>
        <v>0.99</v>
      </c>
      <c r="F613" s="3623">
        <f ca="1">典型户型修正!R635</f>
        <v>5706</v>
      </c>
      <c r="G613" s="3623">
        <f ca="1">典型户型修正!S635</f>
        <v>21</v>
      </c>
    </row>
    <row r="614" spans="1:7">
      <c r="A614" s="3625" t="s">
        <v>5070</v>
      </c>
      <c r="B614" s="3625"/>
      <c r="C614" s="3626" t="s">
        <v>4761</v>
      </c>
      <c r="D614" s="3626">
        <v>37.520000000000003</v>
      </c>
      <c r="E614" s="3623">
        <f>典型户型修正!C636</f>
        <v>0.99</v>
      </c>
      <c r="F614" s="3623">
        <f ca="1">典型户型修正!R636</f>
        <v>5706</v>
      </c>
      <c r="G614" s="3623">
        <f ca="1">典型户型修正!S636</f>
        <v>21</v>
      </c>
    </row>
    <row r="615" spans="1:7">
      <c r="A615" s="3625" t="s">
        <v>5070</v>
      </c>
      <c r="B615" s="3625"/>
      <c r="C615" s="3626" t="s">
        <v>4762</v>
      </c>
      <c r="D615" s="3626">
        <v>37.520000000000003</v>
      </c>
      <c r="E615" s="3623">
        <f>典型户型修正!C637</f>
        <v>0.99</v>
      </c>
      <c r="F615" s="3623">
        <f ca="1">典型户型修正!R637</f>
        <v>5706</v>
      </c>
      <c r="G615" s="3623">
        <f ca="1">典型户型修正!S637</f>
        <v>21</v>
      </c>
    </row>
    <row r="616" spans="1:7">
      <c r="A616" s="3625" t="s">
        <v>5070</v>
      </c>
      <c r="B616" s="3625"/>
      <c r="C616" s="3626" t="s">
        <v>4763</v>
      </c>
      <c r="D616" s="3626">
        <v>37.520000000000003</v>
      </c>
      <c r="E616" s="3623">
        <f>典型户型修正!C638</f>
        <v>0.99</v>
      </c>
      <c r="F616" s="3623">
        <f ca="1">典型户型修正!R638</f>
        <v>5706</v>
      </c>
      <c r="G616" s="3623">
        <f ca="1">典型户型修正!S638</f>
        <v>21</v>
      </c>
    </row>
    <row r="617" spans="1:7">
      <c r="A617" s="3625" t="s">
        <v>5070</v>
      </c>
      <c r="B617" s="3625"/>
      <c r="C617" s="3626" t="s">
        <v>4764</v>
      </c>
      <c r="D617" s="3626">
        <v>37.520000000000003</v>
      </c>
      <c r="E617" s="3623">
        <f>典型户型修正!C639</f>
        <v>0.99</v>
      </c>
      <c r="F617" s="3623">
        <f ca="1">典型户型修正!R639</f>
        <v>5706</v>
      </c>
      <c r="G617" s="3623">
        <f ca="1">典型户型修正!S639</f>
        <v>21</v>
      </c>
    </row>
    <row r="618" spans="1:7">
      <c r="A618" s="3625" t="s">
        <v>5070</v>
      </c>
      <c r="B618" s="3625"/>
      <c r="C618" s="3626" t="s">
        <v>4765</v>
      </c>
      <c r="D618" s="3626">
        <v>37.520000000000003</v>
      </c>
      <c r="E618" s="3623">
        <f>典型户型修正!C640</f>
        <v>0.99</v>
      </c>
      <c r="F618" s="3623">
        <f ca="1">典型户型修正!R640</f>
        <v>5706</v>
      </c>
      <c r="G618" s="3623">
        <f ca="1">典型户型修正!S640</f>
        <v>21</v>
      </c>
    </row>
    <row r="619" spans="1:7">
      <c r="A619" s="3625" t="s">
        <v>5070</v>
      </c>
      <c r="B619" s="3625"/>
      <c r="C619" s="3626" t="s">
        <v>4766</v>
      </c>
      <c r="D619" s="3626">
        <v>37.520000000000003</v>
      </c>
      <c r="E619" s="3623">
        <f>典型户型修正!C641</f>
        <v>0.99</v>
      </c>
      <c r="F619" s="3623">
        <f ca="1">典型户型修正!R641</f>
        <v>5706</v>
      </c>
      <c r="G619" s="3623">
        <f ca="1">典型户型修正!S641</f>
        <v>21</v>
      </c>
    </row>
    <row r="620" spans="1:7">
      <c r="A620" s="3625" t="s">
        <v>5070</v>
      </c>
      <c r="B620" s="3625"/>
      <c r="C620" s="3626" t="s">
        <v>4767</v>
      </c>
      <c r="D620" s="3626">
        <v>37.520000000000003</v>
      </c>
      <c r="E620" s="3623">
        <f>典型户型修正!C642</f>
        <v>0.99</v>
      </c>
      <c r="F620" s="3623">
        <f ca="1">典型户型修正!R642</f>
        <v>5706</v>
      </c>
      <c r="G620" s="3623">
        <f ca="1">典型户型修正!S642</f>
        <v>21</v>
      </c>
    </row>
    <row r="621" spans="1:7">
      <c r="A621" s="3625" t="s">
        <v>5070</v>
      </c>
      <c r="B621" s="3625"/>
      <c r="C621" s="3626" t="s">
        <v>4768</v>
      </c>
      <c r="D621" s="3626">
        <v>37.520000000000003</v>
      </c>
      <c r="E621" s="3623">
        <f>典型户型修正!C643</f>
        <v>0.99</v>
      </c>
      <c r="F621" s="3623">
        <f ca="1">典型户型修正!R643</f>
        <v>5706</v>
      </c>
      <c r="G621" s="3623">
        <f ca="1">典型户型修正!S643</f>
        <v>21</v>
      </c>
    </row>
    <row r="622" spans="1:7">
      <c r="A622" s="3625" t="s">
        <v>5070</v>
      </c>
      <c r="B622" s="3625"/>
      <c r="C622" s="3626" t="s">
        <v>4769</v>
      </c>
      <c r="D622" s="3626">
        <v>37.520000000000003</v>
      </c>
      <c r="E622" s="3623">
        <f>典型户型修正!C644</f>
        <v>0.99</v>
      </c>
      <c r="F622" s="3623">
        <f ca="1">典型户型修正!R644</f>
        <v>5706</v>
      </c>
      <c r="G622" s="3623">
        <f ca="1">典型户型修正!S644</f>
        <v>21</v>
      </c>
    </row>
    <row r="623" spans="1:7">
      <c r="A623" s="3625" t="s">
        <v>5070</v>
      </c>
      <c r="B623" s="3625"/>
      <c r="C623" s="3626" t="s">
        <v>4770</v>
      </c>
      <c r="D623" s="3626">
        <v>37.520000000000003</v>
      </c>
      <c r="E623" s="3623">
        <f>典型户型修正!C645</f>
        <v>0.99</v>
      </c>
      <c r="F623" s="3623">
        <f ca="1">典型户型修正!R645</f>
        <v>5706</v>
      </c>
      <c r="G623" s="3623">
        <f ca="1">典型户型修正!S645</f>
        <v>21</v>
      </c>
    </row>
    <row r="624" spans="1:7">
      <c r="A624" s="3625" t="s">
        <v>5070</v>
      </c>
      <c r="B624" s="3625"/>
      <c r="C624" s="3626" t="s">
        <v>4771</v>
      </c>
      <c r="D624" s="3626">
        <v>37.520000000000003</v>
      </c>
      <c r="E624" s="3623">
        <f>典型户型修正!C646</f>
        <v>0.99</v>
      </c>
      <c r="F624" s="3623">
        <f ca="1">典型户型修正!R646</f>
        <v>5706</v>
      </c>
      <c r="G624" s="3623">
        <f ca="1">典型户型修正!S646</f>
        <v>21</v>
      </c>
    </row>
    <row r="625" spans="1:7">
      <c r="A625" s="3625" t="s">
        <v>5070</v>
      </c>
      <c r="B625" s="3625"/>
      <c r="C625" s="3626" t="s">
        <v>4772</v>
      </c>
      <c r="D625" s="3626">
        <v>37.520000000000003</v>
      </c>
      <c r="E625" s="3623">
        <f>典型户型修正!C647</f>
        <v>0.99</v>
      </c>
      <c r="F625" s="3623">
        <f ca="1">典型户型修正!R647</f>
        <v>5706</v>
      </c>
      <c r="G625" s="3623">
        <f ca="1">典型户型修正!S647</f>
        <v>21</v>
      </c>
    </row>
    <row r="626" spans="1:7">
      <c r="A626" s="3625" t="s">
        <v>5070</v>
      </c>
      <c r="B626" s="3625"/>
      <c r="C626" s="3626" t="s">
        <v>4773</v>
      </c>
      <c r="D626" s="3626">
        <v>37.520000000000003</v>
      </c>
      <c r="E626" s="3623">
        <f>典型户型修正!C648</f>
        <v>0.99</v>
      </c>
      <c r="F626" s="3623">
        <f ca="1">典型户型修正!R648</f>
        <v>5706</v>
      </c>
      <c r="G626" s="3623">
        <f ca="1">典型户型修正!S648</f>
        <v>21</v>
      </c>
    </row>
    <row r="627" spans="1:7">
      <c r="A627" s="3625" t="s">
        <v>5070</v>
      </c>
      <c r="B627" s="3625"/>
      <c r="C627" s="3626" t="s">
        <v>4774</v>
      </c>
      <c r="D627" s="3626">
        <v>37.520000000000003</v>
      </c>
      <c r="E627" s="3623">
        <f>典型户型修正!C649</f>
        <v>0.99</v>
      </c>
      <c r="F627" s="3623">
        <f ca="1">典型户型修正!R649</f>
        <v>5706</v>
      </c>
      <c r="G627" s="3623">
        <f ca="1">典型户型修正!S649</f>
        <v>21</v>
      </c>
    </row>
    <row r="628" spans="1:7">
      <c r="A628" s="3625" t="s">
        <v>5070</v>
      </c>
      <c r="B628" s="3625"/>
      <c r="C628" s="3626" t="s">
        <v>4775</v>
      </c>
      <c r="D628" s="3626">
        <v>37.520000000000003</v>
      </c>
      <c r="E628" s="3623">
        <f>典型户型修正!C650</f>
        <v>0.99</v>
      </c>
      <c r="F628" s="3623">
        <f ca="1">典型户型修正!R650</f>
        <v>5706</v>
      </c>
      <c r="G628" s="3623">
        <f ca="1">典型户型修正!S650</f>
        <v>21</v>
      </c>
    </row>
    <row r="629" spans="1:7">
      <c r="A629" s="3625" t="s">
        <v>5070</v>
      </c>
      <c r="B629" s="3625"/>
      <c r="C629" s="3626" t="s">
        <v>4776</v>
      </c>
      <c r="D629" s="3626">
        <v>37.520000000000003</v>
      </c>
      <c r="E629" s="3623">
        <f>典型户型修正!C651</f>
        <v>0.99</v>
      </c>
      <c r="F629" s="3623">
        <f ca="1">典型户型修正!R651</f>
        <v>5706</v>
      </c>
      <c r="G629" s="3623">
        <f ca="1">典型户型修正!S651</f>
        <v>21</v>
      </c>
    </row>
    <row r="630" spans="1:7">
      <c r="A630" s="3625" t="s">
        <v>5070</v>
      </c>
      <c r="B630" s="3625"/>
      <c r="C630" s="3626" t="s">
        <v>4777</v>
      </c>
      <c r="D630" s="3626">
        <v>37.520000000000003</v>
      </c>
      <c r="E630" s="3623">
        <f>典型户型修正!C652</f>
        <v>0.99</v>
      </c>
      <c r="F630" s="3623">
        <f ca="1">典型户型修正!R652</f>
        <v>5706</v>
      </c>
      <c r="G630" s="3623">
        <f ca="1">典型户型修正!S652</f>
        <v>21</v>
      </c>
    </row>
    <row r="631" spans="1:7">
      <c r="A631" s="3625" t="s">
        <v>5070</v>
      </c>
      <c r="B631" s="3625"/>
      <c r="C631" s="3626" t="s">
        <v>4778</v>
      </c>
      <c r="D631" s="3626">
        <v>37.520000000000003</v>
      </c>
      <c r="E631" s="3623">
        <f>典型户型修正!C653</f>
        <v>0.99</v>
      </c>
      <c r="F631" s="3623">
        <f ca="1">典型户型修正!R653</f>
        <v>5706</v>
      </c>
      <c r="G631" s="3623">
        <f ca="1">典型户型修正!S653</f>
        <v>21</v>
      </c>
    </row>
    <row r="632" spans="1:7">
      <c r="A632" s="3625" t="s">
        <v>5070</v>
      </c>
      <c r="B632" s="3625"/>
      <c r="C632" s="3626" t="s">
        <v>4779</v>
      </c>
      <c r="D632" s="3626">
        <v>37.520000000000003</v>
      </c>
      <c r="E632" s="3623">
        <f>典型户型修正!C654</f>
        <v>0.99</v>
      </c>
      <c r="F632" s="3623">
        <f ca="1">典型户型修正!R654</f>
        <v>5706</v>
      </c>
      <c r="G632" s="3623">
        <f ca="1">典型户型修正!S654</f>
        <v>21</v>
      </c>
    </row>
    <row r="633" spans="1:7">
      <c r="A633" s="3625" t="s">
        <v>5070</v>
      </c>
      <c r="B633" s="3625"/>
      <c r="C633" s="3626" t="s">
        <v>4780</v>
      </c>
      <c r="D633" s="3626">
        <v>37.520000000000003</v>
      </c>
      <c r="E633" s="3623">
        <f>典型户型修正!C655</f>
        <v>0.99</v>
      </c>
      <c r="F633" s="3623">
        <f ca="1">典型户型修正!R655</f>
        <v>5706</v>
      </c>
      <c r="G633" s="3623">
        <f ca="1">典型户型修正!S655</f>
        <v>21</v>
      </c>
    </row>
    <row r="634" spans="1:7">
      <c r="A634" s="3625" t="s">
        <v>5070</v>
      </c>
      <c r="B634" s="3625"/>
      <c r="C634" s="3626" t="s">
        <v>4781</v>
      </c>
      <c r="D634" s="3626">
        <v>37.520000000000003</v>
      </c>
      <c r="E634" s="3623">
        <f>典型户型修正!C656</f>
        <v>0.99</v>
      </c>
      <c r="F634" s="3623">
        <f ca="1">典型户型修正!R656</f>
        <v>5706</v>
      </c>
      <c r="G634" s="3623">
        <f ca="1">典型户型修正!S656</f>
        <v>21</v>
      </c>
    </row>
    <row r="635" spans="1:7">
      <c r="A635" s="3625" t="s">
        <v>5070</v>
      </c>
      <c r="B635" s="3625"/>
      <c r="C635" s="3626" t="s">
        <v>4782</v>
      </c>
      <c r="D635" s="3626">
        <v>37.520000000000003</v>
      </c>
      <c r="E635" s="3623">
        <f>典型户型修正!C657</f>
        <v>0.99</v>
      </c>
      <c r="F635" s="3623">
        <f ca="1">典型户型修正!R657</f>
        <v>5706</v>
      </c>
      <c r="G635" s="3623">
        <f ca="1">典型户型修正!S657</f>
        <v>21</v>
      </c>
    </row>
    <row r="636" spans="1:7">
      <c r="A636" s="3625" t="s">
        <v>5070</v>
      </c>
      <c r="B636" s="3625"/>
      <c r="C636" s="3626" t="s">
        <v>4783</v>
      </c>
      <c r="D636" s="3626">
        <v>37.520000000000003</v>
      </c>
      <c r="E636" s="3623">
        <f>典型户型修正!C658</f>
        <v>0.99</v>
      </c>
      <c r="F636" s="3623">
        <f ca="1">典型户型修正!R658</f>
        <v>5706</v>
      </c>
      <c r="G636" s="3623">
        <f ca="1">典型户型修正!S658</f>
        <v>21</v>
      </c>
    </row>
    <row r="637" spans="1:7">
      <c r="A637" s="3625" t="s">
        <v>5070</v>
      </c>
      <c r="B637" s="3625"/>
      <c r="C637" s="3626" t="s">
        <v>4784</v>
      </c>
      <c r="D637" s="3626">
        <v>39.090000000000003</v>
      </c>
      <c r="E637" s="3623">
        <f>典型户型修正!C659</f>
        <v>0.99</v>
      </c>
      <c r="F637" s="3623">
        <f ca="1">典型户型修正!R659</f>
        <v>5706</v>
      </c>
      <c r="G637" s="3623">
        <f ca="1">典型户型修正!S659</f>
        <v>22</v>
      </c>
    </row>
    <row r="638" spans="1:7">
      <c r="A638" s="3625" t="s">
        <v>5070</v>
      </c>
      <c r="B638" s="3625"/>
      <c r="C638" s="3626" t="s">
        <v>4785</v>
      </c>
      <c r="D638" s="3626">
        <v>39.090000000000003</v>
      </c>
      <c r="E638" s="3623">
        <f>典型户型修正!C660</f>
        <v>0.99</v>
      </c>
      <c r="F638" s="3623">
        <f ca="1">典型户型修正!R660</f>
        <v>5706</v>
      </c>
      <c r="G638" s="3623">
        <f ca="1">典型户型修正!S660</f>
        <v>22</v>
      </c>
    </row>
    <row r="639" spans="1:7">
      <c r="A639" s="3625" t="s">
        <v>5070</v>
      </c>
      <c r="B639" s="3625"/>
      <c r="C639" s="3626" t="s">
        <v>4786</v>
      </c>
      <c r="D639" s="3626">
        <v>39.090000000000003</v>
      </c>
      <c r="E639" s="3623">
        <f>典型户型修正!C661</f>
        <v>0.99</v>
      </c>
      <c r="F639" s="3623">
        <f ca="1">典型户型修正!R661</f>
        <v>5706</v>
      </c>
      <c r="G639" s="3623">
        <f ca="1">典型户型修正!S661</f>
        <v>22</v>
      </c>
    </row>
    <row r="640" spans="1:7">
      <c r="A640" s="3625" t="s">
        <v>5070</v>
      </c>
      <c r="B640" s="3625"/>
      <c r="C640" s="3626" t="s">
        <v>4787</v>
      </c>
      <c r="D640" s="3626">
        <v>37.520000000000003</v>
      </c>
      <c r="E640" s="3623">
        <f>典型户型修正!C662</f>
        <v>0.99</v>
      </c>
      <c r="F640" s="3623">
        <f ca="1">典型户型修正!R662</f>
        <v>5706</v>
      </c>
      <c r="G640" s="3623">
        <f ca="1">典型户型修正!S662</f>
        <v>21</v>
      </c>
    </row>
    <row r="641" spans="1:7">
      <c r="A641" s="3625" t="s">
        <v>5070</v>
      </c>
      <c r="B641" s="3625"/>
      <c r="C641" s="3626" t="s">
        <v>4788</v>
      </c>
      <c r="D641" s="3626">
        <v>36.020000000000003</v>
      </c>
      <c r="E641" s="3623">
        <f>典型户型修正!C663</f>
        <v>0.99</v>
      </c>
      <c r="F641" s="3623">
        <f ca="1">典型户型修正!R663</f>
        <v>5706</v>
      </c>
      <c r="G641" s="3623">
        <f ca="1">典型户型修正!S663</f>
        <v>21</v>
      </c>
    </row>
    <row r="642" spans="1:7">
      <c r="A642" s="3625" t="s">
        <v>5070</v>
      </c>
      <c r="B642" s="3625"/>
      <c r="C642" s="3626" t="s">
        <v>4789</v>
      </c>
      <c r="D642" s="3626">
        <v>36.020000000000003</v>
      </c>
      <c r="E642" s="3623">
        <f>典型户型修正!C664</f>
        <v>0.99</v>
      </c>
      <c r="F642" s="3623">
        <f ca="1">典型户型修正!R664</f>
        <v>5706</v>
      </c>
      <c r="G642" s="3623">
        <f ca="1">典型户型修正!S664</f>
        <v>21</v>
      </c>
    </row>
    <row r="643" spans="1:7">
      <c r="A643" s="3625" t="s">
        <v>5070</v>
      </c>
      <c r="B643" s="3625"/>
      <c r="C643" s="3626" t="s">
        <v>4790</v>
      </c>
      <c r="D643" s="3626">
        <v>36.020000000000003</v>
      </c>
      <c r="E643" s="3623">
        <f>典型户型修正!C665</f>
        <v>0.99</v>
      </c>
      <c r="F643" s="3623">
        <f ca="1">典型户型修正!R665</f>
        <v>5706</v>
      </c>
      <c r="G643" s="3623">
        <f ca="1">典型户型修正!S665</f>
        <v>21</v>
      </c>
    </row>
    <row r="644" spans="1:7">
      <c r="A644" s="3625" t="s">
        <v>5070</v>
      </c>
      <c r="B644" s="3625"/>
      <c r="C644" s="3626" t="s">
        <v>4791</v>
      </c>
      <c r="D644" s="3626">
        <v>36.020000000000003</v>
      </c>
      <c r="E644" s="3623">
        <f>典型户型修正!C666</f>
        <v>0.99</v>
      </c>
      <c r="F644" s="3623">
        <f ca="1">典型户型修正!R666</f>
        <v>5706</v>
      </c>
      <c r="G644" s="3623">
        <f ca="1">典型户型修正!S666</f>
        <v>21</v>
      </c>
    </row>
    <row r="645" spans="1:7">
      <c r="A645" s="3625" t="s">
        <v>5070</v>
      </c>
      <c r="B645" s="3625"/>
      <c r="C645" s="3626" t="s">
        <v>4792</v>
      </c>
      <c r="D645" s="3626">
        <v>36.020000000000003</v>
      </c>
      <c r="E645" s="3623">
        <f>典型户型修正!C667</f>
        <v>0.99</v>
      </c>
      <c r="F645" s="3623">
        <f ca="1">典型户型修正!R667</f>
        <v>5706</v>
      </c>
      <c r="G645" s="3623">
        <f ca="1">典型户型修正!S667</f>
        <v>21</v>
      </c>
    </row>
    <row r="646" spans="1:7">
      <c r="A646" s="3625" t="s">
        <v>5070</v>
      </c>
      <c r="B646" s="3625"/>
      <c r="C646" s="3626" t="s">
        <v>4793</v>
      </c>
      <c r="D646" s="3626">
        <v>36.020000000000003</v>
      </c>
      <c r="E646" s="3623">
        <f>典型户型修正!C668</f>
        <v>0.99</v>
      </c>
      <c r="F646" s="3623">
        <f ca="1">典型户型修正!R668</f>
        <v>5706</v>
      </c>
      <c r="G646" s="3623">
        <f ca="1">典型户型修正!S668</f>
        <v>21</v>
      </c>
    </row>
    <row r="647" spans="1:7">
      <c r="A647" s="3625" t="s">
        <v>5070</v>
      </c>
      <c r="B647" s="3625"/>
      <c r="C647" s="3626" t="s">
        <v>4794</v>
      </c>
      <c r="D647" s="3626">
        <v>36.020000000000003</v>
      </c>
      <c r="E647" s="3623">
        <f>典型户型修正!C669</f>
        <v>0.99</v>
      </c>
      <c r="F647" s="3623">
        <f ca="1">典型户型修正!R669</f>
        <v>5706</v>
      </c>
      <c r="G647" s="3623">
        <f ca="1">典型户型修正!S669</f>
        <v>21</v>
      </c>
    </row>
    <row r="648" spans="1:7">
      <c r="A648" s="3625" t="s">
        <v>5070</v>
      </c>
      <c r="B648" s="3625"/>
      <c r="C648" s="3626" t="s">
        <v>4795</v>
      </c>
      <c r="D648" s="3626">
        <v>36.020000000000003</v>
      </c>
      <c r="E648" s="3623">
        <f>典型户型修正!C670</f>
        <v>0.99</v>
      </c>
      <c r="F648" s="3623">
        <f ca="1">典型户型修正!R670</f>
        <v>5706</v>
      </c>
      <c r="G648" s="3623">
        <f ca="1">典型户型修正!S670</f>
        <v>21</v>
      </c>
    </row>
    <row r="649" spans="1:7">
      <c r="A649" s="3625" t="s">
        <v>5070</v>
      </c>
      <c r="B649" s="3625"/>
      <c r="C649" s="3626" t="s">
        <v>4796</v>
      </c>
      <c r="D649" s="3626">
        <v>36.020000000000003</v>
      </c>
      <c r="E649" s="3623">
        <f>典型户型修正!C671</f>
        <v>0.99</v>
      </c>
      <c r="F649" s="3623">
        <f ca="1">典型户型修正!R671</f>
        <v>5706</v>
      </c>
      <c r="G649" s="3623">
        <f ca="1">典型户型修正!S671</f>
        <v>21</v>
      </c>
    </row>
    <row r="650" spans="1:7">
      <c r="A650" s="3625" t="s">
        <v>5070</v>
      </c>
      <c r="B650" s="3625"/>
      <c r="C650" s="3626" t="s">
        <v>4797</v>
      </c>
      <c r="D650" s="3626">
        <v>36.020000000000003</v>
      </c>
      <c r="E650" s="3623">
        <f>典型户型修正!C672</f>
        <v>0.99</v>
      </c>
      <c r="F650" s="3623">
        <f ca="1">典型户型修正!R672</f>
        <v>5706</v>
      </c>
      <c r="G650" s="3623">
        <f ca="1">典型户型修正!S672</f>
        <v>21</v>
      </c>
    </row>
    <row r="651" spans="1:7">
      <c r="A651" s="3625" t="s">
        <v>5070</v>
      </c>
      <c r="B651" s="3625"/>
      <c r="C651" s="3626" t="s">
        <v>4798</v>
      </c>
      <c r="D651" s="3626">
        <v>36.020000000000003</v>
      </c>
      <c r="E651" s="3623">
        <f>典型户型修正!C673</f>
        <v>0.99</v>
      </c>
      <c r="F651" s="3623">
        <f ca="1">典型户型修正!R673</f>
        <v>5706</v>
      </c>
      <c r="G651" s="3623">
        <f ca="1">典型户型修正!S673</f>
        <v>21</v>
      </c>
    </row>
    <row r="652" spans="1:7">
      <c r="A652" s="3625" t="s">
        <v>5070</v>
      </c>
      <c r="B652" s="3625"/>
      <c r="C652" s="3626" t="s">
        <v>4799</v>
      </c>
      <c r="D652" s="3626">
        <v>36.020000000000003</v>
      </c>
      <c r="E652" s="3623">
        <f>典型户型修正!C674</f>
        <v>0.99</v>
      </c>
      <c r="F652" s="3623">
        <f ca="1">典型户型修正!R674</f>
        <v>5706</v>
      </c>
      <c r="G652" s="3623">
        <f ca="1">典型户型修正!S674</f>
        <v>21</v>
      </c>
    </row>
    <row r="653" spans="1:7">
      <c r="A653" s="3625" t="s">
        <v>5070</v>
      </c>
      <c r="B653" s="3625"/>
      <c r="C653" s="3626" t="s">
        <v>4800</v>
      </c>
      <c r="D653" s="3626">
        <v>37.520000000000003</v>
      </c>
      <c r="E653" s="3623">
        <f>典型户型修正!C675</f>
        <v>0.99</v>
      </c>
      <c r="F653" s="3623">
        <f ca="1">典型户型修正!R675</f>
        <v>5706</v>
      </c>
      <c r="G653" s="3623">
        <f ca="1">典型户型修正!S675</f>
        <v>21</v>
      </c>
    </row>
    <row r="654" spans="1:7">
      <c r="A654" s="3625" t="s">
        <v>5070</v>
      </c>
      <c r="B654" s="3625"/>
      <c r="C654" s="3626" t="s">
        <v>4801</v>
      </c>
      <c r="D654" s="3626">
        <v>37.520000000000003</v>
      </c>
      <c r="E654" s="3623">
        <f>典型户型修正!C676</f>
        <v>0.99</v>
      </c>
      <c r="F654" s="3623">
        <f ca="1">典型户型修正!R676</f>
        <v>5706</v>
      </c>
      <c r="G654" s="3623">
        <f ca="1">典型户型修正!S676</f>
        <v>21</v>
      </c>
    </row>
    <row r="655" spans="1:7">
      <c r="A655" s="3625" t="s">
        <v>5070</v>
      </c>
      <c r="B655" s="3625"/>
      <c r="C655" s="3626" t="s">
        <v>4802</v>
      </c>
      <c r="D655" s="3626">
        <v>37.520000000000003</v>
      </c>
      <c r="E655" s="3623">
        <f>典型户型修正!C677</f>
        <v>0.99</v>
      </c>
      <c r="F655" s="3623">
        <f ca="1">典型户型修正!R677</f>
        <v>5706</v>
      </c>
      <c r="G655" s="3623">
        <f ca="1">典型户型修正!S677</f>
        <v>21</v>
      </c>
    </row>
    <row r="656" spans="1:7">
      <c r="A656" s="3625" t="s">
        <v>5070</v>
      </c>
      <c r="B656" s="3625"/>
      <c r="C656" s="3626" t="s">
        <v>4803</v>
      </c>
      <c r="D656" s="3626">
        <v>42.21</v>
      </c>
      <c r="E656" s="3623">
        <f>典型户型修正!C678</f>
        <v>0.99</v>
      </c>
      <c r="F656" s="3623">
        <f ca="1">典型户型修正!R678</f>
        <v>5706</v>
      </c>
      <c r="G656" s="3623">
        <f ca="1">典型户型修正!S678</f>
        <v>24</v>
      </c>
    </row>
    <row r="657" spans="1:7">
      <c r="A657" s="3625" t="s">
        <v>5070</v>
      </c>
      <c r="B657" s="3625"/>
      <c r="C657" s="3626" t="s">
        <v>4804</v>
      </c>
      <c r="D657" s="3626">
        <v>39.090000000000003</v>
      </c>
      <c r="E657" s="3623">
        <f>典型户型修正!C679</f>
        <v>0.99</v>
      </c>
      <c r="F657" s="3623">
        <f ca="1">典型户型修正!R679</f>
        <v>5706</v>
      </c>
      <c r="G657" s="3623">
        <f ca="1">典型户型修正!S679</f>
        <v>22</v>
      </c>
    </row>
    <row r="658" spans="1:7">
      <c r="A658" s="3625" t="s">
        <v>5070</v>
      </c>
      <c r="B658" s="3625"/>
      <c r="C658" s="3626" t="s">
        <v>4805</v>
      </c>
      <c r="D658" s="3626">
        <v>39.090000000000003</v>
      </c>
      <c r="E658" s="3623">
        <f>典型户型修正!C680</f>
        <v>0.99</v>
      </c>
      <c r="F658" s="3623">
        <f ca="1">典型户型修正!R680</f>
        <v>5706</v>
      </c>
      <c r="G658" s="3623">
        <f ca="1">典型户型修正!S680</f>
        <v>22</v>
      </c>
    </row>
    <row r="659" spans="1:7">
      <c r="A659" s="3625" t="s">
        <v>5070</v>
      </c>
      <c r="B659" s="3625"/>
      <c r="C659" s="3626" t="s">
        <v>4806</v>
      </c>
      <c r="D659" s="3626">
        <v>39.090000000000003</v>
      </c>
      <c r="E659" s="3623">
        <f>典型户型修正!C681</f>
        <v>0.99</v>
      </c>
      <c r="F659" s="3623">
        <f ca="1">典型户型修正!R681</f>
        <v>5706</v>
      </c>
      <c r="G659" s="3623">
        <f ca="1">典型户型修正!S681</f>
        <v>22</v>
      </c>
    </row>
    <row r="660" spans="1:7">
      <c r="A660" s="3625" t="s">
        <v>5070</v>
      </c>
      <c r="B660" s="3625"/>
      <c r="C660" s="3626" t="s">
        <v>4807</v>
      </c>
      <c r="D660" s="3626">
        <v>37.520000000000003</v>
      </c>
      <c r="E660" s="3623">
        <f>典型户型修正!C682</f>
        <v>0.99</v>
      </c>
      <c r="F660" s="3623">
        <f ca="1">典型户型修正!R682</f>
        <v>5706</v>
      </c>
      <c r="G660" s="3623">
        <f ca="1">典型户型修正!S682</f>
        <v>21</v>
      </c>
    </row>
    <row r="661" spans="1:7">
      <c r="A661" s="3625" t="s">
        <v>5070</v>
      </c>
      <c r="B661" s="3625"/>
      <c r="C661" s="3626" t="s">
        <v>4808</v>
      </c>
      <c r="D661" s="3626">
        <v>37.520000000000003</v>
      </c>
      <c r="E661" s="3623">
        <f>典型户型修正!C683</f>
        <v>0.99</v>
      </c>
      <c r="F661" s="3623">
        <f ca="1">典型户型修正!R683</f>
        <v>5706</v>
      </c>
      <c r="G661" s="3623">
        <f ca="1">典型户型修正!S683</f>
        <v>21</v>
      </c>
    </row>
    <row r="662" spans="1:7">
      <c r="A662" s="3625" t="s">
        <v>5070</v>
      </c>
      <c r="B662" s="3625"/>
      <c r="C662" s="3626" t="s">
        <v>4809</v>
      </c>
      <c r="D662" s="3626">
        <v>37.520000000000003</v>
      </c>
      <c r="E662" s="3623">
        <f>典型户型修正!C684</f>
        <v>0.99</v>
      </c>
      <c r="F662" s="3623">
        <f ca="1">典型户型修正!R684</f>
        <v>5706</v>
      </c>
      <c r="G662" s="3623">
        <f ca="1">典型户型修正!S684</f>
        <v>21</v>
      </c>
    </row>
    <row r="663" spans="1:7">
      <c r="A663" s="3625" t="s">
        <v>5070</v>
      </c>
      <c r="B663" s="3625"/>
      <c r="C663" s="3626" t="s">
        <v>4810</v>
      </c>
      <c r="D663" s="3626">
        <v>39.090000000000003</v>
      </c>
      <c r="E663" s="3623">
        <f>典型户型修正!C685</f>
        <v>0.99</v>
      </c>
      <c r="F663" s="3623">
        <f ca="1">典型户型修正!R685</f>
        <v>5706</v>
      </c>
      <c r="G663" s="3623">
        <f ca="1">典型户型修正!S685</f>
        <v>22</v>
      </c>
    </row>
    <row r="664" spans="1:7">
      <c r="A664" s="3625" t="s">
        <v>5070</v>
      </c>
      <c r="B664" s="3625"/>
      <c r="C664" s="3626" t="s">
        <v>4811</v>
      </c>
      <c r="D664" s="3626">
        <v>39.090000000000003</v>
      </c>
      <c r="E664" s="3623">
        <f>典型户型修正!C686</f>
        <v>0.99</v>
      </c>
      <c r="F664" s="3623">
        <f ca="1">典型户型修正!R686</f>
        <v>5706</v>
      </c>
      <c r="G664" s="3623">
        <f ca="1">典型户型修正!S686</f>
        <v>22</v>
      </c>
    </row>
    <row r="665" spans="1:7">
      <c r="A665" s="3625" t="s">
        <v>5070</v>
      </c>
      <c r="B665" s="3625"/>
      <c r="C665" s="3626" t="s">
        <v>4812</v>
      </c>
      <c r="D665" s="3626">
        <v>39.090000000000003</v>
      </c>
      <c r="E665" s="3623">
        <f>典型户型修正!C687</f>
        <v>0.99</v>
      </c>
      <c r="F665" s="3623">
        <f ca="1">典型户型修正!R687</f>
        <v>5706</v>
      </c>
      <c r="G665" s="3623">
        <f ca="1">典型户型修正!S687</f>
        <v>22</v>
      </c>
    </row>
    <row r="666" spans="1:7">
      <c r="A666" s="3625" t="s">
        <v>5070</v>
      </c>
      <c r="B666" s="3625"/>
      <c r="C666" s="3626" t="s">
        <v>4813</v>
      </c>
      <c r="D666" s="3626">
        <v>39.090000000000003</v>
      </c>
      <c r="E666" s="3623">
        <f>典型户型修正!C688</f>
        <v>0.99</v>
      </c>
      <c r="F666" s="3623">
        <f ca="1">典型户型修正!R688</f>
        <v>5706</v>
      </c>
      <c r="G666" s="3623">
        <f ca="1">典型户型修正!S688</f>
        <v>22</v>
      </c>
    </row>
    <row r="667" spans="1:7">
      <c r="A667" s="3625" t="s">
        <v>5070</v>
      </c>
      <c r="B667" s="3625"/>
      <c r="C667" s="3626" t="s">
        <v>4814</v>
      </c>
      <c r="D667" s="3626">
        <v>39.090000000000003</v>
      </c>
      <c r="E667" s="3623">
        <f>典型户型修正!C689</f>
        <v>0.99</v>
      </c>
      <c r="F667" s="3623">
        <f ca="1">典型户型修正!R689</f>
        <v>5706</v>
      </c>
      <c r="G667" s="3623">
        <f ca="1">典型户型修正!S689</f>
        <v>22</v>
      </c>
    </row>
    <row r="668" spans="1:7">
      <c r="A668" s="3625" t="s">
        <v>5070</v>
      </c>
      <c r="B668" s="3625"/>
      <c r="C668" s="3626" t="s">
        <v>4815</v>
      </c>
      <c r="D668" s="3626">
        <v>37.520000000000003</v>
      </c>
      <c r="E668" s="3623">
        <f>典型户型修正!C690</f>
        <v>0.99</v>
      </c>
      <c r="F668" s="3623">
        <f ca="1">典型户型修正!R690</f>
        <v>5706</v>
      </c>
      <c r="G668" s="3623">
        <f ca="1">典型户型修正!S690</f>
        <v>21</v>
      </c>
    </row>
    <row r="669" spans="1:7">
      <c r="A669" s="3625" t="s">
        <v>5070</v>
      </c>
      <c r="B669" s="3625"/>
      <c r="C669" s="3626" t="s">
        <v>4816</v>
      </c>
      <c r="D669" s="3626">
        <v>37.520000000000003</v>
      </c>
      <c r="E669" s="3623">
        <f>典型户型修正!C691</f>
        <v>0.99</v>
      </c>
      <c r="F669" s="3623">
        <f ca="1">典型户型修正!R691</f>
        <v>5706</v>
      </c>
      <c r="G669" s="3623">
        <f ca="1">典型户型修正!S691</f>
        <v>21</v>
      </c>
    </row>
    <row r="670" spans="1:7">
      <c r="A670" s="3625" t="s">
        <v>5070</v>
      </c>
      <c r="B670" s="3625"/>
      <c r="C670" s="3626" t="s">
        <v>4817</v>
      </c>
      <c r="D670" s="3626">
        <v>39.090000000000003</v>
      </c>
      <c r="E670" s="3623">
        <f>典型户型修正!C692</f>
        <v>0.99</v>
      </c>
      <c r="F670" s="3623">
        <f ca="1">典型户型修正!R692</f>
        <v>5706</v>
      </c>
      <c r="G670" s="3623">
        <f ca="1">典型户型修正!S692</f>
        <v>22</v>
      </c>
    </row>
    <row r="671" spans="1:7">
      <c r="A671" s="3625" t="s">
        <v>5070</v>
      </c>
      <c r="B671" s="3625"/>
      <c r="C671" s="3626" t="s">
        <v>4818</v>
      </c>
      <c r="D671" s="3626">
        <v>37.520000000000003</v>
      </c>
      <c r="E671" s="3623">
        <f>典型户型修正!C693</f>
        <v>0.99</v>
      </c>
      <c r="F671" s="3623">
        <f ca="1">典型户型修正!R693</f>
        <v>5706</v>
      </c>
      <c r="G671" s="3623">
        <f ca="1">典型户型修正!S693</f>
        <v>21</v>
      </c>
    </row>
    <row r="672" spans="1:7">
      <c r="A672" s="3625" t="s">
        <v>5070</v>
      </c>
      <c r="B672" s="3625"/>
      <c r="C672" s="3626" t="s">
        <v>4819</v>
      </c>
      <c r="D672" s="3626">
        <v>37.520000000000003</v>
      </c>
      <c r="E672" s="3623">
        <f>典型户型修正!C694</f>
        <v>0.99</v>
      </c>
      <c r="F672" s="3623">
        <f ca="1">典型户型修正!R694</f>
        <v>5706</v>
      </c>
      <c r="G672" s="3623">
        <f ca="1">典型户型修正!S694</f>
        <v>21</v>
      </c>
    </row>
    <row r="673" spans="1:7">
      <c r="A673" s="3625" t="s">
        <v>5070</v>
      </c>
      <c r="B673" s="3625"/>
      <c r="C673" s="3626" t="s">
        <v>4820</v>
      </c>
      <c r="D673" s="3626">
        <v>37.520000000000003</v>
      </c>
      <c r="E673" s="3623">
        <f>典型户型修正!C695</f>
        <v>0.99</v>
      </c>
      <c r="F673" s="3623">
        <f ca="1">典型户型修正!R695</f>
        <v>5706</v>
      </c>
      <c r="G673" s="3623">
        <f ca="1">典型户型修正!S695</f>
        <v>21</v>
      </c>
    </row>
    <row r="674" spans="1:7">
      <c r="A674" s="3625" t="s">
        <v>5070</v>
      </c>
      <c r="B674" s="3625"/>
      <c r="C674" s="3626" t="s">
        <v>4821</v>
      </c>
      <c r="D674" s="3626">
        <v>37.520000000000003</v>
      </c>
      <c r="E674" s="3623">
        <f>典型户型修正!C696</f>
        <v>0.99</v>
      </c>
      <c r="F674" s="3623">
        <f ca="1">典型户型修正!R696</f>
        <v>5706</v>
      </c>
      <c r="G674" s="3623">
        <f ca="1">典型户型修正!S696</f>
        <v>21</v>
      </c>
    </row>
    <row r="675" spans="1:7">
      <c r="A675" s="3625" t="s">
        <v>5070</v>
      </c>
      <c r="B675" s="3625"/>
      <c r="C675" s="3626" t="s">
        <v>4822</v>
      </c>
      <c r="D675" s="3626">
        <v>37.520000000000003</v>
      </c>
      <c r="E675" s="3623">
        <f>典型户型修正!C697</f>
        <v>0.99</v>
      </c>
      <c r="F675" s="3623">
        <f ca="1">典型户型修正!R697</f>
        <v>5706</v>
      </c>
      <c r="G675" s="3623">
        <f ca="1">典型户型修正!S697</f>
        <v>21</v>
      </c>
    </row>
    <row r="676" spans="1:7">
      <c r="A676" s="3625" t="s">
        <v>5070</v>
      </c>
      <c r="B676" s="3625"/>
      <c r="C676" s="3626" t="s">
        <v>4823</v>
      </c>
      <c r="D676" s="3626">
        <v>37.520000000000003</v>
      </c>
      <c r="E676" s="3623">
        <f>典型户型修正!C698</f>
        <v>0.99</v>
      </c>
      <c r="F676" s="3623">
        <f ca="1">典型户型修正!R698</f>
        <v>5706</v>
      </c>
      <c r="G676" s="3623">
        <f ca="1">典型户型修正!S698</f>
        <v>21</v>
      </c>
    </row>
    <row r="677" spans="1:7">
      <c r="A677" s="3625" t="s">
        <v>5070</v>
      </c>
      <c r="B677" s="3625"/>
      <c r="C677" s="3626" t="s">
        <v>4824</v>
      </c>
      <c r="D677" s="3626">
        <v>39.090000000000003</v>
      </c>
      <c r="E677" s="3623">
        <f>典型户型修正!C699</f>
        <v>0.99</v>
      </c>
      <c r="F677" s="3623">
        <f ca="1">典型户型修正!R699</f>
        <v>5706</v>
      </c>
      <c r="G677" s="3623">
        <f ca="1">典型户型修正!S699</f>
        <v>22</v>
      </c>
    </row>
    <row r="678" spans="1:7">
      <c r="A678" s="3625" t="s">
        <v>5070</v>
      </c>
      <c r="B678" s="3625"/>
      <c r="C678" s="3626" t="s">
        <v>4825</v>
      </c>
      <c r="D678" s="3626">
        <v>39.090000000000003</v>
      </c>
      <c r="E678" s="3623">
        <f>典型户型修正!C700</f>
        <v>0.99</v>
      </c>
      <c r="F678" s="3623">
        <f ca="1">典型户型修正!R700</f>
        <v>5706</v>
      </c>
      <c r="G678" s="3623">
        <f ca="1">典型户型修正!S700</f>
        <v>22</v>
      </c>
    </row>
    <row r="679" spans="1:7">
      <c r="A679" s="3625" t="s">
        <v>5070</v>
      </c>
      <c r="B679" s="3625"/>
      <c r="C679" s="3626" t="s">
        <v>4826</v>
      </c>
      <c r="D679" s="3626">
        <v>37.520000000000003</v>
      </c>
      <c r="E679" s="3623">
        <f>典型户型修正!C701</f>
        <v>0.99</v>
      </c>
      <c r="F679" s="3623">
        <f ca="1">典型户型修正!R701</f>
        <v>5706</v>
      </c>
      <c r="G679" s="3623">
        <f ca="1">典型户型修正!S701</f>
        <v>21</v>
      </c>
    </row>
    <row r="680" spans="1:7">
      <c r="A680" s="3625" t="s">
        <v>5070</v>
      </c>
      <c r="B680" s="3625"/>
      <c r="C680" s="3626" t="s">
        <v>4827</v>
      </c>
      <c r="D680" s="3626">
        <v>37.520000000000003</v>
      </c>
      <c r="E680" s="3623">
        <f>典型户型修正!C702</f>
        <v>0.99</v>
      </c>
      <c r="F680" s="3623">
        <f ca="1">典型户型修正!R702</f>
        <v>5706</v>
      </c>
      <c r="G680" s="3623">
        <f ca="1">典型户型修正!S702</f>
        <v>21</v>
      </c>
    </row>
    <row r="681" spans="1:7">
      <c r="A681" s="3625" t="s">
        <v>5070</v>
      </c>
      <c r="B681" s="3625"/>
      <c r="C681" s="3626" t="s">
        <v>4828</v>
      </c>
      <c r="D681" s="3626">
        <v>48.78</v>
      </c>
      <c r="E681" s="3623">
        <f>典型户型修正!C703</f>
        <v>0.98</v>
      </c>
      <c r="F681" s="3623">
        <f ca="1">典型户型修正!R703</f>
        <v>5649</v>
      </c>
      <c r="G681" s="3623">
        <f ca="1">典型户型修正!S703</f>
        <v>28</v>
      </c>
    </row>
    <row r="682" spans="1:7">
      <c r="A682" s="3625" t="s">
        <v>5070</v>
      </c>
      <c r="B682" s="3625"/>
      <c r="C682" s="3626" t="s">
        <v>4829</v>
      </c>
      <c r="D682" s="3626">
        <v>36.020000000000003</v>
      </c>
      <c r="E682" s="3623">
        <f>典型户型修正!C704</f>
        <v>0.99</v>
      </c>
      <c r="F682" s="3623">
        <f ca="1">典型户型修正!R704</f>
        <v>5706</v>
      </c>
      <c r="G682" s="3623">
        <f ca="1">典型户型修正!S704</f>
        <v>21</v>
      </c>
    </row>
    <row r="683" spans="1:7">
      <c r="A683" s="3625" t="s">
        <v>5070</v>
      </c>
      <c r="B683" s="3625"/>
      <c r="C683" s="3626" t="s">
        <v>4830</v>
      </c>
      <c r="D683" s="3626">
        <v>36.020000000000003</v>
      </c>
      <c r="E683" s="3623">
        <f>典型户型修正!C705</f>
        <v>0.99</v>
      </c>
      <c r="F683" s="3623">
        <f ca="1">典型户型修正!R705</f>
        <v>5706</v>
      </c>
      <c r="G683" s="3623">
        <f ca="1">典型户型修正!S705</f>
        <v>21</v>
      </c>
    </row>
    <row r="684" spans="1:7">
      <c r="A684" s="3625" t="s">
        <v>5070</v>
      </c>
      <c r="B684" s="3625"/>
      <c r="C684" s="3626" t="s">
        <v>4831</v>
      </c>
      <c r="D684" s="3626">
        <v>36.020000000000003</v>
      </c>
      <c r="E684" s="3623">
        <f>典型户型修正!C706</f>
        <v>0.99</v>
      </c>
      <c r="F684" s="3623">
        <f ca="1">典型户型修正!R706</f>
        <v>5706</v>
      </c>
      <c r="G684" s="3623">
        <f ca="1">典型户型修正!S706</f>
        <v>21</v>
      </c>
    </row>
    <row r="685" spans="1:7">
      <c r="A685" s="3625" t="s">
        <v>5070</v>
      </c>
      <c r="B685" s="3625"/>
      <c r="C685" s="3626" t="s">
        <v>4832</v>
      </c>
      <c r="D685" s="3626">
        <v>36.020000000000003</v>
      </c>
      <c r="E685" s="3623">
        <f>典型户型修正!C707</f>
        <v>0.99</v>
      </c>
      <c r="F685" s="3623">
        <f ca="1">典型户型修正!R707</f>
        <v>5706</v>
      </c>
      <c r="G685" s="3623">
        <f ca="1">典型户型修正!S707</f>
        <v>21</v>
      </c>
    </row>
    <row r="686" spans="1:7">
      <c r="A686" s="3625" t="s">
        <v>5070</v>
      </c>
      <c r="B686" s="3625"/>
      <c r="C686" s="3626" t="s">
        <v>4833</v>
      </c>
      <c r="D686" s="3626">
        <v>36.020000000000003</v>
      </c>
      <c r="E686" s="3623">
        <f>典型户型修正!C708</f>
        <v>0.99</v>
      </c>
      <c r="F686" s="3623">
        <f ca="1">典型户型修正!R708</f>
        <v>5706</v>
      </c>
      <c r="G686" s="3623">
        <f ca="1">典型户型修正!S708</f>
        <v>21</v>
      </c>
    </row>
    <row r="687" spans="1:7">
      <c r="A687" s="3625" t="s">
        <v>5070</v>
      </c>
      <c r="B687" s="3625"/>
      <c r="C687" s="3626" t="s">
        <v>4834</v>
      </c>
      <c r="D687" s="3626">
        <v>36.020000000000003</v>
      </c>
      <c r="E687" s="3623">
        <f>典型户型修正!C709</f>
        <v>0.99</v>
      </c>
      <c r="F687" s="3623">
        <f ca="1">典型户型修正!R709</f>
        <v>5706</v>
      </c>
      <c r="G687" s="3623">
        <f ca="1">典型户型修正!S709</f>
        <v>21</v>
      </c>
    </row>
    <row r="688" spans="1:7">
      <c r="A688" s="3625" t="s">
        <v>5070</v>
      </c>
      <c r="B688" s="3625"/>
      <c r="C688" s="3626" t="s">
        <v>4835</v>
      </c>
      <c r="D688" s="3626">
        <v>37.520000000000003</v>
      </c>
      <c r="E688" s="3623">
        <f>典型户型修正!C710</f>
        <v>0.99</v>
      </c>
      <c r="F688" s="3623">
        <f ca="1">典型户型修正!R710</f>
        <v>5706</v>
      </c>
      <c r="G688" s="3623">
        <f ca="1">典型户型修正!S710</f>
        <v>21</v>
      </c>
    </row>
    <row r="689" spans="1:7">
      <c r="A689" s="3625" t="s">
        <v>5070</v>
      </c>
      <c r="B689" s="3625"/>
      <c r="C689" s="3626" t="s">
        <v>4836</v>
      </c>
      <c r="D689" s="3626">
        <v>37.520000000000003</v>
      </c>
      <c r="E689" s="3623">
        <f>典型户型修正!C711</f>
        <v>0.99</v>
      </c>
      <c r="F689" s="3623">
        <f ca="1">典型户型修正!R711</f>
        <v>5706</v>
      </c>
      <c r="G689" s="3623">
        <f ca="1">典型户型修正!S711</f>
        <v>21</v>
      </c>
    </row>
    <row r="690" spans="1:7">
      <c r="A690" s="3625" t="s">
        <v>5070</v>
      </c>
      <c r="B690" s="3625"/>
      <c r="C690" s="3626" t="s">
        <v>4837</v>
      </c>
      <c r="D690" s="3626">
        <v>37.520000000000003</v>
      </c>
      <c r="E690" s="3623">
        <f>典型户型修正!C712</f>
        <v>0.99</v>
      </c>
      <c r="F690" s="3623">
        <f ca="1">典型户型修正!R712</f>
        <v>5706</v>
      </c>
      <c r="G690" s="3623">
        <f ca="1">典型户型修正!S712</f>
        <v>21</v>
      </c>
    </row>
    <row r="691" spans="1:7">
      <c r="A691" s="3625" t="s">
        <v>5070</v>
      </c>
      <c r="B691" s="3625"/>
      <c r="C691" s="3626" t="s">
        <v>4838</v>
      </c>
      <c r="D691" s="3626">
        <v>39.090000000000003</v>
      </c>
      <c r="E691" s="3623">
        <f>典型户型修正!C713</f>
        <v>0.99</v>
      </c>
      <c r="F691" s="3623">
        <f ca="1">典型户型修正!R713</f>
        <v>5706</v>
      </c>
      <c r="G691" s="3623">
        <f ca="1">典型户型修正!S713</f>
        <v>22</v>
      </c>
    </row>
    <row r="692" spans="1:7">
      <c r="A692" s="3625" t="s">
        <v>5070</v>
      </c>
      <c r="B692" s="3625"/>
      <c r="C692" s="3626" t="s">
        <v>4839</v>
      </c>
      <c r="D692" s="3626">
        <v>39.090000000000003</v>
      </c>
      <c r="E692" s="3623">
        <f>典型户型修正!C714</f>
        <v>0.99</v>
      </c>
      <c r="F692" s="3623">
        <f ca="1">典型户型修正!R714</f>
        <v>5706</v>
      </c>
      <c r="G692" s="3623">
        <f ca="1">典型户型修正!S714</f>
        <v>22</v>
      </c>
    </row>
    <row r="693" spans="1:7">
      <c r="A693" s="3625" t="s">
        <v>5070</v>
      </c>
      <c r="B693" s="3625"/>
      <c r="C693" s="3626" t="s">
        <v>4840</v>
      </c>
      <c r="D693" s="3626">
        <v>39.090000000000003</v>
      </c>
      <c r="E693" s="3623">
        <f>典型户型修正!C715</f>
        <v>0.99</v>
      </c>
      <c r="F693" s="3623">
        <f ca="1">典型户型修正!R715</f>
        <v>5706</v>
      </c>
      <c r="G693" s="3623">
        <f ca="1">典型户型修正!S715</f>
        <v>22</v>
      </c>
    </row>
    <row r="694" spans="1:7">
      <c r="A694" s="3625" t="s">
        <v>5070</v>
      </c>
      <c r="B694" s="3625"/>
      <c r="C694" s="3626" t="s">
        <v>4841</v>
      </c>
      <c r="D694" s="3626">
        <v>37.4</v>
      </c>
      <c r="E694" s="3623">
        <f>典型户型修正!C716</f>
        <v>0.99</v>
      </c>
      <c r="F694" s="3623">
        <f ca="1">典型户型修正!R716</f>
        <v>5706</v>
      </c>
      <c r="G694" s="3623">
        <f ca="1">典型户型修正!S716</f>
        <v>21</v>
      </c>
    </row>
    <row r="695" spans="1:7">
      <c r="A695" s="3625" t="s">
        <v>5070</v>
      </c>
      <c r="B695" s="3625"/>
      <c r="C695" s="3626" t="s">
        <v>4842</v>
      </c>
      <c r="D695" s="3626">
        <v>39.840000000000003</v>
      </c>
      <c r="E695" s="3623">
        <f>典型户型修正!C717</f>
        <v>0.99</v>
      </c>
      <c r="F695" s="3623">
        <f ca="1">典型户型修正!R717</f>
        <v>5706</v>
      </c>
      <c r="G695" s="3623">
        <f ca="1">典型户型修正!S717</f>
        <v>23</v>
      </c>
    </row>
    <row r="696" spans="1:7">
      <c r="A696" s="3625" t="s">
        <v>5070</v>
      </c>
      <c r="B696" s="3625"/>
      <c r="C696" s="3626" t="s">
        <v>4843</v>
      </c>
      <c r="D696" s="3626">
        <v>45.34</v>
      </c>
      <c r="E696" s="3623">
        <f>典型户型修正!C718</f>
        <v>0.98</v>
      </c>
      <c r="F696" s="3623">
        <f ca="1">典型户型修正!R718</f>
        <v>5649</v>
      </c>
      <c r="G696" s="3623">
        <f ca="1">典型户型修正!S718</f>
        <v>26</v>
      </c>
    </row>
    <row r="697" spans="1:7">
      <c r="A697" s="3625" t="s">
        <v>5070</v>
      </c>
      <c r="B697" s="3625"/>
      <c r="C697" s="3626" t="s">
        <v>4844</v>
      </c>
      <c r="D697" s="3626">
        <v>45.34</v>
      </c>
      <c r="E697" s="3623">
        <f>典型户型修正!C719</f>
        <v>0.98</v>
      </c>
      <c r="F697" s="3623">
        <f ca="1">典型户型修正!R719</f>
        <v>5649</v>
      </c>
      <c r="G697" s="3623">
        <f ca="1">典型户型修正!S719</f>
        <v>26</v>
      </c>
    </row>
    <row r="698" spans="1:7">
      <c r="A698" s="3625" t="s">
        <v>5070</v>
      </c>
      <c r="B698" s="3625"/>
      <c r="C698" s="3626" t="s">
        <v>4845</v>
      </c>
      <c r="D698" s="3626">
        <v>45.34</v>
      </c>
      <c r="E698" s="3623">
        <f>典型户型修正!C720</f>
        <v>0.98</v>
      </c>
      <c r="F698" s="3623">
        <f ca="1">典型户型修正!R720</f>
        <v>5649</v>
      </c>
      <c r="G698" s="3623">
        <f ca="1">典型户型修正!S720</f>
        <v>26</v>
      </c>
    </row>
    <row r="699" spans="1:7">
      <c r="A699" s="3625" t="s">
        <v>5070</v>
      </c>
      <c r="B699" s="3625"/>
      <c r="C699" s="3626" t="s">
        <v>4846</v>
      </c>
      <c r="D699" s="3626">
        <v>36.020000000000003</v>
      </c>
      <c r="E699" s="3623">
        <f>典型户型修正!C721</f>
        <v>0.99</v>
      </c>
      <c r="F699" s="3623">
        <f ca="1">典型户型修正!R721</f>
        <v>5706</v>
      </c>
      <c r="G699" s="3623">
        <f ca="1">典型户型修正!S721</f>
        <v>21</v>
      </c>
    </row>
    <row r="700" spans="1:7">
      <c r="A700" s="3625" t="s">
        <v>5070</v>
      </c>
      <c r="B700" s="3625"/>
      <c r="C700" s="3626" t="s">
        <v>4847</v>
      </c>
      <c r="D700" s="3626">
        <v>36.020000000000003</v>
      </c>
      <c r="E700" s="3623">
        <f>典型户型修正!C722</f>
        <v>0.99</v>
      </c>
      <c r="F700" s="3623">
        <f ca="1">典型户型修正!R722</f>
        <v>5706</v>
      </c>
      <c r="G700" s="3623">
        <f ca="1">典型户型修正!S722</f>
        <v>21</v>
      </c>
    </row>
    <row r="701" spans="1:7">
      <c r="A701" s="3625" t="s">
        <v>5070</v>
      </c>
      <c r="B701" s="3625"/>
      <c r="C701" s="3626" t="s">
        <v>4848</v>
      </c>
      <c r="D701" s="3626">
        <v>36.020000000000003</v>
      </c>
      <c r="E701" s="3623">
        <f>典型户型修正!C723</f>
        <v>0.99</v>
      </c>
      <c r="F701" s="3623">
        <f ca="1">典型户型修正!R723</f>
        <v>5706</v>
      </c>
      <c r="G701" s="3623">
        <f ca="1">典型户型修正!S723</f>
        <v>21</v>
      </c>
    </row>
    <row r="702" spans="1:7">
      <c r="A702" s="3625" t="s">
        <v>5070</v>
      </c>
      <c r="B702" s="3625"/>
      <c r="C702" s="3626" t="s">
        <v>4849</v>
      </c>
      <c r="D702" s="3626">
        <v>36.020000000000003</v>
      </c>
      <c r="E702" s="3623">
        <f>典型户型修正!C724</f>
        <v>0.99</v>
      </c>
      <c r="F702" s="3623">
        <f ca="1">典型户型修正!R724</f>
        <v>5706</v>
      </c>
      <c r="G702" s="3623">
        <f ca="1">典型户型修正!S724</f>
        <v>21</v>
      </c>
    </row>
    <row r="703" spans="1:7">
      <c r="A703" s="3625" t="s">
        <v>5070</v>
      </c>
      <c r="B703" s="3625"/>
      <c r="C703" s="3626" t="s">
        <v>4850</v>
      </c>
      <c r="D703" s="3626">
        <v>36.020000000000003</v>
      </c>
      <c r="E703" s="3623">
        <f>典型户型修正!C725</f>
        <v>0.99</v>
      </c>
      <c r="F703" s="3623">
        <f ca="1">典型户型修正!R725</f>
        <v>5706</v>
      </c>
      <c r="G703" s="3623">
        <f ca="1">典型户型修正!S725</f>
        <v>21</v>
      </c>
    </row>
    <row r="704" spans="1:7">
      <c r="A704" s="3625" t="s">
        <v>5070</v>
      </c>
      <c r="B704" s="3625"/>
      <c r="C704" s="3626" t="s">
        <v>4851</v>
      </c>
      <c r="D704" s="3626">
        <v>36.020000000000003</v>
      </c>
      <c r="E704" s="3623">
        <f>典型户型修正!C726</f>
        <v>0.99</v>
      </c>
      <c r="F704" s="3623">
        <f ca="1">典型户型修正!R726</f>
        <v>5706</v>
      </c>
      <c r="G704" s="3623">
        <f ca="1">典型户型修正!S726</f>
        <v>21</v>
      </c>
    </row>
    <row r="705" spans="1:7">
      <c r="A705" s="3625" t="s">
        <v>5070</v>
      </c>
      <c r="B705" s="3625"/>
      <c r="C705" s="3626" t="s">
        <v>4852</v>
      </c>
      <c r="D705" s="3626">
        <v>36.020000000000003</v>
      </c>
      <c r="E705" s="3623">
        <f>典型户型修正!C727</f>
        <v>0.99</v>
      </c>
      <c r="F705" s="3623">
        <f ca="1">典型户型修正!R727</f>
        <v>5706</v>
      </c>
      <c r="G705" s="3623">
        <f ca="1">典型户型修正!S727</f>
        <v>21</v>
      </c>
    </row>
    <row r="706" spans="1:7">
      <c r="A706" s="3625" t="s">
        <v>5070</v>
      </c>
      <c r="B706" s="3625"/>
      <c r="C706" s="3626" t="s">
        <v>4853</v>
      </c>
      <c r="D706" s="3626">
        <v>36.020000000000003</v>
      </c>
      <c r="E706" s="3623">
        <f>典型户型修正!C728</f>
        <v>0.99</v>
      </c>
      <c r="F706" s="3623">
        <f ca="1">典型户型修正!R728</f>
        <v>5706</v>
      </c>
      <c r="G706" s="3623">
        <f ca="1">典型户型修正!S728</f>
        <v>21</v>
      </c>
    </row>
    <row r="707" spans="1:7">
      <c r="A707" s="3625" t="s">
        <v>5070</v>
      </c>
      <c r="B707" s="3625"/>
      <c r="C707" s="3626" t="s">
        <v>4854</v>
      </c>
      <c r="D707" s="3626">
        <v>36.020000000000003</v>
      </c>
      <c r="E707" s="3623">
        <f>典型户型修正!C729</f>
        <v>0.99</v>
      </c>
      <c r="F707" s="3623">
        <f ca="1">典型户型修正!R729</f>
        <v>5706</v>
      </c>
      <c r="G707" s="3623">
        <f ca="1">典型户型修正!S729</f>
        <v>21</v>
      </c>
    </row>
    <row r="708" spans="1:7">
      <c r="A708" s="3625" t="s">
        <v>5070</v>
      </c>
      <c r="B708" s="3625"/>
      <c r="C708" s="3626" t="s">
        <v>4855</v>
      </c>
      <c r="D708" s="3626">
        <v>36.020000000000003</v>
      </c>
      <c r="E708" s="3623">
        <f>典型户型修正!C730</f>
        <v>0.99</v>
      </c>
      <c r="F708" s="3623">
        <f ca="1">典型户型修正!R730</f>
        <v>5706</v>
      </c>
      <c r="G708" s="3623">
        <f ca="1">典型户型修正!S730</f>
        <v>21</v>
      </c>
    </row>
    <row r="709" spans="1:7">
      <c r="A709" s="3625" t="s">
        <v>5070</v>
      </c>
      <c r="B709" s="3625"/>
      <c r="C709" s="3626" t="s">
        <v>4856</v>
      </c>
      <c r="D709" s="3626">
        <v>36.020000000000003</v>
      </c>
      <c r="E709" s="3623">
        <f>典型户型修正!C731</f>
        <v>0.99</v>
      </c>
      <c r="F709" s="3623">
        <f ca="1">典型户型修正!R731</f>
        <v>5706</v>
      </c>
      <c r="G709" s="3623">
        <f ca="1">典型户型修正!S731</f>
        <v>21</v>
      </c>
    </row>
    <row r="710" spans="1:7">
      <c r="A710" s="3625" t="s">
        <v>5070</v>
      </c>
      <c r="B710" s="3625"/>
      <c r="C710" s="3626" t="s">
        <v>4857</v>
      </c>
      <c r="D710" s="3626">
        <v>36.020000000000003</v>
      </c>
      <c r="E710" s="3623">
        <f>典型户型修正!C732</f>
        <v>0.99</v>
      </c>
      <c r="F710" s="3623">
        <f ca="1">典型户型修正!R732</f>
        <v>5706</v>
      </c>
      <c r="G710" s="3623">
        <f ca="1">典型户型修正!S732</f>
        <v>21</v>
      </c>
    </row>
    <row r="711" spans="1:7">
      <c r="A711" s="3625" t="s">
        <v>5070</v>
      </c>
      <c r="B711" s="3625"/>
      <c r="C711" s="3626" t="s">
        <v>4858</v>
      </c>
      <c r="D711" s="3626">
        <v>39.090000000000003</v>
      </c>
      <c r="E711" s="3623">
        <f>典型户型修正!C733</f>
        <v>0.99</v>
      </c>
      <c r="F711" s="3623">
        <f ca="1">典型户型修正!R733</f>
        <v>5706</v>
      </c>
      <c r="G711" s="3623">
        <f ca="1">典型户型修正!S733</f>
        <v>22</v>
      </c>
    </row>
    <row r="712" spans="1:7">
      <c r="A712" s="3625" t="s">
        <v>5070</v>
      </c>
      <c r="B712" s="3625"/>
      <c r="C712" s="3626" t="s">
        <v>4859</v>
      </c>
      <c r="D712" s="3626">
        <v>39.090000000000003</v>
      </c>
      <c r="E712" s="3623">
        <f>典型户型修正!C734</f>
        <v>0.99</v>
      </c>
      <c r="F712" s="3623">
        <f ca="1">典型户型修正!R734</f>
        <v>5706</v>
      </c>
      <c r="G712" s="3623">
        <f ca="1">典型户型修正!S734</f>
        <v>22</v>
      </c>
    </row>
    <row r="713" spans="1:7">
      <c r="A713" s="3625" t="s">
        <v>5070</v>
      </c>
      <c r="B713" s="3625"/>
      <c r="C713" s="3626" t="s">
        <v>4860</v>
      </c>
      <c r="D713" s="3626">
        <v>39.090000000000003</v>
      </c>
      <c r="E713" s="3623">
        <f>典型户型修正!C735</f>
        <v>0.99</v>
      </c>
      <c r="F713" s="3623">
        <f ca="1">典型户型修正!R735</f>
        <v>5706</v>
      </c>
      <c r="G713" s="3623">
        <f ca="1">典型户型修正!S735</f>
        <v>22</v>
      </c>
    </row>
    <row r="714" spans="1:7">
      <c r="A714" s="3625" t="s">
        <v>5070</v>
      </c>
      <c r="B714" s="3625"/>
      <c r="C714" s="3626" t="s">
        <v>4861</v>
      </c>
      <c r="D714" s="3626">
        <v>36.020000000000003</v>
      </c>
      <c r="E714" s="3623">
        <f>典型户型修正!C736</f>
        <v>0.99</v>
      </c>
      <c r="F714" s="3623">
        <f ca="1">典型户型修正!R736</f>
        <v>5706</v>
      </c>
      <c r="G714" s="3623">
        <f ca="1">典型户型修正!S736</f>
        <v>21</v>
      </c>
    </row>
    <row r="715" spans="1:7">
      <c r="A715" s="3625" t="s">
        <v>5070</v>
      </c>
      <c r="B715" s="3625"/>
      <c r="C715" s="3626" t="s">
        <v>4862</v>
      </c>
      <c r="D715" s="3626">
        <v>36.020000000000003</v>
      </c>
      <c r="E715" s="3623">
        <f>典型户型修正!C737</f>
        <v>0.99</v>
      </c>
      <c r="F715" s="3623">
        <f ca="1">典型户型修正!R737</f>
        <v>5706</v>
      </c>
      <c r="G715" s="3623">
        <f ca="1">典型户型修正!S737</f>
        <v>21</v>
      </c>
    </row>
    <row r="716" spans="1:7">
      <c r="A716" s="3625" t="s">
        <v>5070</v>
      </c>
      <c r="B716" s="3625"/>
      <c r="C716" s="3626" t="s">
        <v>4863</v>
      </c>
      <c r="D716" s="3626">
        <v>36.020000000000003</v>
      </c>
      <c r="E716" s="3623">
        <f>典型户型修正!C738</f>
        <v>0.99</v>
      </c>
      <c r="F716" s="3623">
        <f ca="1">典型户型修正!R738</f>
        <v>5706</v>
      </c>
      <c r="G716" s="3623">
        <f ca="1">典型户型修正!S738</f>
        <v>21</v>
      </c>
    </row>
    <row r="717" spans="1:7">
      <c r="A717" s="3625" t="s">
        <v>5070</v>
      </c>
      <c r="B717" s="3625"/>
      <c r="C717" s="3626" t="s">
        <v>4864</v>
      </c>
      <c r="D717" s="3626">
        <v>39.090000000000003</v>
      </c>
      <c r="E717" s="3623">
        <f>典型户型修正!C739</f>
        <v>0.99</v>
      </c>
      <c r="F717" s="3623">
        <f ca="1">典型户型修正!R739</f>
        <v>5706</v>
      </c>
      <c r="G717" s="3623">
        <f ca="1">典型户型修正!S739</f>
        <v>22</v>
      </c>
    </row>
    <row r="718" spans="1:7">
      <c r="A718" s="3625" t="s">
        <v>5070</v>
      </c>
      <c r="B718" s="3625"/>
      <c r="C718" s="3626" t="s">
        <v>4865</v>
      </c>
      <c r="D718" s="3626">
        <v>39.090000000000003</v>
      </c>
      <c r="E718" s="3623">
        <f>典型户型修正!C740</f>
        <v>0.99</v>
      </c>
      <c r="F718" s="3623">
        <f ca="1">典型户型修正!R740</f>
        <v>5706</v>
      </c>
      <c r="G718" s="3623">
        <f ca="1">典型户型修正!S740</f>
        <v>22</v>
      </c>
    </row>
    <row r="719" spans="1:7">
      <c r="A719" s="3625" t="s">
        <v>5070</v>
      </c>
      <c r="B719" s="3625"/>
      <c r="C719" s="3626" t="s">
        <v>4866</v>
      </c>
      <c r="D719" s="3626">
        <v>39.090000000000003</v>
      </c>
      <c r="E719" s="3623">
        <f>典型户型修正!C741</f>
        <v>0.99</v>
      </c>
      <c r="F719" s="3623">
        <f ca="1">典型户型修正!R741</f>
        <v>5706</v>
      </c>
      <c r="G719" s="3623">
        <f ca="1">典型户型修正!S741</f>
        <v>22</v>
      </c>
    </row>
    <row r="720" spans="1:7">
      <c r="A720" s="3625" t="s">
        <v>5070</v>
      </c>
      <c r="B720" s="3625"/>
      <c r="C720" s="3626" t="s">
        <v>4867</v>
      </c>
      <c r="D720" s="3626">
        <v>39.090000000000003</v>
      </c>
      <c r="E720" s="3623">
        <f>典型户型修正!C742</f>
        <v>0.99</v>
      </c>
      <c r="F720" s="3623">
        <f ca="1">典型户型修正!R742</f>
        <v>5706</v>
      </c>
      <c r="G720" s="3623">
        <f ca="1">典型户型修正!S742</f>
        <v>22</v>
      </c>
    </row>
    <row r="721" spans="1:7">
      <c r="A721" s="3625" t="s">
        <v>5070</v>
      </c>
      <c r="B721" s="3625"/>
      <c r="C721" s="3626" t="s">
        <v>4868</v>
      </c>
      <c r="D721" s="3626">
        <v>39.090000000000003</v>
      </c>
      <c r="E721" s="3623">
        <f>典型户型修正!C743</f>
        <v>0.99</v>
      </c>
      <c r="F721" s="3623">
        <f ca="1">典型户型修正!R743</f>
        <v>5706</v>
      </c>
      <c r="G721" s="3623">
        <f ca="1">典型户型修正!S743</f>
        <v>22</v>
      </c>
    </row>
    <row r="722" spans="1:7">
      <c r="A722" s="3625" t="s">
        <v>5070</v>
      </c>
      <c r="B722" s="3625"/>
      <c r="C722" s="3626" t="s">
        <v>4869</v>
      </c>
      <c r="D722" s="3626">
        <v>36.74</v>
      </c>
      <c r="E722" s="3623">
        <f>典型户型修正!C744</f>
        <v>0.99</v>
      </c>
      <c r="F722" s="3623">
        <f ca="1">典型户型修正!R744</f>
        <v>5706</v>
      </c>
      <c r="G722" s="3623">
        <f ca="1">典型户型修正!S744</f>
        <v>21</v>
      </c>
    </row>
    <row r="723" spans="1:7">
      <c r="A723" s="3625" t="s">
        <v>5070</v>
      </c>
      <c r="B723" s="3625"/>
      <c r="C723" s="3626" t="s">
        <v>4870</v>
      </c>
      <c r="D723" s="3626">
        <v>36.74</v>
      </c>
      <c r="E723" s="3623">
        <f>典型户型修正!C745</f>
        <v>0.99</v>
      </c>
      <c r="F723" s="3623">
        <f ca="1">典型户型修正!R745</f>
        <v>5706</v>
      </c>
      <c r="G723" s="3623">
        <f ca="1">典型户型修正!S745</f>
        <v>21</v>
      </c>
    </row>
    <row r="724" spans="1:7">
      <c r="A724" s="3625" t="s">
        <v>5070</v>
      </c>
      <c r="B724" s="3625"/>
      <c r="C724" s="3626" t="s">
        <v>4871</v>
      </c>
      <c r="D724" s="3626">
        <v>36.74</v>
      </c>
      <c r="E724" s="3623">
        <f>典型户型修正!C746</f>
        <v>0.99</v>
      </c>
      <c r="F724" s="3623">
        <f ca="1">典型户型修正!R746</f>
        <v>5706</v>
      </c>
      <c r="G724" s="3623">
        <f ca="1">典型户型修正!S746</f>
        <v>21</v>
      </c>
    </row>
    <row r="725" spans="1:7">
      <c r="A725" s="3625" t="s">
        <v>5070</v>
      </c>
      <c r="B725" s="3625"/>
      <c r="C725" s="3626" t="s">
        <v>4872</v>
      </c>
      <c r="D725" s="3626">
        <v>36.74</v>
      </c>
      <c r="E725" s="3623">
        <f>典型户型修正!C747</f>
        <v>0.99</v>
      </c>
      <c r="F725" s="3623">
        <f ca="1">典型户型修正!R747</f>
        <v>5706</v>
      </c>
      <c r="G725" s="3623">
        <f ca="1">典型户型修正!S747</f>
        <v>21</v>
      </c>
    </row>
    <row r="726" spans="1:7">
      <c r="A726" s="3625" t="s">
        <v>5070</v>
      </c>
      <c r="B726" s="3625"/>
      <c r="C726" s="3626" t="s">
        <v>4873</v>
      </c>
      <c r="D726" s="3626">
        <v>36.74</v>
      </c>
      <c r="E726" s="3623">
        <f>典型户型修正!C748</f>
        <v>0.99</v>
      </c>
      <c r="F726" s="3623">
        <f ca="1">典型户型修正!R748</f>
        <v>5706</v>
      </c>
      <c r="G726" s="3623">
        <f ca="1">典型户型修正!S748</f>
        <v>21</v>
      </c>
    </row>
    <row r="727" spans="1:7">
      <c r="A727" s="3625" t="s">
        <v>5070</v>
      </c>
      <c r="B727" s="3625"/>
      <c r="C727" s="3626" t="s">
        <v>4874</v>
      </c>
      <c r="D727" s="3626">
        <v>37.520000000000003</v>
      </c>
      <c r="E727" s="3623">
        <f>典型户型修正!C749</f>
        <v>0.99</v>
      </c>
      <c r="F727" s="3623">
        <f ca="1">典型户型修正!R749</f>
        <v>5706</v>
      </c>
      <c r="G727" s="3623">
        <f ca="1">典型户型修正!S749</f>
        <v>21</v>
      </c>
    </row>
    <row r="728" spans="1:7">
      <c r="A728" s="3625" t="s">
        <v>5070</v>
      </c>
      <c r="B728" s="3625"/>
      <c r="C728" s="3626" t="s">
        <v>4875</v>
      </c>
      <c r="D728" s="3626">
        <v>37.520000000000003</v>
      </c>
      <c r="E728" s="3623">
        <f>典型户型修正!C750</f>
        <v>0.99</v>
      </c>
      <c r="F728" s="3623">
        <f ca="1">典型户型修正!R750</f>
        <v>5706</v>
      </c>
      <c r="G728" s="3623">
        <f ca="1">典型户型修正!S750</f>
        <v>21</v>
      </c>
    </row>
    <row r="729" spans="1:7">
      <c r="A729" s="3625" t="s">
        <v>5070</v>
      </c>
      <c r="B729" s="3625"/>
      <c r="C729" s="3626" t="s">
        <v>4876</v>
      </c>
      <c r="D729" s="3626">
        <v>37.520000000000003</v>
      </c>
      <c r="E729" s="3623">
        <f>典型户型修正!C751</f>
        <v>0.99</v>
      </c>
      <c r="F729" s="3623">
        <f ca="1">典型户型修正!R751</f>
        <v>5706</v>
      </c>
      <c r="G729" s="3623">
        <f ca="1">典型户型修正!S751</f>
        <v>21</v>
      </c>
    </row>
    <row r="730" spans="1:7">
      <c r="A730" s="3625" t="s">
        <v>5070</v>
      </c>
      <c r="B730" s="3625"/>
      <c r="C730" s="3626" t="s">
        <v>4877</v>
      </c>
      <c r="D730" s="3626">
        <v>37.520000000000003</v>
      </c>
      <c r="E730" s="3623">
        <f>典型户型修正!C752</f>
        <v>0.99</v>
      </c>
      <c r="F730" s="3623">
        <f ca="1">典型户型修正!R752</f>
        <v>5706</v>
      </c>
      <c r="G730" s="3623">
        <f ca="1">典型户型修正!S752</f>
        <v>21</v>
      </c>
    </row>
    <row r="731" spans="1:7">
      <c r="A731" s="3625" t="s">
        <v>5070</v>
      </c>
      <c r="B731" s="3625"/>
      <c r="C731" s="3626" t="s">
        <v>4878</v>
      </c>
      <c r="D731" s="3626">
        <v>37.520000000000003</v>
      </c>
      <c r="E731" s="3623">
        <f>典型户型修正!C753</f>
        <v>0.99</v>
      </c>
      <c r="F731" s="3623">
        <f ca="1">典型户型修正!R753</f>
        <v>5706</v>
      </c>
      <c r="G731" s="3623">
        <f ca="1">典型户型修正!S753</f>
        <v>21</v>
      </c>
    </row>
    <row r="732" spans="1:7">
      <c r="A732" s="3625" t="s">
        <v>5070</v>
      </c>
      <c r="B732" s="3625"/>
      <c r="C732" s="3626" t="s">
        <v>4879</v>
      </c>
      <c r="D732" s="3626">
        <v>37.520000000000003</v>
      </c>
      <c r="E732" s="3623">
        <f>典型户型修正!C754</f>
        <v>0.99</v>
      </c>
      <c r="F732" s="3623">
        <f ca="1">典型户型修正!R754</f>
        <v>5706</v>
      </c>
      <c r="G732" s="3623">
        <f ca="1">典型户型修正!S754</f>
        <v>21</v>
      </c>
    </row>
    <row r="733" spans="1:7">
      <c r="A733" s="3625" t="s">
        <v>5070</v>
      </c>
      <c r="B733" s="3625"/>
      <c r="C733" s="3626" t="s">
        <v>4880</v>
      </c>
      <c r="D733" s="3626">
        <v>37.520000000000003</v>
      </c>
      <c r="E733" s="3623">
        <f>典型户型修正!C755</f>
        <v>0.99</v>
      </c>
      <c r="F733" s="3623">
        <f ca="1">典型户型修正!R755</f>
        <v>5706</v>
      </c>
      <c r="G733" s="3623">
        <f ca="1">典型户型修正!S755</f>
        <v>21</v>
      </c>
    </row>
    <row r="734" spans="1:7">
      <c r="A734" s="3625" t="s">
        <v>5070</v>
      </c>
      <c r="B734" s="3625"/>
      <c r="C734" s="3626" t="s">
        <v>4881</v>
      </c>
      <c r="D734" s="3626">
        <v>37.520000000000003</v>
      </c>
      <c r="E734" s="3623">
        <f>典型户型修正!C756</f>
        <v>0.99</v>
      </c>
      <c r="F734" s="3623">
        <f ca="1">典型户型修正!R756</f>
        <v>5706</v>
      </c>
      <c r="G734" s="3623">
        <f ca="1">典型户型修正!S756</f>
        <v>21</v>
      </c>
    </row>
    <row r="735" spans="1:7">
      <c r="A735" s="3625" t="s">
        <v>5070</v>
      </c>
      <c r="B735" s="3625"/>
      <c r="C735" s="3626" t="s">
        <v>4882</v>
      </c>
      <c r="D735" s="3626">
        <v>37.520000000000003</v>
      </c>
      <c r="E735" s="3623">
        <f>典型户型修正!C757</f>
        <v>0.99</v>
      </c>
      <c r="F735" s="3623">
        <f ca="1">典型户型修正!R757</f>
        <v>5706</v>
      </c>
      <c r="G735" s="3623">
        <f ca="1">典型户型修正!S757</f>
        <v>21</v>
      </c>
    </row>
    <row r="736" spans="1:7">
      <c r="A736" s="3625" t="s">
        <v>5070</v>
      </c>
      <c r="B736" s="3625"/>
      <c r="C736" s="3626" t="s">
        <v>4883</v>
      </c>
      <c r="D736" s="3626">
        <v>37.520000000000003</v>
      </c>
      <c r="E736" s="3623">
        <f>典型户型修正!C758</f>
        <v>0.99</v>
      </c>
      <c r="F736" s="3623">
        <f ca="1">典型户型修正!R758</f>
        <v>5706</v>
      </c>
      <c r="G736" s="3623">
        <f ca="1">典型户型修正!S758</f>
        <v>21</v>
      </c>
    </row>
    <row r="737" spans="1:7">
      <c r="A737" s="3625" t="s">
        <v>5070</v>
      </c>
      <c r="B737" s="3625"/>
      <c r="C737" s="3626" t="s">
        <v>4884</v>
      </c>
      <c r="D737" s="3626">
        <v>37.520000000000003</v>
      </c>
      <c r="E737" s="3623">
        <f>典型户型修正!C759</f>
        <v>0.99</v>
      </c>
      <c r="F737" s="3623">
        <f ca="1">典型户型修正!R759</f>
        <v>5706</v>
      </c>
      <c r="G737" s="3623">
        <f ca="1">典型户型修正!S759</f>
        <v>21</v>
      </c>
    </row>
    <row r="738" spans="1:7">
      <c r="A738" s="3625" t="s">
        <v>5070</v>
      </c>
      <c r="B738" s="3625"/>
      <c r="C738" s="3626" t="s">
        <v>4885</v>
      </c>
      <c r="D738" s="3626">
        <v>37.520000000000003</v>
      </c>
      <c r="E738" s="3623">
        <f>典型户型修正!C760</f>
        <v>0.99</v>
      </c>
      <c r="F738" s="3623">
        <f ca="1">典型户型修正!R760</f>
        <v>5706</v>
      </c>
      <c r="G738" s="3623">
        <f ca="1">典型户型修正!S760</f>
        <v>21</v>
      </c>
    </row>
    <row r="739" spans="1:7">
      <c r="A739" s="3625" t="s">
        <v>5070</v>
      </c>
      <c r="B739" s="3625"/>
      <c r="C739" s="3626" t="s">
        <v>4886</v>
      </c>
      <c r="D739" s="3626">
        <v>37.520000000000003</v>
      </c>
      <c r="E739" s="3623">
        <f>典型户型修正!C761</f>
        <v>0.99</v>
      </c>
      <c r="F739" s="3623">
        <f ca="1">典型户型修正!R761</f>
        <v>5706</v>
      </c>
      <c r="G739" s="3623">
        <f ca="1">典型户型修正!S761</f>
        <v>21</v>
      </c>
    </row>
    <row r="740" spans="1:7">
      <c r="A740" s="3625" t="s">
        <v>5070</v>
      </c>
      <c r="B740" s="3625"/>
      <c r="C740" s="3626" t="s">
        <v>4887</v>
      </c>
      <c r="D740" s="3626">
        <v>37.520000000000003</v>
      </c>
      <c r="E740" s="3623">
        <f>典型户型修正!C762</f>
        <v>0.99</v>
      </c>
      <c r="F740" s="3623">
        <f ca="1">典型户型修正!R762</f>
        <v>5706</v>
      </c>
      <c r="G740" s="3623">
        <f ca="1">典型户型修正!S762</f>
        <v>21</v>
      </c>
    </row>
    <row r="741" spans="1:7">
      <c r="A741" s="3625" t="s">
        <v>5070</v>
      </c>
      <c r="B741" s="3625"/>
      <c r="C741" s="3626" t="s">
        <v>4888</v>
      </c>
      <c r="D741" s="3626">
        <v>37.520000000000003</v>
      </c>
      <c r="E741" s="3623">
        <f>典型户型修正!C763</f>
        <v>0.99</v>
      </c>
      <c r="F741" s="3623">
        <f ca="1">典型户型修正!R763</f>
        <v>5706</v>
      </c>
      <c r="G741" s="3623">
        <f ca="1">典型户型修正!S763</f>
        <v>21</v>
      </c>
    </row>
    <row r="742" spans="1:7">
      <c r="A742" s="3625" t="s">
        <v>5070</v>
      </c>
      <c r="B742" s="3625"/>
      <c r="C742" s="3626" t="s">
        <v>4889</v>
      </c>
      <c r="D742" s="3626">
        <v>37.520000000000003</v>
      </c>
      <c r="E742" s="3623">
        <f>典型户型修正!C764</f>
        <v>0.99</v>
      </c>
      <c r="F742" s="3623">
        <f ca="1">典型户型修正!R764</f>
        <v>5706</v>
      </c>
      <c r="G742" s="3623">
        <f ca="1">典型户型修正!S764</f>
        <v>21</v>
      </c>
    </row>
    <row r="743" spans="1:7">
      <c r="A743" s="3625" t="s">
        <v>5070</v>
      </c>
      <c r="B743" s="3625"/>
      <c r="C743" s="3626" t="s">
        <v>4890</v>
      </c>
      <c r="D743" s="3626">
        <v>37.520000000000003</v>
      </c>
      <c r="E743" s="3623">
        <f>典型户型修正!C765</f>
        <v>0.99</v>
      </c>
      <c r="F743" s="3623">
        <f ca="1">典型户型修正!R765</f>
        <v>5706</v>
      </c>
      <c r="G743" s="3623">
        <f ca="1">典型户型修正!S765</f>
        <v>21</v>
      </c>
    </row>
    <row r="744" spans="1:7">
      <c r="A744" s="3625" t="s">
        <v>5070</v>
      </c>
      <c r="B744" s="3625"/>
      <c r="C744" s="3626" t="s">
        <v>4891</v>
      </c>
      <c r="D744" s="3626">
        <v>37.520000000000003</v>
      </c>
      <c r="E744" s="3623">
        <f>典型户型修正!C766</f>
        <v>0.99</v>
      </c>
      <c r="F744" s="3623">
        <f ca="1">典型户型修正!R766</f>
        <v>5706</v>
      </c>
      <c r="G744" s="3623">
        <f ca="1">典型户型修正!S766</f>
        <v>21</v>
      </c>
    </row>
    <row r="745" spans="1:7">
      <c r="A745" s="3625" t="s">
        <v>5070</v>
      </c>
      <c r="B745" s="3625"/>
      <c r="C745" s="3626" t="s">
        <v>4892</v>
      </c>
      <c r="D745" s="3626">
        <v>37.520000000000003</v>
      </c>
      <c r="E745" s="3623">
        <f>典型户型修正!C767</f>
        <v>0.99</v>
      </c>
      <c r="F745" s="3623">
        <f ca="1">典型户型修正!R767</f>
        <v>5706</v>
      </c>
      <c r="G745" s="3623">
        <f ca="1">典型户型修正!S767</f>
        <v>21</v>
      </c>
    </row>
    <row r="746" spans="1:7">
      <c r="A746" s="3625" t="s">
        <v>5070</v>
      </c>
      <c r="B746" s="3625"/>
      <c r="C746" s="3626" t="s">
        <v>4893</v>
      </c>
      <c r="D746" s="3626">
        <v>39.090000000000003</v>
      </c>
      <c r="E746" s="3623">
        <f>典型户型修正!C768</f>
        <v>0.99</v>
      </c>
      <c r="F746" s="3623">
        <f ca="1">典型户型修正!R768</f>
        <v>5706</v>
      </c>
      <c r="G746" s="3623">
        <f ca="1">典型户型修正!S768</f>
        <v>22</v>
      </c>
    </row>
    <row r="747" spans="1:7">
      <c r="A747" s="3625" t="s">
        <v>5070</v>
      </c>
      <c r="B747" s="3625"/>
      <c r="C747" s="3626" t="s">
        <v>4894</v>
      </c>
      <c r="D747" s="3626">
        <v>39.090000000000003</v>
      </c>
      <c r="E747" s="3623">
        <f>典型户型修正!C769</f>
        <v>0.99</v>
      </c>
      <c r="F747" s="3623">
        <f ca="1">典型户型修正!R769</f>
        <v>5706</v>
      </c>
      <c r="G747" s="3623">
        <f ca="1">典型户型修正!S769</f>
        <v>22</v>
      </c>
    </row>
    <row r="748" spans="1:7">
      <c r="A748" s="3625" t="s">
        <v>5070</v>
      </c>
      <c r="B748" s="3625"/>
      <c r="C748" s="3626" t="s">
        <v>4895</v>
      </c>
      <c r="D748" s="3626">
        <v>46.91</v>
      </c>
      <c r="E748" s="3623">
        <f>典型户型修正!C770</f>
        <v>0.98</v>
      </c>
      <c r="F748" s="3623">
        <f ca="1">典型户型修正!R770</f>
        <v>5649</v>
      </c>
      <c r="G748" s="3623">
        <f ca="1">典型户型修正!S770</f>
        <v>26</v>
      </c>
    </row>
    <row r="749" spans="1:7">
      <c r="A749" s="3625" t="s">
        <v>5070</v>
      </c>
      <c r="B749" s="3625"/>
      <c r="C749" s="3626" t="s">
        <v>4896</v>
      </c>
      <c r="D749" s="3626">
        <v>46.91</v>
      </c>
      <c r="E749" s="3623">
        <f>典型户型修正!C771</f>
        <v>0.98</v>
      </c>
      <c r="F749" s="3623">
        <f ca="1">典型户型修正!R771</f>
        <v>5649</v>
      </c>
      <c r="G749" s="3623">
        <f ca="1">典型户型修正!S771</f>
        <v>26</v>
      </c>
    </row>
    <row r="750" spans="1:7">
      <c r="A750" s="3625" t="s">
        <v>5070</v>
      </c>
      <c r="B750" s="3625"/>
      <c r="C750" s="3626" t="s">
        <v>4897</v>
      </c>
      <c r="D750" s="3626">
        <v>46.91</v>
      </c>
      <c r="E750" s="3623">
        <f>典型户型修正!C772</f>
        <v>0.98</v>
      </c>
      <c r="F750" s="3623">
        <f ca="1">典型户型修正!R772</f>
        <v>5649</v>
      </c>
      <c r="G750" s="3623">
        <f ca="1">典型户型修正!S772</f>
        <v>26</v>
      </c>
    </row>
    <row r="751" spans="1:7">
      <c r="A751" s="3625" t="s">
        <v>5070</v>
      </c>
      <c r="B751" s="3625"/>
      <c r="C751" s="3626" t="s">
        <v>4898</v>
      </c>
      <c r="D751" s="3626">
        <v>46.91</v>
      </c>
      <c r="E751" s="3623">
        <f>典型户型修正!C773</f>
        <v>0.98</v>
      </c>
      <c r="F751" s="3623">
        <f ca="1">典型户型修正!R773</f>
        <v>5649</v>
      </c>
      <c r="G751" s="3623">
        <f ca="1">典型户型修正!S773</f>
        <v>26</v>
      </c>
    </row>
    <row r="752" spans="1:7">
      <c r="A752" s="3625" t="s">
        <v>5070</v>
      </c>
      <c r="B752" s="3625"/>
      <c r="C752" s="3626" t="s">
        <v>4899</v>
      </c>
      <c r="D752" s="3626">
        <v>46.91</v>
      </c>
      <c r="E752" s="3623">
        <f>典型户型修正!C774</f>
        <v>0.98</v>
      </c>
      <c r="F752" s="3623">
        <f ca="1">典型户型修正!R774</f>
        <v>5649</v>
      </c>
      <c r="G752" s="3623">
        <f ca="1">典型户型修正!S774</f>
        <v>26</v>
      </c>
    </row>
    <row r="753" spans="1:7">
      <c r="A753" s="3625" t="s">
        <v>5070</v>
      </c>
      <c r="B753" s="3625"/>
      <c r="C753" s="3626" t="s">
        <v>4900</v>
      </c>
      <c r="D753" s="3626">
        <v>46.91</v>
      </c>
      <c r="E753" s="3623">
        <f>典型户型修正!C775</f>
        <v>0.98</v>
      </c>
      <c r="F753" s="3623">
        <f ca="1">典型户型修正!R775</f>
        <v>5649</v>
      </c>
      <c r="G753" s="3623">
        <f ca="1">典型户型修正!S775</f>
        <v>26</v>
      </c>
    </row>
    <row r="754" spans="1:7">
      <c r="A754" s="3625" t="s">
        <v>5070</v>
      </c>
      <c r="B754" s="3625"/>
      <c r="C754" s="3626" t="s">
        <v>4901</v>
      </c>
      <c r="D754" s="3626">
        <v>46.91</v>
      </c>
      <c r="E754" s="3623">
        <f>典型户型修正!C776</f>
        <v>0.98</v>
      </c>
      <c r="F754" s="3623">
        <f ca="1">典型户型修正!R776</f>
        <v>5649</v>
      </c>
      <c r="G754" s="3623">
        <f ca="1">典型户型修正!S776</f>
        <v>26</v>
      </c>
    </row>
    <row r="755" spans="1:7">
      <c r="A755" s="3625" t="s">
        <v>5070</v>
      </c>
      <c r="B755" s="3625"/>
      <c r="C755" s="3626" t="s">
        <v>4902</v>
      </c>
      <c r="D755" s="3626">
        <v>48.78</v>
      </c>
      <c r="E755" s="3623">
        <f>典型户型修正!C777</f>
        <v>0.98</v>
      </c>
      <c r="F755" s="3623">
        <f ca="1">典型户型修正!R777</f>
        <v>5649</v>
      </c>
      <c r="G755" s="3623">
        <f ca="1">典型户型修正!S777</f>
        <v>28</v>
      </c>
    </row>
    <row r="756" spans="1:7">
      <c r="A756" s="3625" t="s">
        <v>5070</v>
      </c>
      <c r="B756" s="3625"/>
      <c r="C756" s="3626" t="s">
        <v>4903</v>
      </c>
      <c r="D756" s="3626">
        <v>37.520000000000003</v>
      </c>
      <c r="E756" s="3623">
        <f>典型户型修正!C778</f>
        <v>0.99</v>
      </c>
      <c r="F756" s="3623">
        <f ca="1">典型户型修正!R778</f>
        <v>5706</v>
      </c>
      <c r="G756" s="3623">
        <f ca="1">典型户型修正!S778</f>
        <v>21</v>
      </c>
    </row>
    <row r="757" spans="1:7">
      <c r="A757" s="3625" t="s">
        <v>5070</v>
      </c>
      <c r="B757" s="3625"/>
      <c r="C757" s="3626" t="s">
        <v>4904</v>
      </c>
      <c r="D757" s="3626">
        <v>37.520000000000003</v>
      </c>
      <c r="E757" s="3623">
        <f>典型户型修正!C779</f>
        <v>0.99</v>
      </c>
      <c r="F757" s="3623">
        <f ca="1">典型户型修正!R779</f>
        <v>5706</v>
      </c>
      <c r="G757" s="3623">
        <f ca="1">典型户型修正!S779</f>
        <v>21</v>
      </c>
    </row>
    <row r="758" spans="1:7">
      <c r="A758" s="3625" t="s">
        <v>5070</v>
      </c>
      <c r="B758" s="3625"/>
      <c r="C758" s="3626" t="s">
        <v>4905</v>
      </c>
      <c r="D758" s="3626">
        <v>37.520000000000003</v>
      </c>
      <c r="E758" s="3623">
        <f>典型户型修正!C780</f>
        <v>0.99</v>
      </c>
      <c r="F758" s="3623">
        <f ca="1">典型户型修正!R780</f>
        <v>5706</v>
      </c>
      <c r="G758" s="3623">
        <f ca="1">典型户型修正!S780</f>
        <v>21</v>
      </c>
    </row>
    <row r="759" spans="1:7">
      <c r="A759" s="3625" t="s">
        <v>5070</v>
      </c>
      <c r="B759" s="3625"/>
      <c r="C759" s="3626" t="s">
        <v>4906</v>
      </c>
      <c r="D759" s="3626">
        <v>37.520000000000003</v>
      </c>
      <c r="E759" s="3623">
        <f>典型户型修正!C781</f>
        <v>0.99</v>
      </c>
      <c r="F759" s="3623">
        <f ca="1">典型户型修正!R781</f>
        <v>5706</v>
      </c>
      <c r="G759" s="3623">
        <f ca="1">典型户型修正!S781</f>
        <v>21</v>
      </c>
    </row>
    <row r="760" spans="1:7">
      <c r="A760" s="3625" t="s">
        <v>5070</v>
      </c>
      <c r="B760" s="3625"/>
      <c r="C760" s="3626" t="s">
        <v>4907</v>
      </c>
      <c r="D760" s="3626">
        <v>37.520000000000003</v>
      </c>
      <c r="E760" s="3623">
        <f>典型户型修正!C782</f>
        <v>0.99</v>
      </c>
      <c r="F760" s="3623">
        <f ca="1">典型户型修正!R782</f>
        <v>5706</v>
      </c>
      <c r="G760" s="3623">
        <f ca="1">典型户型修正!S782</f>
        <v>21</v>
      </c>
    </row>
    <row r="761" spans="1:7">
      <c r="A761" s="3625" t="s">
        <v>5070</v>
      </c>
      <c r="B761" s="3625"/>
      <c r="C761" s="3626" t="s">
        <v>4908</v>
      </c>
      <c r="D761" s="3626">
        <v>37.520000000000003</v>
      </c>
      <c r="E761" s="3623">
        <f>典型户型修正!C783</f>
        <v>0.99</v>
      </c>
      <c r="F761" s="3623">
        <f ca="1">典型户型修正!R783</f>
        <v>5706</v>
      </c>
      <c r="G761" s="3623">
        <f ca="1">典型户型修正!S783</f>
        <v>21</v>
      </c>
    </row>
    <row r="762" spans="1:7">
      <c r="A762" s="3625" t="s">
        <v>5070</v>
      </c>
      <c r="B762" s="3625"/>
      <c r="C762" s="3626" t="s">
        <v>4909</v>
      </c>
      <c r="D762" s="3626">
        <v>37.520000000000003</v>
      </c>
      <c r="E762" s="3623">
        <f>典型户型修正!C784</f>
        <v>0.99</v>
      </c>
      <c r="F762" s="3623">
        <f ca="1">典型户型修正!R784</f>
        <v>5706</v>
      </c>
      <c r="G762" s="3623">
        <f ca="1">典型户型修正!S784</f>
        <v>21</v>
      </c>
    </row>
    <row r="763" spans="1:7">
      <c r="A763" s="3625" t="s">
        <v>5070</v>
      </c>
      <c r="B763" s="3625"/>
      <c r="C763" s="3626" t="s">
        <v>4910</v>
      </c>
      <c r="D763" s="3626">
        <v>37.520000000000003</v>
      </c>
      <c r="E763" s="3623">
        <f>典型户型修正!C785</f>
        <v>0.99</v>
      </c>
      <c r="F763" s="3623">
        <f ca="1">典型户型修正!R785</f>
        <v>5706</v>
      </c>
      <c r="G763" s="3623">
        <f ca="1">典型户型修正!S785</f>
        <v>21</v>
      </c>
    </row>
    <row r="764" spans="1:7">
      <c r="A764" s="3625" t="s">
        <v>5070</v>
      </c>
      <c r="B764" s="3625"/>
      <c r="C764" s="3626" t="s">
        <v>4911</v>
      </c>
      <c r="D764" s="3626">
        <v>37.520000000000003</v>
      </c>
      <c r="E764" s="3623">
        <f>典型户型修正!C786</f>
        <v>0.99</v>
      </c>
      <c r="F764" s="3623">
        <f ca="1">典型户型修正!R786</f>
        <v>5706</v>
      </c>
      <c r="G764" s="3623">
        <f ca="1">典型户型修正!S786</f>
        <v>21</v>
      </c>
    </row>
    <row r="765" spans="1:7">
      <c r="A765" s="3625" t="s">
        <v>5070</v>
      </c>
      <c r="B765" s="3625"/>
      <c r="C765" s="3626" t="s">
        <v>4912</v>
      </c>
      <c r="D765" s="3626">
        <v>37.520000000000003</v>
      </c>
      <c r="E765" s="3623">
        <f>典型户型修正!C787</f>
        <v>0.99</v>
      </c>
      <c r="F765" s="3623">
        <f ca="1">典型户型修正!R787</f>
        <v>5706</v>
      </c>
      <c r="G765" s="3623">
        <f ca="1">典型户型修正!S787</f>
        <v>21</v>
      </c>
    </row>
    <row r="766" spans="1:7">
      <c r="A766" s="3625" t="s">
        <v>5070</v>
      </c>
      <c r="B766" s="3625"/>
      <c r="C766" s="3626" t="s">
        <v>4913</v>
      </c>
      <c r="D766" s="3626">
        <v>37.520000000000003</v>
      </c>
      <c r="E766" s="3623">
        <f>典型户型修正!C788</f>
        <v>0.99</v>
      </c>
      <c r="F766" s="3623">
        <f ca="1">典型户型修正!R788</f>
        <v>5706</v>
      </c>
      <c r="G766" s="3623">
        <f ca="1">典型户型修正!S788</f>
        <v>21</v>
      </c>
    </row>
    <row r="767" spans="1:7">
      <c r="A767" s="3625" t="s">
        <v>5070</v>
      </c>
      <c r="B767" s="3625"/>
      <c r="C767" s="3626" t="s">
        <v>4914</v>
      </c>
      <c r="D767" s="3626">
        <v>39.090000000000003</v>
      </c>
      <c r="E767" s="3623">
        <f>典型户型修正!C789</f>
        <v>0.99</v>
      </c>
      <c r="F767" s="3623">
        <f ca="1">典型户型修正!R789</f>
        <v>5706</v>
      </c>
      <c r="G767" s="3623">
        <f ca="1">典型户型修正!S789</f>
        <v>22</v>
      </c>
    </row>
    <row r="768" spans="1:7">
      <c r="A768" s="3625" t="s">
        <v>5070</v>
      </c>
      <c r="B768" s="3625"/>
      <c r="C768" s="3626" t="s">
        <v>4915</v>
      </c>
      <c r="D768" s="3626">
        <v>39.090000000000003</v>
      </c>
      <c r="E768" s="3623">
        <f>典型户型修正!C790</f>
        <v>0.99</v>
      </c>
      <c r="F768" s="3623">
        <f ca="1">典型户型修正!R790</f>
        <v>5706</v>
      </c>
      <c r="G768" s="3623">
        <f ca="1">典型户型修正!S790</f>
        <v>22</v>
      </c>
    </row>
    <row r="769" spans="1:7">
      <c r="A769" s="3625" t="s">
        <v>5070</v>
      </c>
      <c r="B769" s="3625"/>
      <c r="C769" s="3626" t="s">
        <v>4916</v>
      </c>
      <c r="D769" s="3626">
        <v>39.090000000000003</v>
      </c>
      <c r="E769" s="3623">
        <f>典型户型修正!C791</f>
        <v>0.99</v>
      </c>
      <c r="F769" s="3623">
        <f ca="1">典型户型修正!R791</f>
        <v>5706</v>
      </c>
      <c r="G769" s="3623">
        <f ca="1">典型户型修正!S791</f>
        <v>22</v>
      </c>
    </row>
    <row r="770" spans="1:7">
      <c r="A770" s="3625" t="s">
        <v>5070</v>
      </c>
      <c r="B770" s="3625"/>
      <c r="C770" s="3626" t="s">
        <v>4917</v>
      </c>
      <c r="D770" s="3626">
        <v>39.090000000000003</v>
      </c>
      <c r="E770" s="3623">
        <f>典型户型修正!C792</f>
        <v>0.99</v>
      </c>
      <c r="F770" s="3623">
        <f ca="1">典型户型修正!R792</f>
        <v>5706</v>
      </c>
      <c r="G770" s="3623">
        <f ca="1">典型户型修正!S792</f>
        <v>22</v>
      </c>
    </row>
    <row r="771" spans="1:7">
      <c r="A771" s="3625" t="s">
        <v>5070</v>
      </c>
      <c r="B771" s="3625"/>
      <c r="C771" s="3626" t="s">
        <v>4918</v>
      </c>
      <c r="D771" s="3626">
        <v>39.090000000000003</v>
      </c>
      <c r="E771" s="3623">
        <f>典型户型修正!C793</f>
        <v>0.99</v>
      </c>
      <c r="F771" s="3623">
        <f ca="1">典型户型修正!R793</f>
        <v>5706</v>
      </c>
      <c r="G771" s="3623">
        <f ca="1">典型户型修正!S793</f>
        <v>22</v>
      </c>
    </row>
    <row r="772" spans="1:7">
      <c r="A772" s="3625" t="s">
        <v>5070</v>
      </c>
      <c r="B772" s="3625"/>
      <c r="C772" s="3626" t="s">
        <v>4919</v>
      </c>
      <c r="D772" s="3626">
        <v>39.090000000000003</v>
      </c>
      <c r="E772" s="3623">
        <f>典型户型修正!C794</f>
        <v>0.99</v>
      </c>
      <c r="F772" s="3623">
        <f ca="1">典型户型修正!R794</f>
        <v>5706</v>
      </c>
      <c r="G772" s="3623">
        <f ca="1">典型户型修正!S794</f>
        <v>22</v>
      </c>
    </row>
    <row r="773" spans="1:7">
      <c r="A773" s="3625" t="s">
        <v>5070</v>
      </c>
      <c r="B773" s="3625"/>
      <c r="C773" s="3626" t="s">
        <v>4920</v>
      </c>
      <c r="D773" s="3626">
        <v>39.090000000000003</v>
      </c>
      <c r="E773" s="3623">
        <f>典型户型修正!C795</f>
        <v>0.99</v>
      </c>
      <c r="F773" s="3623">
        <f ca="1">典型户型修正!R795</f>
        <v>5706</v>
      </c>
      <c r="G773" s="3623">
        <f ca="1">典型户型修正!S795</f>
        <v>22</v>
      </c>
    </row>
    <row r="774" spans="1:7">
      <c r="A774" s="3625" t="s">
        <v>5070</v>
      </c>
      <c r="B774" s="3625"/>
      <c r="C774" s="3626" t="s">
        <v>4921</v>
      </c>
      <c r="D774" s="3626">
        <v>39.090000000000003</v>
      </c>
      <c r="E774" s="3623">
        <f>典型户型修正!C796</f>
        <v>0.99</v>
      </c>
      <c r="F774" s="3623">
        <f ca="1">典型户型修正!R796</f>
        <v>5706</v>
      </c>
      <c r="G774" s="3623">
        <f ca="1">典型户型修正!S796</f>
        <v>22</v>
      </c>
    </row>
    <row r="775" spans="1:7">
      <c r="A775" s="3625" t="s">
        <v>5070</v>
      </c>
      <c r="B775" s="3625"/>
      <c r="C775" s="3626" t="s">
        <v>4922</v>
      </c>
      <c r="D775" s="3626">
        <v>39.090000000000003</v>
      </c>
      <c r="E775" s="3623">
        <f>典型户型修正!C797</f>
        <v>0.99</v>
      </c>
      <c r="F775" s="3623">
        <f ca="1">典型户型修正!R797</f>
        <v>5706</v>
      </c>
      <c r="G775" s="3623">
        <f ca="1">典型户型修正!S797</f>
        <v>22</v>
      </c>
    </row>
    <row r="776" spans="1:7">
      <c r="A776" s="3625" t="s">
        <v>5070</v>
      </c>
      <c r="B776" s="3625"/>
      <c r="C776" s="3626" t="s">
        <v>4923</v>
      </c>
      <c r="D776" s="3626">
        <v>36.74</v>
      </c>
      <c r="E776" s="3623">
        <f>典型户型修正!C798</f>
        <v>0.99</v>
      </c>
      <c r="F776" s="3623">
        <f ca="1">典型户型修正!R798</f>
        <v>5706</v>
      </c>
      <c r="G776" s="3623">
        <f ca="1">典型户型修正!S798</f>
        <v>21</v>
      </c>
    </row>
    <row r="777" spans="1:7">
      <c r="A777" s="3625" t="s">
        <v>5070</v>
      </c>
      <c r="B777" s="3625"/>
      <c r="C777" s="3626" t="s">
        <v>4924</v>
      </c>
      <c r="D777" s="3626">
        <v>36.74</v>
      </c>
      <c r="E777" s="3623">
        <f>典型户型修正!C799</f>
        <v>0.99</v>
      </c>
      <c r="F777" s="3623">
        <f ca="1">典型户型修正!R799</f>
        <v>5706</v>
      </c>
      <c r="G777" s="3623">
        <f ca="1">典型户型修正!S799</f>
        <v>21</v>
      </c>
    </row>
    <row r="778" spans="1:7">
      <c r="A778" s="3625" t="s">
        <v>5070</v>
      </c>
      <c r="B778" s="3625"/>
      <c r="C778" s="3626" t="s">
        <v>4925</v>
      </c>
      <c r="D778" s="3626">
        <v>36.74</v>
      </c>
      <c r="E778" s="3623">
        <f>典型户型修正!C800</f>
        <v>0.99</v>
      </c>
      <c r="F778" s="3623">
        <f ca="1">典型户型修正!R800</f>
        <v>5706</v>
      </c>
      <c r="G778" s="3623">
        <f ca="1">典型户型修正!S800</f>
        <v>21</v>
      </c>
    </row>
    <row r="779" spans="1:7">
      <c r="A779" s="3625" t="s">
        <v>5070</v>
      </c>
      <c r="B779" s="3625"/>
      <c r="C779" s="3626" t="s">
        <v>4926</v>
      </c>
      <c r="D779" s="3626">
        <v>36.74</v>
      </c>
      <c r="E779" s="3623">
        <f>典型户型修正!C801</f>
        <v>0.99</v>
      </c>
      <c r="F779" s="3623">
        <f ca="1">典型户型修正!R801</f>
        <v>5706</v>
      </c>
      <c r="G779" s="3623">
        <f ca="1">典型户型修正!S801</f>
        <v>21</v>
      </c>
    </row>
    <row r="780" spans="1:7">
      <c r="A780" s="3625" t="s">
        <v>5070</v>
      </c>
      <c r="B780" s="3625"/>
      <c r="C780" s="3626" t="s">
        <v>4927</v>
      </c>
      <c r="D780" s="3626">
        <v>36.74</v>
      </c>
      <c r="E780" s="3623">
        <f>典型户型修正!C802</f>
        <v>0.99</v>
      </c>
      <c r="F780" s="3623">
        <f ca="1">典型户型修正!R802</f>
        <v>5706</v>
      </c>
      <c r="G780" s="3623">
        <f ca="1">典型户型修正!S802</f>
        <v>21</v>
      </c>
    </row>
    <row r="781" spans="1:7">
      <c r="A781" s="3625" t="s">
        <v>5070</v>
      </c>
      <c r="B781" s="3625"/>
      <c r="C781" s="3626" t="s">
        <v>4928</v>
      </c>
      <c r="D781" s="3626">
        <v>36.74</v>
      </c>
      <c r="E781" s="3623">
        <f>典型户型修正!C803</f>
        <v>0.99</v>
      </c>
      <c r="F781" s="3623">
        <f ca="1">典型户型修正!R803</f>
        <v>5706</v>
      </c>
      <c r="G781" s="3623">
        <f ca="1">典型户型修正!S803</f>
        <v>21</v>
      </c>
    </row>
    <row r="782" spans="1:7">
      <c r="A782" s="3625" t="s">
        <v>5070</v>
      </c>
      <c r="B782" s="3625"/>
      <c r="C782" s="3626" t="s">
        <v>4929</v>
      </c>
      <c r="D782" s="3626">
        <v>36.74</v>
      </c>
      <c r="E782" s="3623">
        <f>典型户型修正!C804</f>
        <v>0.99</v>
      </c>
      <c r="F782" s="3623">
        <f ca="1">典型户型修正!R804</f>
        <v>5706</v>
      </c>
      <c r="G782" s="3623">
        <f ca="1">典型户型修正!S804</f>
        <v>21</v>
      </c>
    </row>
    <row r="783" spans="1:7">
      <c r="A783" s="3625" t="s">
        <v>5070</v>
      </c>
      <c r="B783" s="3625"/>
      <c r="C783" s="3626" t="s">
        <v>4930</v>
      </c>
      <c r="D783" s="3626">
        <v>36.74</v>
      </c>
      <c r="E783" s="3623">
        <f>典型户型修正!C805</f>
        <v>0.99</v>
      </c>
      <c r="F783" s="3623">
        <f ca="1">典型户型修正!R805</f>
        <v>5706</v>
      </c>
      <c r="G783" s="3623">
        <f ca="1">典型户型修正!S805</f>
        <v>21</v>
      </c>
    </row>
    <row r="784" spans="1:7">
      <c r="A784" s="3625" t="s">
        <v>5070</v>
      </c>
      <c r="B784" s="3625"/>
      <c r="C784" s="3626" t="s">
        <v>4931</v>
      </c>
      <c r="D784" s="3626">
        <v>36.74</v>
      </c>
      <c r="E784" s="3623">
        <f>典型户型修正!C806</f>
        <v>0.99</v>
      </c>
      <c r="F784" s="3623">
        <f ca="1">典型户型修正!R806</f>
        <v>5706</v>
      </c>
      <c r="G784" s="3623">
        <f ca="1">典型户型修正!S806</f>
        <v>21</v>
      </c>
    </row>
    <row r="785" spans="1:7">
      <c r="A785" s="3625" t="s">
        <v>5070</v>
      </c>
      <c r="B785" s="3625"/>
      <c r="C785" s="3626" t="s">
        <v>4932</v>
      </c>
      <c r="D785" s="3626">
        <v>39.090000000000003</v>
      </c>
      <c r="E785" s="3623">
        <f>典型户型修正!C807</f>
        <v>0.99</v>
      </c>
      <c r="F785" s="3623">
        <f ca="1">典型户型修正!R807</f>
        <v>5706</v>
      </c>
      <c r="G785" s="3623">
        <f ca="1">典型户型修正!S807</f>
        <v>22</v>
      </c>
    </row>
    <row r="786" spans="1:7">
      <c r="A786" s="3625" t="s">
        <v>5070</v>
      </c>
      <c r="B786" s="3625"/>
      <c r="C786" s="3626" t="s">
        <v>4933</v>
      </c>
      <c r="D786" s="3626">
        <v>39.090000000000003</v>
      </c>
      <c r="E786" s="3623">
        <f>典型户型修正!C808</f>
        <v>0.99</v>
      </c>
      <c r="F786" s="3623">
        <f ca="1">典型户型修正!R808</f>
        <v>5706</v>
      </c>
      <c r="G786" s="3623">
        <f ca="1">典型户型修正!S808</f>
        <v>22</v>
      </c>
    </row>
    <row r="787" spans="1:7">
      <c r="A787" s="3625" t="s">
        <v>5070</v>
      </c>
      <c r="B787" s="3625"/>
      <c r="C787" s="3626" t="s">
        <v>4934</v>
      </c>
      <c r="D787" s="3626">
        <v>39.090000000000003</v>
      </c>
      <c r="E787" s="3623">
        <f>典型户型修正!C809</f>
        <v>0.99</v>
      </c>
      <c r="F787" s="3623">
        <f ca="1">典型户型修正!R809</f>
        <v>5706</v>
      </c>
      <c r="G787" s="3623">
        <f ca="1">典型户型修正!S809</f>
        <v>22</v>
      </c>
    </row>
    <row r="788" spans="1:7">
      <c r="A788" s="3625" t="s">
        <v>5070</v>
      </c>
      <c r="B788" s="3625"/>
      <c r="C788" s="3626" t="s">
        <v>4935</v>
      </c>
      <c r="D788" s="3626">
        <v>39.090000000000003</v>
      </c>
      <c r="E788" s="3623">
        <f>典型户型修正!C810</f>
        <v>0.99</v>
      </c>
      <c r="F788" s="3623">
        <f ca="1">典型户型修正!R810</f>
        <v>5706</v>
      </c>
      <c r="G788" s="3623">
        <f ca="1">典型户型修正!S810</f>
        <v>22</v>
      </c>
    </row>
    <row r="789" spans="1:7">
      <c r="A789" s="3625" t="s">
        <v>5070</v>
      </c>
      <c r="B789" s="3625"/>
      <c r="C789" s="3626" t="s">
        <v>4936</v>
      </c>
      <c r="D789" s="3626">
        <v>39.090000000000003</v>
      </c>
      <c r="E789" s="3623">
        <f>典型户型修正!C811</f>
        <v>0.99</v>
      </c>
      <c r="F789" s="3623">
        <f ca="1">典型户型修正!R811</f>
        <v>5706</v>
      </c>
      <c r="G789" s="3623">
        <f ca="1">典型户型修正!S811</f>
        <v>22</v>
      </c>
    </row>
    <row r="790" spans="1:7">
      <c r="A790" s="3625" t="s">
        <v>5070</v>
      </c>
      <c r="B790" s="3625"/>
      <c r="C790" s="3626" t="s">
        <v>4937</v>
      </c>
      <c r="D790" s="3626">
        <v>39.090000000000003</v>
      </c>
      <c r="E790" s="3623">
        <f>典型户型修正!C812</f>
        <v>0.99</v>
      </c>
      <c r="F790" s="3623">
        <f ca="1">典型户型修正!R812</f>
        <v>5706</v>
      </c>
      <c r="G790" s="3623">
        <f ca="1">典型户型修正!S812</f>
        <v>22</v>
      </c>
    </row>
    <row r="791" spans="1:7">
      <c r="A791" s="3625" t="s">
        <v>5070</v>
      </c>
      <c r="B791" s="3625"/>
      <c r="C791" s="3626" t="s">
        <v>4938</v>
      </c>
      <c r="D791" s="3626">
        <v>39.090000000000003</v>
      </c>
      <c r="E791" s="3623">
        <f>典型户型修正!C813</f>
        <v>0.99</v>
      </c>
      <c r="F791" s="3623">
        <f ca="1">典型户型修正!R813</f>
        <v>5706</v>
      </c>
      <c r="G791" s="3623">
        <f ca="1">典型户型修正!S813</f>
        <v>22</v>
      </c>
    </row>
    <row r="792" spans="1:7">
      <c r="A792" s="3625" t="s">
        <v>5070</v>
      </c>
      <c r="B792" s="3625"/>
      <c r="C792" s="3626" t="s">
        <v>4939</v>
      </c>
      <c r="D792" s="3626">
        <v>36.74</v>
      </c>
      <c r="E792" s="3623">
        <f>典型户型修正!C814</f>
        <v>0.99</v>
      </c>
      <c r="F792" s="3623">
        <f ca="1">典型户型修正!R814</f>
        <v>5706</v>
      </c>
      <c r="G792" s="3623">
        <f ca="1">典型户型修正!S814</f>
        <v>21</v>
      </c>
    </row>
    <row r="793" spans="1:7">
      <c r="A793" s="3625" t="s">
        <v>5070</v>
      </c>
      <c r="B793" s="3625"/>
      <c r="C793" s="3626" t="s">
        <v>4940</v>
      </c>
      <c r="D793" s="3626">
        <v>36.74</v>
      </c>
      <c r="E793" s="3623">
        <f>典型户型修正!C815</f>
        <v>0.99</v>
      </c>
      <c r="F793" s="3623">
        <f ca="1">典型户型修正!R815</f>
        <v>5706</v>
      </c>
      <c r="G793" s="3623">
        <f ca="1">典型户型修正!S815</f>
        <v>21</v>
      </c>
    </row>
    <row r="794" spans="1:7">
      <c r="A794" s="3625" t="s">
        <v>5070</v>
      </c>
      <c r="B794" s="3625"/>
      <c r="C794" s="3626" t="s">
        <v>4941</v>
      </c>
      <c r="D794" s="3626">
        <v>36.770000000000003</v>
      </c>
      <c r="E794" s="3623">
        <f>典型户型修正!C816</f>
        <v>0.99</v>
      </c>
      <c r="F794" s="3623">
        <f ca="1">典型户型修正!R816</f>
        <v>5706</v>
      </c>
      <c r="G794" s="3623">
        <f ca="1">典型户型修正!S816</f>
        <v>21</v>
      </c>
    </row>
    <row r="795" spans="1:7">
      <c r="A795" s="3625" t="s">
        <v>5070</v>
      </c>
      <c r="B795" s="3625"/>
      <c r="C795" s="3626" t="s">
        <v>4942</v>
      </c>
      <c r="D795" s="3626">
        <v>36.770000000000003</v>
      </c>
      <c r="E795" s="3623">
        <f>典型户型修正!C817</f>
        <v>0.99</v>
      </c>
      <c r="F795" s="3623">
        <f ca="1">典型户型修正!R817</f>
        <v>5706</v>
      </c>
      <c r="G795" s="3623">
        <f ca="1">典型户型修正!S817</f>
        <v>21</v>
      </c>
    </row>
    <row r="796" spans="1:7">
      <c r="A796" s="3625" t="s">
        <v>5070</v>
      </c>
      <c r="B796" s="3625"/>
      <c r="C796" s="3626" t="s">
        <v>4943</v>
      </c>
      <c r="D796" s="3626">
        <v>36.770000000000003</v>
      </c>
      <c r="E796" s="3623">
        <f>典型户型修正!C818</f>
        <v>0.99</v>
      </c>
      <c r="F796" s="3623">
        <f ca="1">典型户型修正!R818</f>
        <v>5706</v>
      </c>
      <c r="G796" s="3623">
        <f ca="1">典型户型修正!S818</f>
        <v>21</v>
      </c>
    </row>
    <row r="797" spans="1:7">
      <c r="A797" s="3625" t="s">
        <v>5070</v>
      </c>
      <c r="B797" s="3625"/>
      <c r="C797" s="3626" t="s">
        <v>4944</v>
      </c>
      <c r="D797" s="3626">
        <v>40.65</v>
      </c>
      <c r="E797" s="3623">
        <f>典型户型修正!C819</f>
        <v>0.99</v>
      </c>
      <c r="F797" s="3623">
        <f ca="1">典型户型修正!R819</f>
        <v>5706</v>
      </c>
      <c r="G797" s="3623">
        <f ca="1">典型户型修正!S819</f>
        <v>23</v>
      </c>
    </row>
    <row r="798" spans="1:7">
      <c r="A798" s="3625" t="s">
        <v>5070</v>
      </c>
      <c r="B798" s="3625"/>
      <c r="C798" s="3626" t="s">
        <v>4945</v>
      </c>
      <c r="D798" s="3626">
        <v>37.520000000000003</v>
      </c>
      <c r="E798" s="3623">
        <f>典型户型修正!C820</f>
        <v>0.99</v>
      </c>
      <c r="F798" s="3623">
        <f ca="1">典型户型修正!R820</f>
        <v>5706</v>
      </c>
      <c r="G798" s="3623">
        <f ca="1">典型户型修正!S820</f>
        <v>21</v>
      </c>
    </row>
    <row r="799" spans="1:7">
      <c r="A799" s="3625" t="s">
        <v>5070</v>
      </c>
      <c r="B799" s="3625"/>
      <c r="C799" s="3626" t="s">
        <v>4946</v>
      </c>
      <c r="D799" s="3626">
        <v>37.520000000000003</v>
      </c>
      <c r="E799" s="3623">
        <f>典型户型修正!C821</f>
        <v>0.99</v>
      </c>
      <c r="F799" s="3623">
        <f ca="1">典型户型修正!R821</f>
        <v>5706</v>
      </c>
      <c r="G799" s="3623">
        <f ca="1">典型户型修正!S821</f>
        <v>21</v>
      </c>
    </row>
    <row r="800" spans="1:7">
      <c r="A800" s="3625" t="s">
        <v>5070</v>
      </c>
      <c r="B800" s="3625"/>
      <c r="C800" s="3626" t="s">
        <v>4947</v>
      </c>
      <c r="D800" s="3626">
        <v>37.520000000000003</v>
      </c>
      <c r="E800" s="3623">
        <f>典型户型修正!C822</f>
        <v>0.99</v>
      </c>
      <c r="F800" s="3623">
        <f ca="1">典型户型修正!R822</f>
        <v>5706</v>
      </c>
      <c r="G800" s="3623">
        <f ca="1">典型户型修正!S822</f>
        <v>21</v>
      </c>
    </row>
    <row r="801" spans="1:7">
      <c r="A801" s="3625" t="s">
        <v>5070</v>
      </c>
      <c r="B801" s="3625"/>
      <c r="C801" s="3626" t="s">
        <v>4948</v>
      </c>
      <c r="D801" s="3626">
        <v>37.520000000000003</v>
      </c>
      <c r="E801" s="3623">
        <f>典型户型修正!C823</f>
        <v>0.99</v>
      </c>
      <c r="F801" s="3623">
        <f ca="1">典型户型修正!R823</f>
        <v>5706</v>
      </c>
      <c r="G801" s="3623">
        <f ca="1">典型户型修正!S823</f>
        <v>21</v>
      </c>
    </row>
    <row r="802" spans="1:7">
      <c r="A802" s="3625" t="s">
        <v>5070</v>
      </c>
      <c r="B802" s="3625"/>
      <c r="C802" s="3626" t="s">
        <v>4949</v>
      </c>
      <c r="D802" s="3626">
        <v>37.520000000000003</v>
      </c>
      <c r="E802" s="3623">
        <f>典型户型修正!C824</f>
        <v>0.99</v>
      </c>
      <c r="F802" s="3623">
        <f ca="1">典型户型修正!R824</f>
        <v>5706</v>
      </c>
      <c r="G802" s="3623">
        <f ca="1">典型户型修正!S824</f>
        <v>21</v>
      </c>
    </row>
    <row r="803" spans="1:7">
      <c r="A803" s="3625" t="s">
        <v>5070</v>
      </c>
      <c r="B803" s="3625"/>
      <c r="C803" s="3626" t="s">
        <v>4950</v>
      </c>
      <c r="D803" s="3626">
        <v>37.520000000000003</v>
      </c>
      <c r="E803" s="3623">
        <f>典型户型修正!C825</f>
        <v>0.99</v>
      </c>
      <c r="F803" s="3623">
        <f ca="1">典型户型修正!R825</f>
        <v>5706</v>
      </c>
      <c r="G803" s="3623">
        <f ca="1">典型户型修正!S825</f>
        <v>21</v>
      </c>
    </row>
    <row r="804" spans="1:7">
      <c r="A804" s="3625" t="s">
        <v>5070</v>
      </c>
      <c r="B804" s="3625"/>
      <c r="C804" s="3626" t="s">
        <v>4951</v>
      </c>
      <c r="D804" s="3626">
        <v>37.520000000000003</v>
      </c>
      <c r="E804" s="3623">
        <f>典型户型修正!C826</f>
        <v>0.99</v>
      </c>
      <c r="F804" s="3623">
        <f ca="1">典型户型修正!R826</f>
        <v>5706</v>
      </c>
      <c r="G804" s="3623">
        <f ca="1">典型户型修正!S826</f>
        <v>21</v>
      </c>
    </row>
    <row r="805" spans="1:7">
      <c r="A805" s="3625" t="s">
        <v>5070</v>
      </c>
      <c r="B805" s="3625"/>
      <c r="C805" s="3626" t="s">
        <v>4952</v>
      </c>
      <c r="D805" s="3626">
        <v>37.520000000000003</v>
      </c>
      <c r="E805" s="3623">
        <f>典型户型修正!C827</f>
        <v>0.99</v>
      </c>
      <c r="F805" s="3623">
        <f ca="1">典型户型修正!R827</f>
        <v>5706</v>
      </c>
      <c r="G805" s="3623">
        <f ca="1">典型户型修正!S827</f>
        <v>21</v>
      </c>
    </row>
    <row r="806" spans="1:7">
      <c r="A806" s="3625" t="s">
        <v>5070</v>
      </c>
      <c r="B806" s="3625"/>
      <c r="C806" s="3626" t="s">
        <v>4953</v>
      </c>
      <c r="D806" s="3626">
        <v>36.020000000000003</v>
      </c>
      <c r="E806" s="3623">
        <f>典型户型修正!C828</f>
        <v>0.99</v>
      </c>
      <c r="F806" s="3623">
        <f ca="1">典型户型修正!R828</f>
        <v>5706</v>
      </c>
      <c r="G806" s="3623">
        <f ca="1">典型户型修正!S828</f>
        <v>21</v>
      </c>
    </row>
    <row r="807" spans="1:7">
      <c r="A807" s="3625" t="s">
        <v>5070</v>
      </c>
      <c r="B807" s="3625"/>
      <c r="C807" s="3626" t="s">
        <v>4954</v>
      </c>
      <c r="D807" s="3626">
        <v>36.020000000000003</v>
      </c>
      <c r="E807" s="3623">
        <f>典型户型修正!C829</f>
        <v>0.99</v>
      </c>
      <c r="F807" s="3623">
        <f ca="1">典型户型修正!R829</f>
        <v>5706</v>
      </c>
      <c r="G807" s="3623">
        <f ca="1">典型户型修正!S829</f>
        <v>21</v>
      </c>
    </row>
    <row r="808" spans="1:7">
      <c r="A808" s="3625" t="s">
        <v>5070</v>
      </c>
      <c r="B808" s="3625"/>
      <c r="C808" s="3626" t="s">
        <v>4955</v>
      </c>
      <c r="D808" s="3626">
        <v>36.020000000000003</v>
      </c>
      <c r="E808" s="3623">
        <f>典型户型修正!C830</f>
        <v>0.99</v>
      </c>
      <c r="F808" s="3623">
        <f ca="1">典型户型修正!R830</f>
        <v>5706</v>
      </c>
      <c r="G808" s="3623">
        <f ca="1">典型户型修正!S830</f>
        <v>21</v>
      </c>
    </row>
    <row r="809" spans="1:7">
      <c r="A809" s="3625" t="s">
        <v>5070</v>
      </c>
      <c r="B809" s="3625"/>
      <c r="C809" s="3626" t="s">
        <v>4956</v>
      </c>
      <c r="D809" s="3626">
        <v>36.020000000000003</v>
      </c>
      <c r="E809" s="3623">
        <f>典型户型修正!C831</f>
        <v>0.99</v>
      </c>
      <c r="F809" s="3623">
        <f ca="1">典型户型修正!R831</f>
        <v>5706</v>
      </c>
      <c r="G809" s="3623">
        <f ca="1">典型户型修正!S831</f>
        <v>21</v>
      </c>
    </row>
    <row r="810" spans="1:7">
      <c r="A810" s="3625" t="s">
        <v>5070</v>
      </c>
      <c r="B810" s="3625"/>
      <c r="C810" s="3626" t="s">
        <v>4957</v>
      </c>
      <c r="D810" s="3626">
        <v>36.020000000000003</v>
      </c>
      <c r="E810" s="3623">
        <f>典型户型修正!C832</f>
        <v>0.99</v>
      </c>
      <c r="F810" s="3623">
        <f ca="1">典型户型修正!R832</f>
        <v>5706</v>
      </c>
      <c r="G810" s="3623">
        <f ca="1">典型户型修正!S832</f>
        <v>21</v>
      </c>
    </row>
    <row r="811" spans="1:7">
      <c r="A811" s="3625" t="s">
        <v>5070</v>
      </c>
      <c r="B811" s="3625"/>
      <c r="C811" s="3626" t="s">
        <v>4958</v>
      </c>
      <c r="D811" s="3626">
        <v>36.020000000000003</v>
      </c>
      <c r="E811" s="3623">
        <f>典型户型修正!C833</f>
        <v>0.99</v>
      </c>
      <c r="F811" s="3623">
        <f ca="1">典型户型修正!R833</f>
        <v>5706</v>
      </c>
      <c r="G811" s="3623">
        <f ca="1">典型户型修正!S833</f>
        <v>21</v>
      </c>
    </row>
    <row r="812" spans="1:7">
      <c r="A812" s="3625" t="s">
        <v>5070</v>
      </c>
      <c r="B812" s="3625"/>
      <c r="C812" s="3626" t="s">
        <v>4959</v>
      </c>
      <c r="D812" s="3626">
        <v>36.020000000000003</v>
      </c>
      <c r="E812" s="3623">
        <f>典型户型修正!C834</f>
        <v>0.99</v>
      </c>
      <c r="F812" s="3623">
        <f ca="1">典型户型修正!R834</f>
        <v>5706</v>
      </c>
      <c r="G812" s="3623">
        <f ca="1">典型户型修正!S834</f>
        <v>21</v>
      </c>
    </row>
    <row r="813" spans="1:7">
      <c r="A813" s="3625" t="s">
        <v>5070</v>
      </c>
      <c r="B813" s="3625"/>
      <c r="C813" s="3626" t="s">
        <v>4960</v>
      </c>
      <c r="D813" s="3626">
        <v>39.090000000000003</v>
      </c>
      <c r="E813" s="3623">
        <f>典型户型修正!C835</f>
        <v>0.99</v>
      </c>
      <c r="F813" s="3623">
        <f ca="1">典型户型修正!R835</f>
        <v>5706</v>
      </c>
      <c r="G813" s="3623">
        <f ca="1">典型户型修正!S835</f>
        <v>22</v>
      </c>
    </row>
    <row r="814" spans="1:7">
      <c r="A814" s="3625" t="s">
        <v>5070</v>
      </c>
      <c r="B814" s="3625"/>
      <c r="C814" s="3626" t="s">
        <v>4961</v>
      </c>
      <c r="D814" s="3626">
        <v>39.090000000000003</v>
      </c>
      <c r="E814" s="3623">
        <f>典型户型修正!C836</f>
        <v>0.99</v>
      </c>
      <c r="F814" s="3623">
        <f ca="1">典型户型修正!R836</f>
        <v>5706</v>
      </c>
      <c r="G814" s="3623">
        <f ca="1">典型户型修正!S836</f>
        <v>22</v>
      </c>
    </row>
    <row r="815" spans="1:7">
      <c r="A815" s="3625" t="s">
        <v>5070</v>
      </c>
      <c r="B815" s="3625"/>
      <c r="C815" s="3626" t="s">
        <v>4962</v>
      </c>
      <c r="D815" s="3626">
        <v>39.090000000000003</v>
      </c>
      <c r="E815" s="3623">
        <f>典型户型修正!C837</f>
        <v>0.99</v>
      </c>
      <c r="F815" s="3623">
        <f ca="1">典型户型修正!R837</f>
        <v>5706</v>
      </c>
      <c r="G815" s="3623">
        <f ca="1">典型户型修正!S837</f>
        <v>22</v>
      </c>
    </row>
    <row r="816" spans="1:7">
      <c r="A816" s="3625" t="s">
        <v>5070</v>
      </c>
      <c r="B816" s="3625"/>
      <c r="C816" s="3626" t="s">
        <v>4963</v>
      </c>
      <c r="D816" s="3626">
        <v>36.020000000000003</v>
      </c>
      <c r="E816" s="3623">
        <f>典型户型修正!C838</f>
        <v>0.99</v>
      </c>
      <c r="F816" s="3623">
        <f ca="1">典型户型修正!R838</f>
        <v>5706</v>
      </c>
      <c r="G816" s="3623">
        <f ca="1">典型户型修正!S838</f>
        <v>21</v>
      </c>
    </row>
    <row r="817" spans="1:7">
      <c r="A817" s="3625" t="s">
        <v>5070</v>
      </c>
      <c r="B817" s="3625"/>
      <c r="C817" s="3626" t="s">
        <v>4964</v>
      </c>
      <c r="D817" s="3626">
        <v>36.020000000000003</v>
      </c>
      <c r="E817" s="3623">
        <f>典型户型修正!C839</f>
        <v>0.99</v>
      </c>
      <c r="F817" s="3623">
        <f ca="1">典型户型修正!R839</f>
        <v>5706</v>
      </c>
      <c r="G817" s="3623">
        <f ca="1">典型户型修正!S839</f>
        <v>21</v>
      </c>
    </row>
    <row r="818" spans="1:7">
      <c r="A818" s="3625" t="s">
        <v>5070</v>
      </c>
      <c r="B818" s="3625"/>
      <c r="C818" s="3626" t="s">
        <v>4965</v>
      </c>
      <c r="D818" s="3626">
        <v>36.020000000000003</v>
      </c>
      <c r="E818" s="3623">
        <f>典型户型修正!C840</f>
        <v>0.99</v>
      </c>
      <c r="F818" s="3623">
        <f ca="1">典型户型修正!R840</f>
        <v>5706</v>
      </c>
      <c r="G818" s="3623">
        <f ca="1">典型户型修正!S840</f>
        <v>21</v>
      </c>
    </row>
    <row r="819" spans="1:7">
      <c r="A819" s="3625" t="s">
        <v>5070</v>
      </c>
      <c r="B819" s="3625"/>
      <c r="C819" s="3626" t="s">
        <v>4966</v>
      </c>
      <c r="D819" s="3626">
        <v>39.090000000000003</v>
      </c>
      <c r="E819" s="3623">
        <f>典型户型修正!C841</f>
        <v>0.99</v>
      </c>
      <c r="F819" s="3623">
        <f ca="1">典型户型修正!R841</f>
        <v>5706</v>
      </c>
      <c r="G819" s="3623">
        <f ca="1">典型户型修正!S841</f>
        <v>22</v>
      </c>
    </row>
    <row r="820" spans="1:7">
      <c r="A820" s="3625" t="s">
        <v>5070</v>
      </c>
      <c r="B820" s="3625"/>
      <c r="C820" s="3626" t="s">
        <v>4967</v>
      </c>
      <c r="D820" s="3626">
        <v>39.090000000000003</v>
      </c>
      <c r="E820" s="3623">
        <f>典型户型修正!C842</f>
        <v>0.99</v>
      </c>
      <c r="F820" s="3623">
        <f ca="1">典型户型修正!R842</f>
        <v>5706</v>
      </c>
      <c r="G820" s="3623">
        <f ca="1">典型户型修正!S842</f>
        <v>22</v>
      </c>
    </row>
    <row r="821" spans="1:7">
      <c r="A821" s="3625" t="s">
        <v>5070</v>
      </c>
      <c r="B821" s="3625"/>
      <c r="C821" s="3626" t="s">
        <v>4968</v>
      </c>
      <c r="D821" s="3626">
        <v>39.090000000000003</v>
      </c>
      <c r="E821" s="3623">
        <f>典型户型修正!C843</f>
        <v>0.99</v>
      </c>
      <c r="F821" s="3623">
        <f ca="1">典型户型修正!R843</f>
        <v>5706</v>
      </c>
      <c r="G821" s="3623">
        <f ca="1">典型户型修正!S843</f>
        <v>22</v>
      </c>
    </row>
    <row r="822" spans="1:7">
      <c r="A822" s="3625" t="s">
        <v>5070</v>
      </c>
      <c r="B822" s="3625"/>
      <c r="C822" s="3626" t="s">
        <v>4969</v>
      </c>
      <c r="D822" s="3626">
        <v>39.090000000000003</v>
      </c>
      <c r="E822" s="3623">
        <f>典型户型修正!C844</f>
        <v>0.99</v>
      </c>
      <c r="F822" s="3623">
        <f ca="1">典型户型修正!R844</f>
        <v>5706</v>
      </c>
      <c r="G822" s="3623">
        <f ca="1">典型户型修正!S844</f>
        <v>22</v>
      </c>
    </row>
    <row r="823" spans="1:7">
      <c r="A823" s="3625" t="s">
        <v>5070</v>
      </c>
      <c r="B823" s="3625"/>
      <c r="C823" s="3626" t="s">
        <v>4970</v>
      </c>
      <c r="D823" s="3626">
        <v>39.090000000000003</v>
      </c>
      <c r="E823" s="3623">
        <f>典型户型修正!C845</f>
        <v>0.99</v>
      </c>
      <c r="F823" s="3623">
        <f ca="1">典型户型修正!R845</f>
        <v>5706</v>
      </c>
      <c r="G823" s="3623">
        <f ca="1">典型户型修正!S845</f>
        <v>22</v>
      </c>
    </row>
    <row r="824" spans="1:7">
      <c r="A824" s="3625" t="s">
        <v>5070</v>
      </c>
      <c r="B824" s="3625"/>
      <c r="C824" s="3626" t="s">
        <v>4971</v>
      </c>
      <c r="D824" s="3626">
        <v>39.090000000000003</v>
      </c>
      <c r="E824" s="3623">
        <f>典型户型修正!C846</f>
        <v>0.99</v>
      </c>
      <c r="F824" s="3623">
        <f ca="1">典型户型修正!R846</f>
        <v>5706</v>
      </c>
      <c r="G824" s="3623">
        <f ca="1">典型户型修正!S846</f>
        <v>22</v>
      </c>
    </row>
    <row r="825" spans="1:7">
      <c r="A825" s="3625" t="s">
        <v>5070</v>
      </c>
      <c r="B825" s="3625"/>
      <c r="C825" s="3626" t="s">
        <v>4972</v>
      </c>
      <c r="D825" s="3626">
        <v>36.74</v>
      </c>
      <c r="E825" s="3623">
        <f>典型户型修正!C847</f>
        <v>0.99</v>
      </c>
      <c r="F825" s="3623">
        <f ca="1">典型户型修正!R847</f>
        <v>5706</v>
      </c>
      <c r="G825" s="3623">
        <f ca="1">典型户型修正!S847</f>
        <v>21</v>
      </c>
    </row>
    <row r="826" spans="1:7">
      <c r="A826" s="3625" t="s">
        <v>5070</v>
      </c>
      <c r="B826" s="3625"/>
      <c r="C826" s="3626" t="s">
        <v>4973</v>
      </c>
      <c r="D826" s="3626">
        <v>36.74</v>
      </c>
      <c r="E826" s="3623">
        <f>典型户型修正!C848</f>
        <v>0.99</v>
      </c>
      <c r="F826" s="3623">
        <f ca="1">典型户型修正!R848</f>
        <v>5706</v>
      </c>
      <c r="G826" s="3623">
        <f ca="1">典型户型修正!S848</f>
        <v>21</v>
      </c>
    </row>
    <row r="827" spans="1:7">
      <c r="A827" s="3625" t="s">
        <v>5070</v>
      </c>
      <c r="B827" s="3625"/>
      <c r="C827" s="3626" t="s">
        <v>4974</v>
      </c>
      <c r="D827" s="3626">
        <v>36.74</v>
      </c>
      <c r="E827" s="3623">
        <f>典型户型修正!C849</f>
        <v>0.99</v>
      </c>
      <c r="F827" s="3623">
        <f ca="1">典型户型修正!R849</f>
        <v>5706</v>
      </c>
      <c r="G827" s="3623">
        <f ca="1">典型户型修正!S849</f>
        <v>21</v>
      </c>
    </row>
    <row r="828" spans="1:7">
      <c r="A828" s="3625" t="s">
        <v>5070</v>
      </c>
      <c r="B828" s="3625"/>
      <c r="C828" s="3626" t="s">
        <v>4975</v>
      </c>
      <c r="D828" s="3626">
        <v>36.74</v>
      </c>
      <c r="E828" s="3623">
        <f>典型户型修正!C850</f>
        <v>0.99</v>
      </c>
      <c r="F828" s="3623">
        <f ca="1">典型户型修正!R850</f>
        <v>5706</v>
      </c>
      <c r="G828" s="3623">
        <f ca="1">典型户型修正!S850</f>
        <v>21</v>
      </c>
    </row>
    <row r="829" spans="1:7">
      <c r="A829" s="3625" t="s">
        <v>5070</v>
      </c>
      <c r="B829" s="3625"/>
      <c r="C829" s="3626" t="s">
        <v>4976</v>
      </c>
      <c r="D829" s="3626">
        <v>36.74</v>
      </c>
      <c r="E829" s="3623">
        <f>典型户型修正!C851</f>
        <v>0.99</v>
      </c>
      <c r="F829" s="3623">
        <f ca="1">典型户型修正!R851</f>
        <v>5706</v>
      </c>
      <c r="G829" s="3623">
        <f ca="1">典型户型修正!S851</f>
        <v>21</v>
      </c>
    </row>
    <row r="830" spans="1:7">
      <c r="A830" s="3625" t="s">
        <v>5070</v>
      </c>
      <c r="B830" s="3625"/>
      <c r="C830" s="3626" t="s">
        <v>4977</v>
      </c>
      <c r="D830" s="3626">
        <v>36.74</v>
      </c>
      <c r="E830" s="3623">
        <f>典型户型修正!C852</f>
        <v>0.99</v>
      </c>
      <c r="F830" s="3623">
        <f ca="1">典型户型修正!R852</f>
        <v>5706</v>
      </c>
      <c r="G830" s="3623">
        <f ca="1">典型户型修正!S852</f>
        <v>21</v>
      </c>
    </row>
    <row r="831" spans="1:7">
      <c r="A831" s="3625" t="s">
        <v>5070</v>
      </c>
      <c r="B831" s="3625"/>
      <c r="C831" s="3626" t="s">
        <v>4978</v>
      </c>
      <c r="D831" s="3626">
        <v>39.090000000000003</v>
      </c>
      <c r="E831" s="3623">
        <f>典型户型修正!C853</f>
        <v>0.99</v>
      </c>
      <c r="F831" s="3623">
        <f ca="1">典型户型修正!R853</f>
        <v>5706</v>
      </c>
      <c r="G831" s="3623">
        <f ca="1">典型户型修正!S853</f>
        <v>22</v>
      </c>
    </row>
    <row r="832" spans="1:7">
      <c r="A832" s="3625" t="s">
        <v>5070</v>
      </c>
      <c r="B832" s="3625"/>
      <c r="C832" s="3626" t="s">
        <v>4979</v>
      </c>
      <c r="D832" s="3626">
        <v>39.090000000000003</v>
      </c>
      <c r="E832" s="3623">
        <f>典型户型修正!C854</f>
        <v>0.99</v>
      </c>
      <c r="F832" s="3623">
        <f ca="1">典型户型修正!R854</f>
        <v>5706</v>
      </c>
      <c r="G832" s="3623">
        <f ca="1">典型户型修正!S854</f>
        <v>22</v>
      </c>
    </row>
    <row r="833" spans="1:7">
      <c r="A833" s="3625" t="s">
        <v>5070</v>
      </c>
      <c r="B833" s="3625"/>
      <c r="C833" s="3626" t="s">
        <v>4980</v>
      </c>
      <c r="D833" s="3626">
        <v>39.090000000000003</v>
      </c>
      <c r="E833" s="3623">
        <f>典型户型修正!C855</f>
        <v>0.99</v>
      </c>
      <c r="F833" s="3623">
        <f ca="1">典型户型修正!R855</f>
        <v>5706</v>
      </c>
      <c r="G833" s="3623">
        <f ca="1">典型户型修正!S855</f>
        <v>22</v>
      </c>
    </row>
    <row r="834" spans="1:7">
      <c r="A834" s="3625" t="s">
        <v>5070</v>
      </c>
      <c r="B834" s="3625"/>
      <c r="C834" s="3626" t="s">
        <v>4981</v>
      </c>
      <c r="D834" s="3626">
        <v>39.090000000000003</v>
      </c>
      <c r="E834" s="3623">
        <f>典型户型修正!C856</f>
        <v>0.99</v>
      </c>
      <c r="F834" s="3623">
        <f ca="1">典型户型修正!R856</f>
        <v>5706</v>
      </c>
      <c r="G834" s="3623">
        <f ca="1">典型户型修正!S856</f>
        <v>22</v>
      </c>
    </row>
    <row r="835" spans="1:7">
      <c r="A835" s="3625" t="s">
        <v>5070</v>
      </c>
      <c r="B835" s="3625"/>
      <c r="C835" s="3626" t="s">
        <v>4982</v>
      </c>
      <c r="D835" s="3626">
        <v>39.090000000000003</v>
      </c>
      <c r="E835" s="3623">
        <f>典型户型修正!C857</f>
        <v>0.99</v>
      </c>
      <c r="F835" s="3623">
        <f ca="1">典型户型修正!R857</f>
        <v>5706</v>
      </c>
      <c r="G835" s="3623">
        <f ca="1">典型户型修正!S857</f>
        <v>22</v>
      </c>
    </row>
    <row r="836" spans="1:7">
      <c r="A836" s="3625" t="s">
        <v>5070</v>
      </c>
      <c r="B836" s="3625"/>
      <c r="C836" s="3626" t="s">
        <v>4983</v>
      </c>
      <c r="D836" s="3626">
        <v>39.090000000000003</v>
      </c>
      <c r="E836" s="3623">
        <f>典型户型修正!C858</f>
        <v>0.99</v>
      </c>
      <c r="F836" s="3623">
        <f ca="1">典型户型修正!R858</f>
        <v>5706</v>
      </c>
      <c r="G836" s="3623">
        <f ca="1">典型户型修正!S858</f>
        <v>22</v>
      </c>
    </row>
    <row r="837" spans="1:7">
      <c r="A837" s="3625" t="s">
        <v>5070</v>
      </c>
      <c r="B837" s="3625"/>
      <c r="C837" s="3626" t="s">
        <v>4984</v>
      </c>
      <c r="D837" s="3626">
        <v>39.090000000000003</v>
      </c>
      <c r="E837" s="3623">
        <f>典型户型修正!C859</f>
        <v>0.99</v>
      </c>
      <c r="F837" s="3623">
        <f ca="1">典型户型修正!R859</f>
        <v>5706</v>
      </c>
      <c r="G837" s="3623">
        <f ca="1">典型户型修正!S859</f>
        <v>22</v>
      </c>
    </row>
    <row r="838" spans="1:7">
      <c r="A838" s="3625" t="s">
        <v>5070</v>
      </c>
      <c r="B838" s="3625"/>
      <c r="C838" s="3626" t="s">
        <v>4985</v>
      </c>
      <c r="D838" s="3626">
        <v>39.090000000000003</v>
      </c>
      <c r="E838" s="3623">
        <f>典型户型修正!C860</f>
        <v>0.99</v>
      </c>
      <c r="F838" s="3623">
        <f ca="1">典型户型修正!R860</f>
        <v>5706</v>
      </c>
      <c r="G838" s="3623">
        <f ca="1">典型户型修正!S860</f>
        <v>22</v>
      </c>
    </row>
    <row r="839" spans="1:7">
      <c r="A839" s="3625" t="s">
        <v>5070</v>
      </c>
      <c r="B839" s="3625"/>
      <c r="C839" s="3626" t="s">
        <v>4986</v>
      </c>
      <c r="D839" s="3626">
        <v>39.090000000000003</v>
      </c>
      <c r="E839" s="3623">
        <f>典型户型修正!C861</f>
        <v>0.99</v>
      </c>
      <c r="F839" s="3623">
        <f ca="1">典型户型修正!R861</f>
        <v>5706</v>
      </c>
      <c r="G839" s="3623">
        <f ca="1">典型户型修正!S861</f>
        <v>22</v>
      </c>
    </row>
    <row r="840" spans="1:7">
      <c r="A840" s="3625" t="s">
        <v>5070</v>
      </c>
      <c r="B840" s="3625"/>
      <c r="C840" s="3626" t="s">
        <v>4987</v>
      </c>
      <c r="D840" s="3626">
        <v>39.090000000000003</v>
      </c>
      <c r="E840" s="3623">
        <f>典型户型修正!C862</f>
        <v>0.99</v>
      </c>
      <c r="F840" s="3623">
        <f ca="1">典型户型修正!R862</f>
        <v>5706</v>
      </c>
      <c r="G840" s="3623">
        <f ca="1">典型户型修正!S862</f>
        <v>22</v>
      </c>
    </row>
    <row r="841" spans="1:7">
      <c r="A841" s="3625" t="s">
        <v>5070</v>
      </c>
      <c r="B841" s="3625"/>
      <c r="C841" s="3626" t="s">
        <v>4988</v>
      </c>
      <c r="D841" s="3626">
        <v>39.090000000000003</v>
      </c>
      <c r="E841" s="3623">
        <f>典型户型修正!C863</f>
        <v>0.99</v>
      </c>
      <c r="F841" s="3623">
        <f ca="1">典型户型修正!R863</f>
        <v>5706</v>
      </c>
      <c r="G841" s="3623">
        <f ca="1">典型户型修正!S863</f>
        <v>22</v>
      </c>
    </row>
    <row r="842" spans="1:7">
      <c r="A842" s="3625" t="s">
        <v>5070</v>
      </c>
      <c r="B842" s="3625"/>
      <c r="C842" s="3626" t="s">
        <v>4989</v>
      </c>
      <c r="D842" s="3626">
        <v>39.090000000000003</v>
      </c>
      <c r="E842" s="3623">
        <f>典型户型修正!C864</f>
        <v>0.99</v>
      </c>
      <c r="F842" s="3623">
        <f ca="1">典型户型修正!R864</f>
        <v>5706</v>
      </c>
      <c r="G842" s="3623">
        <f ca="1">典型户型修正!S864</f>
        <v>22</v>
      </c>
    </row>
    <row r="843" spans="1:7">
      <c r="A843" s="3625" t="s">
        <v>5070</v>
      </c>
      <c r="B843" s="3625"/>
      <c r="C843" s="3626" t="s">
        <v>4990</v>
      </c>
      <c r="D843" s="3626">
        <v>36.74</v>
      </c>
      <c r="E843" s="3623">
        <f>典型户型修正!C865</f>
        <v>0.99</v>
      </c>
      <c r="F843" s="3623">
        <f ca="1">典型户型修正!R865</f>
        <v>5706</v>
      </c>
      <c r="G843" s="3623">
        <f ca="1">典型户型修正!S865</f>
        <v>21</v>
      </c>
    </row>
    <row r="844" spans="1:7">
      <c r="A844" s="3625" t="s">
        <v>5070</v>
      </c>
      <c r="B844" s="3625"/>
      <c r="C844" s="3626" t="s">
        <v>4991</v>
      </c>
      <c r="D844" s="3626">
        <v>36.74</v>
      </c>
      <c r="E844" s="3623">
        <f>典型户型修正!C866</f>
        <v>0.99</v>
      </c>
      <c r="F844" s="3623">
        <f ca="1">典型户型修正!R866</f>
        <v>5706</v>
      </c>
      <c r="G844" s="3623">
        <f ca="1">典型户型修正!S866</f>
        <v>21</v>
      </c>
    </row>
    <row r="845" spans="1:7">
      <c r="A845" s="3625" t="s">
        <v>5070</v>
      </c>
      <c r="B845" s="3625"/>
      <c r="C845" s="3626" t="s">
        <v>4992</v>
      </c>
      <c r="D845" s="3626">
        <v>36.74</v>
      </c>
      <c r="E845" s="3623">
        <f>典型户型修正!C867</f>
        <v>0.99</v>
      </c>
      <c r="F845" s="3623">
        <f ca="1">典型户型修正!R867</f>
        <v>5706</v>
      </c>
      <c r="G845" s="3623">
        <f ca="1">典型户型修正!S867</f>
        <v>21</v>
      </c>
    </row>
    <row r="846" spans="1:7">
      <c r="A846" s="3625" t="s">
        <v>5070</v>
      </c>
      <c r="B846" s="3625"/>
      <c r="C846" s="3626" t="s">
        <v>4993</v>
      </c>
      <c r="D846" s="3626">
        <v>36.74</v>
      </c>
      <c r="E846" s="3623">
        <f>典型户型修正!C868</f>
        <v>0.99</v>
      </c>
      <c r="F846" s="3623">
        <f ca="1">典型户型修正!R868</f>
        <v>5706</v>
      </c>
      <c r="G846" s="3623">
        <f ca="1">典型户型修正!S868</f>
        <v>21</v>
      </c>
    </row>
    <row r="847" spans="1:7">
      <c r="A847" s="3625" t="s">
        <v>5070</v>
      </c>
      <c r="B847" s="3625"/>
      <c r="C847" s="3626" t="s">
        <v>4994</v>
      </c>
      <c r="D847" s="3626">
        <v>36.74</v>
      </c>
      <c r="E847" s="3623">
        <f>典型户型修正!C869</f>
        <v>0.99</v>
      </c>
      <c r="F847" s="3623">
        <f ca="1">典型户型修正!R869</f>
        <v>5706</v>
      </c>
      <c r="G847" s="3623">
        <f ca="1">典型户型修正!S869</f>
        <v>21</v>
      </c>
    </row>
    <row r="848" spans="1:7">
      <c r="A848" s="3625" t="s">
        <v>5070</v>
      </c>
      <c r="B848" s="3625"/>
      <c r="C848" s="3626" t="s">
        <v>4995</v>
      </c>
      <c r="D848" s="3626">
        <v>36.74</v>
      </c>
      <c r="E848" s="3623">
        <f>典型户型修正!C870</f>
        <v>0.99</v>
      </c>
      <c r="F848" s="3623">
        <f ca="1">典型户型修正!R870</f>
        <v>5706</v>
      </c>
      <c r="G848" s="3623">
        <f ca="1">典型户型修正!S870</f>
        <v>21</v>
      </c>
    </row>
    <row r="849" spans="1:7">
      <c r="A849" s="3625" t="s">
        <v>5070</v>
      </c>
      <c r="B849" s="3625"/>
      <c r="C849" s="3626" t="s">
        <v>4996</v>
      </c>
      <c r="D849" s="3626">
        <v>36.74</v>
      </c>
      <c r="E849" s="3623">
        <f>典型户型修正!C871</f>
        <v>0.99</v>
      </c>
      <c r="F849" s="3623">
        <f ca="1">典型户型修正!R871</f>
        <v>5706</v>
      </c>
      <c r="G849" s="3623">
        <f ca="1">典型户型修正!S871</f>
        <v>21</v>
      </c>
    </row>
    <row r="850" spans="1:7">
      <c r="A850" s="3625" t="s">
        <v>5070</v>
      </c>
      <c r="B850" s="3625"/>
      <c r="C850" s="3626" t="s">
        <v>4997</v>
      </c>
      <c r="D850" s="3626">
        <v>36.74</v>
      </c>
      <c r="E850" s="3623">
        <f>典型户型修正!C872</f>
        <v>0.99</v>
      </c>
      <c r="F850" s="3623">
        <f ca="1">典型户型修正!R872</f>
        <v>5706</v>
      </c>
      <c r="G850" s="3623">
        <f ca="1">典型户型修正!S872</f>
        <v>21</v>
      </c>
    </row>
    <row r="851" spans="1:7">
      <c r="A851" s="3625" t="s">
        <v>5070</v>
      </c>
      <c r="B851" s="3625"/>
      <c r="C851" s="3626" t="s">
        <v>4998</v>
      </c>
      <c r="D851" s="3626">
        <v>39.090000000000003</v>
      </c>
      <c r="E851" s="3623">
        <f>典型户型修正!C873</f>
        <v>0.99</v>
      </c>
      <c r="F851" s="3623">
        <f ca="1">典型户型修正!R873</f>
        <v>5706</v>
      </c>
      <c r="G851" s="3623">
        <f ca="1">典型户型修正!S873</f>
        <v>22</v>
      </c>
    </row>
    <row r="852" spans="1:7">
      <c r="A852" s="3625" t="s">
        <v>5070</v>
      </c>
      <c r="B852" s="3625"/>
      <c r="C852" s="3626" t="s">
        <v>4999</v>
      </c>
      <c r="D852" s="3626">
        <v>39.090000000000003</v>
      </c>
      <c r="E852" s="3623">
        <f>典型户型修正!C874</f>
        <v>0.99</v>
      </c>
      <c r="F852" s="3623">
        <f ca="1">典型户型修正!R874</f>
        <v>5706</v>
      </c>
      <c r="G852" s="3623">
        <f ca="1">典型户型修正!S874</f>
        <v>22</v>
      </c>
    </row>
    <row r="853" spans="1:7">
      <c r="A853" s="3625" t="s">
        <v>5070</v>
      </c>
      <c r="B853" s="3625"/>
      <c r="C853" s="3626" t="s">
        <v>5000</v>
      </c>
      <c r="D853" s="3626">
        <v>39.090000000000003</v>
      </c>
      <c r="E853" s="3623">
        <f>典型户型修正!C875</f>
        <v>0.99</v>
      </c>
      <c r="F853" s="3623">
        <f ca="1">典型户型修正!R875</f>
        <v>5706</v>
      </c>
      <c r="G853" s="3623">
        <f ca="1">典型户型修正!S875</f>
        <v>22</v>
      </c>
    </row>
    <row r="854" spans="1:7">
      <c r="A854" s="3625" t="s">
        <v>5070</v>
      </c>
      <c r="B854" s="3625"/>
      <c r="C854" s="3626" t="s">
        <v>5001</v>
      </c>
      <c r="D854" s="3626">
        <v>39.090000000000003</v>
      </c>
      <c r="E854" s="3623">
        <f>典型户型修正!C876</f>
        <v>0.99</v>
      </c>
      <c r="F854" s="3623">
        <f ca="1">典型户型修正!R876</f>
        <v>5706</v>
      </c>
      <c r="G854" s="3623">
        <f ca="1">典型户型修正!S876</f>
        <v>22</v>
      </c>
    </row>
    <row r="855" spans="1:7">
      <c r="A855" s="3625" t="s">
        <v>5070</v>
      </c>
      <c r="B855" s="3625"/>
      <c r="C855" s="3626" t="s">
        <v>5002</v>
      </c>
      <c r="D855" s="3626">
        <v>39.090000000000003</v>
      </c>
      <c r="E855" s="3623">
        <f>典型户型修正!C877</f>
        <v>0.99</v>
      </c>
      <c r="F855" s="3623">
        <f ca="1">典型户型修正!R877</f>
        <v>5706</v>
      </c>
      <c r="G855" s="3623">
        <f ca="1">典型户型修正!S877</f>
        <v>22</v>
      </c>
    </row>
    <row r="856" spans="1:7">
      <c r="A856" s="3625" t="s">
        <v>5070</v>
      </c>
      <c r="B856" s="3625"/>
      <c r="C856" s="3626" t="s">
        <v>5003</v>
      </c>
      <c r="D856" s="3626">
        <v>32.83</v>
      </c>
      <c r="E856" s="3623">
        <f>典型户型修正!C878</f>
        <v>1</v>
      </c>
      <c r="F856" s="3623">
        <f ca="1">典型户型修正!R878</f>
        <v>5764</v>
      </c>
      <c r="G856" s="3623">
        <f ca="1">典型户型修正!S878</f>
        <v>19</v>
      </c>
    </row>
    <row r="857" spans="1:7">
      <c r="A857" s="3625" t="s">
        <v>5070</v>
      </c>
      <c r="B857" s="3625"/>
      <c r="C857" s="3626" t="s">
        <v>5004</v>
      </c>
      <c r="D857" s="3626">
        <v>39.090000000000003</v>
      </c>
      <c r="E857" s="3623">
        <f>典型户型修正!C879</f>
        <v>0.99</v>
      </c>
      <c r="F857" s="3623">
        <f ca="1">典型户型修正!R879</f>
        <v>5706</v>
      </c>
      <c r="G857" s="3623">
        <f ca="1">典型户型修正!S879</f>
        <v>22</v>
      </c>
    </row>
    <row r="858" spans="1:7">
      <c r="A858" s="3625" t="s">
        <v>5070</v>
      </c>
      <c r="B858" s="3625"/>
      <c r="C858" s="3626" t="s">
        <v>5005</v>
      </c>
      <c r="D858" s="3626">
        <v>37.520000000000003</v>
      </c>
      <c r="E858" s="3623">
        <f>典型户型修正!C880</f>
        <v>0.99</v>
      </c>
      <c r="F858" s="3623">
        <f ca="1">典型户型修正!R880</f>
        <v>5706</v>
      </c>
      <c r="G858" s="3623">
        <f ca="1">典型户型修正!S880</f>
        <v>21</v>
      </c>
    </row>
    <row r="859" spans="1:7">
      <c r="A859" s="3625" t="s">
        <v>5070</v>
      </c>
      <c r="B859" s="3625"/>
      <c r="C859" s="3626" t="s">
        <v>5006</v>
      </c>
      <c r="D859" s="3626">
        <v>37.520000000000003</v>
      </c>
      <c r="E859" s="3623">
        <f>典型户型修正!C881</f>
        <v>0.99</v>
      </c>
      <c r="F859" s="3623">
        <f ca="1">典型户型修正!R881</f>
        <v>5706</v>
      </c>
      <c r="G859" s="3623">
        <f ca="1">典型户型修正!S881</f>
        <v>21</v>
      </c>
    </row>
    <row r="860" spans="1:7">
      <c r="A860" s="3625" t="s">
        <v>5070</v>
      </c>
      <c r="B860" s="3625"/>
      <c r="C860" s="3626" t="s">
        <v>5007</v>
      </c>
      <c r="D860" s="3626">
        <v>37.520000000000003</v>
      </c>
      <c r="E860" s="3623">
        <f>典型户型修正!C882</f>
        <v>0.99</v>
      </c>
      <c r="F860" s="3623">
        <f ca="1">典型户型修正!R882</f>
        <v>5706</v>
      </c>
      <c r="G860" s="3623">
        <f ca="1">典型户型修正!S882</f>
        <v>21</v>
      </c>
    </row>
    <row r="861" spans="1:7">
      <c r="A861" s="3625" t="s">
        <v>5070</v>
      </c>
      <c r="B861" s="3625"/>
      <c r="C861" s="3626" t="s">
        <v>5008</v>
      </c>
      <c r="D861" s="3626">
        <v>37.520000000000003</v>
      </c>
      <c r="E861" s="3623">
        <f>典型户型修正!C883</f>
        <v>0.99</v>
      </c>
      <c r="F861" s="3623">
        <f ca="1">典型户型修正!R883</f>
        <v>5706</v>
      </c>
      <c r="G861" s="3623">
        <f ca="1">典型户型修正!S883</f>
        <v>21</v>
      </c>
    </row>
    <row r="862" spans="1:7">
      <c r="A862" s="3625" t="s">
        <v>5070</v>
      </c>
      <c r="B862" s="3625"/>
      <c r="C862" s="3626" t="s">
        <v>5009</v>
      </c>
      <c r="D862" s="3626">
        <v>37.520000000000003</v>
      </c>
      <c r="E862" s="3623">
        <f>典型户型修正!C884</f>
        <v>0.99</v>
      </c>
      <c r="F862" s="3623">
        <f ca="1">典型户型修正!R884</f>
        <v>5706</v>
      </c>
      <c r="G862" s="3623">
        <f ca="1">典型户型修正!S884</f>
        <v>21</v>
      </c>
    </row>
    <row r="863" spans="1:7">
      <c r="A863" s="3625" t="s">
        <v>5070</v>
      </c>
      <c r="B863" s="3625"/>
      <c r="C863" s="3626" t="s">
        <v>5010</v>
      </c>
      <c r="D863" s="3626">
        <v>37.520000000000003</v>
      </c>
      <c r="E863" s="3623">
        <f>典型户型修正!C885</f>
        <v>0.99</v>
      </c>
      <c r="F863" s="3623">
        <f ca="1">典型户型修正!R885</f>
        <v>5706</v>
      </c>
      <c r="G863" s="3623">
        <f ca="1">典型户型修正!S885</f>
        <v>21</v>
      </c>
    </row>
    <row r="864" spans="1:7">
      <c r="A864" s="3625" t="s">
        <v>5070</v>
      </c>
      <c r="B864" s="3625"/>
      <c r="C864" s="3626" t="s">
        <v>5011</v>
      </c>
      <c r="D864" s="3626">
        <v>32.270000000000003</v>
      </c>
      <c r="E864" s="3623">
        <f>典型户型修正!C886</f>
        <v>1</v>
      </c>
      <c r="F864" s="3623">
        <f ca="1">典型户型修正!R886</f>
        <v>5764</v>
      </c>
      <c r="G864" s="3623">
        <f ca="1">典型户型修正!S886</f>
        <v>19</v>
      </c>
    </row>
    <row r="865" spans="1:7">
      <c r="A865" s="3625" t="s">
        <v>5070</v>
      </c>
      <c r="B865" s="3625"/>
      <c r="C865" s="3626" t="s">
        <v>5012</v>
      </c>
      <c r="D865" s="3626">
        <v>32.270000000000003</v>
      </c>
      <c r="E865" s="3623">
        <f>典型户型修正!C887</f>
        <v>1</v>
      </c>
      <c r="F865" s="3623">
        <f ca="1">典型户型修正!R887</f>
        <v>5764</v>
      </c>
      <c r="G865" s="3623">
        <f ca="1">典型户型修正!S887</f>
        <v>19</v>
      </c>
    </row>
    <row r="866" spans="1:7">
      <c r="A866" s="3625" t="s">
        <v>5070</v>
      </c>
      <c r="B866" s="3625"/>
      <c r="C866" s="3626" t="s">
        <v>5013</v>
      </c>
      <c r="D866" s="3626">
        <v>32.270000000000003</v>
      </c>
      <c r="E866" s="3623">
        <f>典型户型修正!C888</f>
        <v>1</v>
      </c>
      <c r="F866" s="3623">
        <f ca="1">典型户型修正!R888</f>
        <v>5764</v>
      </c>
      <c r="G866" s="3623">
        <f ca="1">典型户型修正!S888</f>
        <v>19</v>
      </c>
    </row>
    <row r="867" spans="1:7">
      <c r="A867" s="3625" t="s">
        <v>5070</v>
      </c>
      <c r="B867" s="3625"/>
      <c r="C867" s="3626" t="s">
        <v>5014</v>
      </c>
      <c r="D867" s="3626">
        <v>39.090000000000003</v>
      </c>
      <c r="E867" s="3623">
        <f>典型户型修正!C889</f>
        <v>0.99</v>
      </c>
      <c r="F867" s="3623">
        <f ca="1">典型户型修正!R889</f>
        <v>5706</v>
      </c>
      <c r="G867" s="3623">
        <f ca="1">典型户型修正!S889</f>
        <v>22</v>
      </c>
    </row>
    <row r="868" spans="1:7">
      <c r="A868" s="3625" t="s">
        <v>5070</v>
      </c>
      <c r="B868" s="3625"/>
      <c r="C868" s="3626" t="s">
        <v>5015</v>
      </c>
      <c r="D868" s="3626">
        <v>38.31</v>
      </c>
      <c r="E868" s="3623">
        <f>典型户型修正!C890</f>
        <v>0.99</v>
      </c>
      <c r="F868" s="3623">
        <f ca="1">典型户型修正!R890</f>
        <v>5706</v>
      </c>
      <c r="G868" s="3623">
        <f ca="1">典型户型修正!S890</f>
        <v>22</v>
      </c>
    </row>
    <row r="869" spans="1:7">
      <c r="A869" s="3625" t="s">
        <v>5070</v>
      </c>
      <c r="B869" s="3625"/>
      <c r="C869" s="3626" t="s">
        <v>5016</v>
      </c>
      <c r="D869" s="3626">
        <v>39.090000000000003</v>
      </c>
      <c r="E869" s="3623">
        <f>典型户型修正!C891</f>
        <v>0.99</v>
      </c>
      <c r="F869" s="3623">
        <f ca="1">典型户型修正!R891</f>
        <v>5706</v>
      </c>
      <c r="G869" s="3623">
        <f ca="1">典型户型修正!S891</f>
        <v>22</v>
      </c>
    </row>
    <row r="870" spans="1:7">
      <c r="A870" s="3625" t="s">
        <v>5070</v>
      </c>
      <c r="B870" s="3625"/>
      <c r="C870" s="3626" t="s">
        <v>5017</v>
      </c>
      <c r="D870" s="3626">
        <v>39.090000000000003</v>
      </c>
      <c r="E870" s="3623">
        <f>典型户型修正!C892</f>
        <v>0.99</v>
      </c>
      <c r="F870" s="3623">
        <f ca="1">典型户型修正!R892</f>
        <v>5706</v>
      </c>
      <c r="G870" s="3623">
        <f ca="1">典型户型修正!S892</f>
        <v>22</v>
      </c>
    </row>
    <row r="871" spans="1:7">
      <c r="A871" s="3625" t="s">
        <v>5070</v>
      </c>
      <c r="B871" s="3625"/>
      <c r="C871" s="3626" t="s">
        <v>5018</v>
      </c>
      <c r="D871" s="3626">
        <v>36.74</v>
      </c>
      <c r="E871" s="3623">
        <f>典型户型修正!C893</f>
        <v>0.99</v>
      </c>
      <c r="F871" s="3623">
        <f ca="1">典型户型修正!R893</f>
        <v>5706</v>
      </c>
      <c r="G871" s="3623">
        <f ca="1">典型户型修正!S893</f>
        <v>21</v>
      </c>
    </row>
    <row r="872" spans="1:7">
      <c r="A872" s="3625" t="s">
        <v>5070</v>
      </c>
      <c r="B872" s="3625"/>
      <c r="C872" s="3626" t="s">
        <v>5019</v>
      </c>
      <c r="D872" s="3626">
        <v>36.74</v>
      </c>
      <c r="E872" s="3623">
        <f>典型户型修正!C894</f>
        <v>0.99</v>
      </c>
      <c r="F872" s="3623">
        <f ca="1">典型户型修正!R894</f>
        <v>5706</v>
      </c>
      <c r="G872" s="3623">
        <f ca="1">典型户型修正!S894</f>
        <v>21</v>
      </c>
    </row>
    <row r="873" spans="1:7">
      <c r="A873" s="3625" t="s">
        <v>5070</v>
      </c>
      <c r="B873" s="3625"/>
      <c r="C873" s="3626" t="s">
        <v>5020</v>
      </c>
      <c r="D873" s="3626">
        <v>36.74</v>
      </c>
      <c r="E873" s="3623">
        <f>典型户型修正!C895</f>
        <v>0.99</v>
      </c>
      <c r="F873" s="3623">
        <f ca="1">典型户型修正!R895</f>
        <v>5706</v>
      </c>
      <c r="G873" s="3623">
        <f ca="1">典型户型修正!S895</f>
        <v>21</v>
      </c>
    </row>
    <row r="874" spans="1:7">
      <c r="A874" s="3625" t="s">
        <v>5070</v>
      </c>
      <c r="B874" s="3625"/>
      <c r="C874" s="3626" t="s">
        <v>5021</v>
      </c>
      <c r="D874" s="3626">
        <v>36.74</v>
      </c>
      <c r="E874" s="3623">
        <f>典型户型修正!C896</f>
        <v>0.99</v>
      </c>
      <c r="F874" s="3623">
        <f ca="1">典型户型修正!R896</f>
        <v>5706</v>
      </c>
      <c r="G874" s="3623">
        <f ca="1">典型户型修正!S896</f>
        <v>21</v>
      </c>
    </row>
    <row r="875" spans="1:7">
      <c r="A875" s="3625" t="s">
        <v>5070</v>
      </c>
      <c r="B875" s="3625"/>
      <c r="C875" s="3626" t="s">
        <v>5022</v>
      </c>
      <c r="D875" s="3626">
        <v>39.090000000000003</v>
      </c>
      <c r="E875" s="3623">
        <f>典型户型修正!C897</f>
        <v>0.99</v>
      </c>
      <c r="F875" s="3623">
        <f ca="1">典型户型修正!R897</f>
        <v>5706</v>
      </c>
      <c r="G875" s="3623">
        <f ca="1">典型户型修正!S897</f>
        <v>22</v>
      </c>
    </row>
    <row r="876" spans="1:7">
      <c r="A876" s="3625" t="s">
        <v>5070</v>
      </c>
      <c r="B876" s="3625"/>
      <c r="C876" s="3626" t="s">
        <v>5023</v>
      </c>
      <c r="D876" s="3626">
        <v>39.090000000000003</v>
      </c>
      <c r="E876" s="3623">
        <f>典型户型修正!C898</f>
        <v>0.99</v>
      </c>
      <c r="F876" s="3623">
        <f ca="1">典型户型修正!R898</f>
        <v>5706</v>
      </c>
      <c r="G876" s="3623">
        <f ca="1">典型户型修正!S898</f>
        <v>22</v>
      </c>
    </row>
    <row r="877" spans="1:7">
      <c r="A877" s="3625" t="s">
        <v>5070</v>
      </c>
      <c r="B877" s="3625"/>
      <c r="C877" s="3626" t="s">
        <v>5024</v>
      </c>
      <c r="D877" s="3626">
        <v>39.090000000000003</v>
      </c>
      <c r="E877" s="3623">
        <f>典型户型修正!C899</f>
        <v>0.99</v>
      </c>
      <c r="F877" s="3623">
        <f ca="1">典型户型修正!R899</f>
        <v>5706</v>
      </c>
      <c r="G877" s="3623">
        <f ca="1">典型户型修正!S899</f>
        <v>22</v>
      </c>
    </row>
    <row r="878" spans="1:7">
      <c r="A878" s="3625" t="s">
        <v>5070</v>
      </c>
      <c r="B878" s="3625"/>
      <c r="C878" s="3626" t="s">
        <v>5025</v>
      </c>
      <c r="D878" s="3626">
        <v>39.090000000000003</v>
      </c>
      <c r="E878" s="3623">
        <f>典型户型修正!C900</f>
        <v>0.99</v>
      </c>
      <c r="F878" s="3623">
        <f ca="1">典型户型修正!R900</f>
        <v>5706</v>
      </c>
      <c r="G878" s="3623">
        <f ca="1">典型户型修正!S900</f>
        <v>22</v>
      </c>
    </row>
    <row r="879" spans="1:7">
      <c r="A879" s="3625" t="s">
        <v>5070</v>
      </c>
      <c r="B879" s="3625"/>
      <c r="C879" s="3626" t="s">
        <v>5026</v>
      </c>
      <c r="D879" s="3626">
        <v>39.090000000000003</v>
      </c>
      <c r="E879" s="3623">
        <f>典型户型修正!C901</f>
        <v>0.99</v>
      </c>
      <c r="F879" s="3623">
        <f ca="1">典型户型修正!R901</f>
        <v>5706</v>
      </c>
      <c r="G879" s="3623">
        <f ca="1">典型户型修正!S901</f>
        <v>22</v>
      </c>
    </row>
    <row r="880" spans="1:7">
      <c r="A880" s="3625" t="s">
        <v>5070</v>
      </c>
      <c r="B880" s="3625"/>
      <c r="C880" s="3626" t="s">
        <v>5027</v>
      </c>
      <c r="D880" s="3626">
        <v>39.090000000000003</v>
      </c>
      <c r="E880" s="3623">
        <f>典型户型修正!C902</f>
        <v>0.99</v>
      </c>
      <c r="F880" s="3623">
        <f ca="1">典型户型修正!R902</f>
        <v>5706</v>
      </c>
      <c r="G880" s="3623">
        <f ca="1">典型户型修正!S902</f>
        <v>22</v>
      </c>
    </row>
    <row r="881" spans="1:7">
      <c r="A881" s="3625" t="s">
        <v>5070</v>
      </c>
      <c r="B881" s="3625"/>
      <c r="C881" s="3626" t="s">
        <v>5028</v>
      </c>
      <c r="D881" s="3626">
        <v>36.74</v>
      </c>
      <c r="E881" s="3623">
        <f>典型户型修正!C903</f>
        <v>0.99</v>
      </c>
      <c r="F881" s="3623">
        <f ca="1">典型户型修正!R903</f>
        <v>5706</v>
      </c>
      <c r="G881" s="3623">
        <f ca="1">典型户型修正!S903</f>
        <v>21</v>
      </c>
    </row>
    <row r="882" spans="1:7">
      <c r="A882" s="3625" t="s">
        <v>5070</v>
      </c>
      <c r="B882" s="3625"/>
      <c r="C882" s="3626" t="s">
        <v>5029</v>
      </c>
      <c r="D882" s="3626">
        <v>36.74</v>
      </c>
      <c r="E882" s="3623">
        <f>典型户型修正!C904</f>
        <v>0.99</v>
      </c>
      <c r="F882" s="3623">
        <f ca="1">典型户型修正!R904</f>
        <v>5706</v>
      </c>
      <c r="G882" s="3623">
        <f ca="1">典型户型修正!S904</f>
        <v>21</v>
      </c>
    </row>
    <row r="883" spans="1:7">
      <c r="A883" s="3625" t="s">
        <v>5070</v>
      </c>
      <c r="B883" s="3625"/>
      <c r="C883" s="3626" t="s">
        <v>5030</v>
      </c>
      <c r="D883" s="3626">
        <v>36.74</v>
      </c>
      <c r="E883" s="3623">
        <f>典型户型修正!C905</f>
        <v>0.99</v>
      </c>
      <c r="F883" s="3623">
        <f ca="1">典型户型修正!R905</f>
        <v>5706</v>
      </c>
      <c r="G883" s="3623">
        <f ca="1">典型户型修正!S905</f>
        <v>21</v>
      </c>
    </row>
    <row r="884" spans="1:7">
      <c r="A884" s="3625" t="s">
        <v>5070</v>
      </c>
      <c r="B884" s="3625"/>
      <c r="C884" s="3626" t="s">
        <v>5031</v>
      </c>
      <c r="D884" s="3626">
        <v>36.74</v>
      </c>
      <c r="E884" s="3623">
        <f>典型户型修正!C906</f>
        <v>0.99</v>
      </c>
      <c r="F884" s="3623">
        <f ca="1">典型户型修正!R906</f>
        <v>5706</v>
      </c>
      <c r="G884" s="3623">
        <f ca="1">典型户型修正!S906</f>
        <v>21</v>
      </c>
    </row>
    <row r="885" spans="1:7">
      <c r="A885" s="3625" t="s">
        <v>5070</v>
      </c>
      <c r="B885" s="3625"/>
      <c r="C885" s="3626" t="s">
        <v>5032</v>
      </c>
      <c r="D885" s="3626">
        <v>36.74</v>
      </c>
      <c r="E885" s="3623">
        <f>典型户型修正!C907</f>
        <v>0.99</v>
      </c>
      <c r="F885" s="3623">
        <f ca="1">典型户型修正!R907</f>
        <v>5706</v>
      </c>
      <c r="G885" s="3623">
        <f ca="1">典型户型修正!S907</f>
        <v>21</v>
      </c>
    </row>
    <row r="886" spans="1:7">
      <c r="A886" s="3625" t="s">
        <v>5070</v>
      </c>
      <c r="B886" s="3625"/>
      <c r="C886" s="3626" t="s">
        <v>5033</v>
      </c>
      <c r="D886" s="3626">
        <v>36.74</v>
      </c>
      <c r="E886" s="3623">
        <f>典型户型修正!C908</f>
        <v>0.99</v>
      </c>
      <c r="F886" s="3623">
        <f ca="1">典型户型修正!R908</f>
        <v>5706</v>
      </c>
      <c r="G886" s="3623">
        <f ca="1">典型户型修正!S908</f>
        <v>21</v>
      </c>
    </row>
    <row r="887" spans="1:7">
      <c r="A887" s="3625" t="s">
        <v>5070</v>
      </c>
      <c r="B887" s="3625"/>
      <c r="C887" s="3626" t="s">
        <v>5034</v>
      </c>
      <c r="D887" s="3626">
        <v>39.090000000000003</v>
      </c>
      <c r="E887" s="3623">
        <f>典型户型修正!C909</f>
        <v>0.99</v>
      </c>
      <c r="F887" s="3623">
        <f ca="1">典型户型修正!R909</f>
        <v>5706</v>
      </c>
      <c r="G887" s="3623">
        <f ca="1">典型户型修正!S909</f>
        <v>22</v>
      </c>
    </row>
    <row r="888" spans="1:7">
      <c r="A888" s="3625" t="s">
        <v>5070</v>
      </c>
      <c r="B888" s="3625"/>
      <c r="C888" s="3626" t="s">
        <v>5035</v>
      </c>
      <c r="D888" s="3626">
        <v>39.090000000000003</v>
      </c>
      <c r="E888" s="3623">
        <f>典型户型修正!C910</f>
        <v>0.99</v>
      </c>
      <c r="F888" s="3623">
        <f ca="1">典型户型修正!R910</f>
        <v>5706</v>
      </c>
      <c r="G888" s="3623">
        <f ca="1">典型户型修正!S910</f>
        <v>22</v>
      </c>
    </row>
    <row r="889" spans="1:7">
      <c r="A889" s="3625" t="s">
        <v>5070</v>
      </c>
      <c r="B889" s="3625"/>
      <c r="C889" s="3626" t="s">
        <v>5036</v>
      </c>
      <c r="D889" s="3626">
        <v>39.090000000000003</v>
      </c>
      <c r="E889" s="3623">
        <f>典型户型修正!C911</f>
        <v>0.99</v>
      </c>
      <c r="F889" s="3623">
        <f ca="1">典型户型修正!R911</f>
        <v>5706</v>
      </c>
      <c r="G889" s="3623">
        <f ca="1">典型户型修正!S911</f>
        <v>22</v>
      </c>
    </row>
    <row r="890" spans="1:7">
      <c r="A890" s="3625" t="s">
        <v>5070</v>
      </c>
      <c r="B890" s="3625"/>
      <c r="C890" s="3626" t="s">
        <v>5037</v>
      </c>
      <c r="D890" s="3626">
        <v>39.090000000000003</v>
      </c>
      <c r="E890" s="3623">
        <f>典型户型修正!C912</f>
        <v>0.99</v>
      </c>
      <c r="F890" s="3623">
        <f ca="1">典型户型修正!R912</f>
        <v>5706</v>
      </c>
      <c r="G890" s="3623">
        <f ca="1">典型户型修正!S912</f>
        <v>22</v>
      </c>
    </row>
    <row r="891" spans="1:7">
      <c r="A891" s="3625" t="s">
        <v>5070</v>
      </c>
      <c r="B891" s="3625"/>
      <c r="C891" s="3626" t="s">
        <v>5038</v>
      </c>
      <c r="D891" s="3626">
        <v>39.090000000000003</v>
      </c>
      <c r="E891" s="3623">
        <f>典型户型修正!C913</f>
        <v>0.99</v>
      </c>
      <c r="F891" s="3623">
        <f ca="1">典型户型修正!R913</f>
        <v>5706</v>
      </c>
      <c r="G891" s="3623">
        <f ca="1">典型户型修正!S913</f>
        <v>22</v>
      </c>
    </row>
    <row r="892" spans="1:7">
      <c r="A892" s="3625" t="s">
        <v>5070</v>
      </c>
      <c r="B892" s="3625"/>
      <c r="C892" s="3626" t="s">
        <v>5039</v>
      </c>
      <c r="D892" s="3626">
        <v>39.090000000000003</v>
      </c>
      <c r="E892" s="3623">
        <f>典型户型修正!C914</f>
        <v>0.99</v>
      </c>
      <c r="F892" s="3623">
        <f ca="1">典型户型修正!R914</f>
        <v>5706</v>
      </c>
      <c r="G892" s="3623">
        <f ca="1">典型户型修正!S914</f>
        <v>22</v>
      </c>
    </row>
    <row r="893" spans="1:7">
      <c r="A893" s="3625" t="s">
        <v>5070</v>
      </c>
      <c r="B893" s="3625"/>
      <c r="C893" s="3626" t="s">
        <v>5040</v>
      </c>
      <c r="D893" s="3626">
        <v>39.090000000000003</v>
      </c>
      <c r="E893" s="3623">
        <f>典型户型修正!C915</f>
        <v>0.99</v>
      </c>
      <c r="F893" s="3623">
        <f ca="1">典型户型修正!R915</f>
        <v>5706</v>
      </c>
      <c r="G893" s="3623">
        <f ca="1">典型户型修正!S915</f>
        <v>22</v>
      </c>
    </row>
    <row r="894" spans="1:7">
      <c r="A894" s="3625" t="s">
        <v>5070</v>
      </c>
      <c r="B894" s="3625"/>
      <c r="C894" s="3626" t="s">
        <v>5041</v>
      </c>
      <c r="D894" s="3626">
        <v>39.090000000000003</v>
      </c>
      <c r="E894" s="3623">
        <f>典型户型修正!C916</f>
        <v>0.99</v>
      </c>
      <c r="F894" s="3623">
        <f ca="1">典型户型修正!R916</f>
        <v>5706</v>
      </c>
      <c r="G894" s="3623">
        <f ca="1">典型户型修正!S916</f>
        <v>22</v>
      </c>
    </row>
    <row r="895" spans="1:7">
      <c r="A895" s="3625" t="s">
        <v>5070</v>
      </c>
      <c r="B895" s="3625"/>
      <c r="C895" s="3626" t="s">
        <v>5042</v>
      </c>
      <c r="D895" s="3626">
        <v>36.74</v>
      </c>
      <c r="E895" s="3623">
        <f>典型户型修正!C917</f>
        <v>0.99</v>
      </c>
      <c r="F895" s="3623">
        <f ca="1">典型户型修正!R917</f>
        <v>5706</v>
      </c>
      <c r="G895" s="3623">
        <f ca="1">典型户型修正!S917</f>
        <v>21</v>
      </c>
    </row>
    <row r="896" spans="1:7">
      <c r="A896" s="3625" t="s">
        <v>5070</v>
      </c>
      <c r="B896" s="3625"/>
      <c r="C896" s="3626" t="s">
        <v>5043</v>
      </c>
      <c r="D896" s="3626">
        <v>36.74</v>
      </c>
      <c r="E896" s="3623">
        <f>典型户型修正!C918</f>
        <v>0.99</v>
      </c>
      <c r="F896" s="3623">
        <f ca="1">典型户型修正!R918</f>
        <v>5706</v>
      </c>
      <c r="G896" s="3623">
        <f ca="1">典型户型修正!S918</f>
        <v>21</v>
      </c>
    </row>
    <row r="897" spans="1:7">
      <c r="A897" s="3625" t="s">
        <v>5070</v>
      </c>
      <c r="B897" s="3625"/>
      <c r="C897" s="3626" t="s">
        <v>5044</v>
      </c>
      <c r="D897" s="3626">
        <v>36.74</v>
      </c>
      <c r="E897" s="3623">
        <f>典型户型修正!C919</f>
        <v>0.99</v>
      </c>
      <c r="F897" s="3623">
        <f ca="1">典型户型修正!R919</f>
        <v>5706</v>
      </c>
      <c r="G897" s="3623">
        <f ca="1">典型户型修正!S919</f>
        <v>21</v>
      </c>
    </row>
    <row r="898" spans="1:7">
      <c r="A898" s="3625" t="s">
        <v>5070</v>
      </c>
      <c r="B898" s="3625"/>
      <c r="C898" s="3626" t="s">
        <v>5045</v>
      </c>
      <c r="D898" s="3626">
        <v>37.520000000000003</v>
      </c>
      <c r="E898" s="3623">
        <f>典型户型修正!C920</f>
        <v>0.99</v>
      </c>
      <c r="F898" s="3623">
        <f ca="1">典型户型修正!R920</f>
        <v>5706</v>
      </c>
      <c r="G898" s="3623">
        <f ca="1">典型户型修正!S920</f>
        <v>21</v>
      </c>
    </row>
    <row r="899" spans="1:7">
      <c r="A899" s="3625" t="s">
        <v>5070</v>
      </c>
      <c r="B899" s="3625"/>
      <c r="C899" s="3626" t="s">
        <v>5046</v>
      </c>
      <c r="D899" s="3626">
        <v>37.520000000000003</v>
      </c>
      <c r="E899" s="3623">
        <f>典型户型修正!C921</f>
        <v>0.99</v>
      </c>
      <c r="F899" s="3623">
        <f ca="1">典型户型修正!R921</f>
        <v>5706</v>
      </c>
      <c r="G899" s="3623">
        <f ca="1">典型户型修正!S921</f>
        <v>21</v>
      </c>
    </row>
    <row r="900" spans="1:7">
      <c r="A900" s="3625" t="s">
        <v>5070</v>
      </c>
      <c r="B900" s="3625"/>
      <c r="C900" s="3626" t="s">
        <v>5047</v>
      </c>
      <c r="D900" s="3626">
        <v>39.090000000000003</v>
      </c>
      <c r="E900" s="3623">
        <f>典型户型修正!C922</f>
        <v>0.99</v>
      </c>
      <c r="F900" s="3623">
        <f ca="1">典型户型修正!R922</f>
        <v>5706</v>
      </c>
      <c r="G900" s="3623">
        <f ca="1">典型户型修正!S922</f>
        <v>22</v>
      </c>
    </row>
    <row r="901" spans="1:7">
      <c r="A901" s="3625" t="s">
        <v>5070</v>
      </c>
      <c r="B901" s="3625"/>
      <c r="C901" s="3626" t="s">
        <v>5048</v>
      </c>
      <c r="D901" s="3626">
        <v>39.090000000000003</v>
      </c>
      <c r="E901" s="3623">
        <f>典型户型修正!C923</f>
        <v>0.99</v>
      </c>
      <c r="F901" s="3623">
        <f ca="1">典型户型修正!R923</f>
        <v>5706</v>
      </c>
      <c r="G901" s="3623">
        <f ca="1">典型户型修正!S923</f>
        <v>22</v>
      </c>
    </row>
    <row r="902" spans="1:7">
      <c r="A902" s="3627" t="s">
        <v>4140</v>
      </c>
      <c r="B902" s="3619"/>
      <c r="C902" s="3619"/>
      <c r="D902" s="3628">
        <f>SUM(D2:D901)</f>
        <v>32206.89000000029</v>
      </c>
      <c r="E902" s="3623" t="s">
        <v>5062</v>
      </c>
      <c r="F902" s="3623">
        <f ca="1">ROUND(G902/D902*10000,0)</f>
        <v>5686</v>
      </c>
      <c r="G902" s="3623">
        <f ca="1">SUM(G2:G901)</f>
        <v>18313</v>
      </c>
    </row>
    <row r="903" spans="1:7">
      <c r="A903" s="3629"/>
      <c r="B903" s="3629"/>
      <c r="C903" s="3629"/>
      <c r="D903" s="3630"/>
    </row>
  </sheetData>
  <mergeCells count="903">
    <mergeCell ref="A900:B900"/>
    <mergeCell ref="A901:B901"/>
    <mergeCell ref="A902:C902"/>
    <mergeCell ref="A903:C903"/>
    <mergeCell ref="A894:B894"/>
    <mergeCell ref="A895:B895"/>
    <mergeCell ref="A896:B896"/>
    <mergeCell ref="A897:B897"/>
    <mergeCell ref="A898:B898"/>
    <mergeCell ref="A899:B899"/>
    <mergeCell ref="A888:B888"/>
    <mergeCell ref="A889:B889"/>
    <mergeCell ref="A890:B890"/>
    <mergeCell ref="A891:B891"/>
    <mergeCell ref="A892:B892"/>
    <mergeCell ref="A893:B893"/>
    <mergeCell ref="A882:B882"/>
    <mergeCell ref="A883:B883"/>
    <mergeCell ref="A884:B884"/>
    <mergeCell ref="A885:B885"/>
    <mergeCell ref="A886:B886"/>
    <mergeCell ref="A887:B887"/>
    <mergeCell ref="A876:B876"/>
    <mergeCell ref="A877:B877"/>
    <mergeCell ref="A878:B878"/>
    <mergeCell ref="A879:B879"/>
    <mergeCell ref="A880:B880"/>
    <mergeCell ref="A881:B881"/>
    <mergeCell ref="A870:B870"/>
    <mergeCell ref="A871:B871"/>
    <mergeCell ref="A872:B872"/>
    <mergeCell ref="A873:B873"/>
    <mergeCell ref="A874:B874"/>
    <mergeCell ref="A875:B875"/>
    <mergeCell ref="A864:B864"/>
    <mergeCell ref="A865:B865"/>
    <mergeCell ref="A866:B866"/>
    <mergeCell ref="A867:B867"/>
    <mergeCell ref="A868:B868"/>
    <mergeCell ref="A869:B869"/>
    <mergeCell ref="A858:B858"/>
    <mergeCell ref="A859:B859"/>
    <mergeCell ref="A860:B860"/>
    <mergeCell ref="A861:B861"/>
    <mergeCell ref="A862:B862"/>
    <mergeCell ref="A863:B863"/>
    <mergeCell ref="A852:B852"/>
    <mergeCell ref="A853:B853"/>
    <mergeCell ref="A854:B854"/>
    <mergeCell ref="A855:B855"/>
    <mergeCell ref="A856:B856"/>
    <mergeCell ref="A857:B857"/>
    <mergeCell ref="A846:B846"/>
    <mergeCell ref="A847:B847"/>
    <mergeCell ref="A848:B848"/>
    <mergeCell ref="A849:B849"/>
    <mergeCell ref="A850:B850"/>
    <mergeCell ref="A851:B851"/>
    <mergeCell ref="A840:B840"/>
    <mergeCell ref="A841:B841"/>
    <mergeCell ref="A842:B842"/>
    <mergeCell ref="A843:B843"/>
    <mergeCell ref="A844:B844"/>
    <mergeCell ref="A845:B845"/>
    <mergeCell ref="A834:B834"/>
    <mergeCell ref="A835:B835"/>
    <mergeCell ref="A836:B836"/>
    <mergeCell ref="A837:B837"/>
    <mergeCell ref="A838:B838"/>
    <mergeCell ref="A839:B839"/>
    <mergeCell ref="A828:B828"/>
    <mergeCell ref="A829:B829"/>
    <mergeCell ref="A830:B830"/>
    <mergeCell ref="A831:B831"/>
    <mergeCell ref="A832:B832"/>
    <mergeCell ref="A833:B833"/>
    <mergeCell ref="A822:B822"/>
    <mergeCell ref="A823:B823"/>
    <mergeCell ref="A824:B824"/>
    <mergeCell ref="A825:B825"/>
    <mergeCell ref="A826:B826"/>
    <mergeCell ref="A827:B827"/>
    <mergeCell ref="A816:B816"/>
    <mergeCell ref="A817:B817"/>
    <mergeCell ref="A818:B818"/>
    <mergeCell ref="A819:B819"/>
    <mergeCell ref="A820:B820"/>
    <mergeCell ref="A821:B821"/>
    <mergeCell ref="A810:B810"/>
    <mergeCell ref="A811:B811"/>
    <mergeCell ref="A812:B812"/>
    <mergeCell ref="A813:B813"/>
    <mergeCell ref="A814:B814"/>
    <mergeCell ref="A815:B815"/>
    <mergeCell ref="A804:B804"/>
    <mergeCell ref="A805:B805"/>
    <mergeCell ref="A806:B806"/>
    <mergeCell ref="A807:B807"/>
    <mergeCell ref="A808:B808"/>
    <mergeCell ref="A809:B809"/>
    <mergeCell ref="A798:B798"/>
    <mergeCell ref="A799:B799"/>
    <mergeCell ref="A800:B800"/>
    <mergeCell ref="A801:B801"/>
    <mergeCell ref="A802:B802"/>
    <mergeCell ref="A803:B803"/>
    <mergeCell ref="A792:B792"/>
    <mergeCell ref="A793:B793"/>
    <mergeCell ref="A794:B794"/>
    <mergeCell ref="A795:B795"/>
    <mergeCell ref="A796:B796"/>
    <mergeCell ref="A797:B797"/>
    <mergeCell ref="A786:B786"/>
    <mergeCell ref="A787:B787"/>
    <mergeCell ref="A788:B788"/>
    <mergeCell ref="A789:B789"/>
    <mergeCell ref="A790:B790"/>
    <mergeCell ref="A791:B791"/>
    <mergeCell ref="A780:B780"/>
    <mergeCell ref="A781:B781"/>
    <mergeCell ref="A782:B782"/>
    <mergeCell ref="A783:B783"/>
    <mergeCell ref="A784:B784"/>
    <mergeCell ref="A785:B785"/>
    <mergeCell ref="A774:B774"/>
    <mergeCell ref="A775:B775"/>
    <mergeCell ref="A776:B776"/>
    <mergeCell ref="A777:B777"/>
    <mergeCell ref="A778:B778"/>
    <mergeCell ref="A779:B779"/>
    <mergeCell ref="A768:B768"/>
    <mergeCell ref="A769:B769"/>
    <mergeCell ref="A770:B770"/>
    <mergeCell ref="A771:B771"/>
    <mergeCell ref="A772:B772"/>
    <mergeCell ref="A773:B773"/>
    <mergeCell ref="A762:B762"/>
    <mergeCell ref="A763:B763"/>
    <mergeCell ref="A764:B764"/>
    <mergeCell ref="A765:B765"/>
    <mergeCell ref="A766:B766"/>
    <mergeCell ref="A767:B767"/>
    <mergeCell ref="A756:B756"/>
    <mergeCell ref="A757:B757"/>
    <mergeCell ref="A758:B758"/>
    <mergeCell ref="A759:B759"/>
    <mergeCell ref="A760:B760"/>
    <mergeCell ref="A761:B761"/>
    <mergeCell ref="A750:B750"/>
    <mergeCell ref="A751:B751"/>
    <mergeCell ref="A752:B752"/>
    <mergeCell ref="A753:B753"/>
    <mergeCell ref="A754:B754"/>
    <mergeCell ref="A755:B755"/>
    <mergeCell ref="A744:B744"/>
    <mergeCell ref="A745:B745"/>
    <mergeCell ref="A746:B746"/>
    <mergeCell ref="A747:B747"/>
    <mergeCell ref="A748:B748"/>
    <mergeCell ref="A749:B749"/>
    <mergeCell ref="A738:B738"/>
    <mergeCell ref="A739:B739"/>
    <mergeCell ref="A740:B740"/>
    <mergeCell ref="A741:B741"/>
    <mergeCell ref="A742:B742"/>
    <mergeCell ref="A743:B743"/>
    <mergeCell ref="A732:B732"/>
    <mergeCell ref="A733:B733"/>
    <mergeCell ref="A734:B734"/>
    <mergeCell ref="A735:B735"/>
    <mergeCell ref="A736:B736"/>
    <mergeCell ref="A737:B737"/>
    <mergeCell ref="A726:B726"/>
    <mergeCell ref="A727:B727"/>
    <mergeCell ref="A728:B728"/>
    <mergeCell ref="A729:B729"/>
    <mergeCell ref="A730:B730"/>
    <mergeCell ref="A731:B731"/>
    <mergeCell ref="A720:B720"/>
    <mergeCell ref="A721:B721"/>
    <mergeCell ref="A722:B722"/>
    <mergeCell ref="A723:B723"/>
    <mergeCell ref="A724:B724"/>
    <mergeCell ref="A725:B725"/>
    <mergeCell ref="A714:B714"/>
    <mergeCell ref="A715:B715"/>
    <mergeCell ref="A716:B716"/>
    <mergeCell ref="A717:B717"/>
    <mergeCell ref="A718:B718"/>
    <mergeCell ref="A719:B719"/>
    <mergeCell ref="A708:B708"/>
    <mergeCell ref="A709:B709"/>
    <mergeCell ref="A710:B710"/>
    <mergeCell ref="A711:B711"/>
    <mergeCell ref="A712:B712"/>
    <mergeCell ref="A713:B713"/>
    <mergeCell ref="A702:B702"/>
    <mergeCell ref="A703:B703"/>
    <mergeCell ref="A704:B704"/>
    <mergeCell ref="A705:B705"/>
    <mergeCell ref="A706:B706"/>
    <mergeCell ref="A707:B707"/>
    <mergeCell ref="A696:B696"/>
    <mergeCell ref="A697:B697"/>
    <mergeCell ref="A698:B698"/>
    <mergeCell ref="A699:B699"/>
    <mergeCell ref="A700:B700"/>
    <mergeCell ref="A701:B701"/>
    <mergeCell ref="A690:B690"/>
    <mergeCell ref="A691:B691"/>
    <mergeCell ref="A692:B692"/>
    <mergeCell ref="A693:B693"/>
    <mergeCell ref="A694:B694"/>
    <mergeCell ref="A695:B695"/>
    <mergeCell ref="A684:B684"/>
    <mergeCell ref="A685:B685"/>
    <mergeCell ref="A686:B686"/>
    <mergeCell ref="A687:B687"/>
    <mergeCell ref="A688:B688"/>
    <mergeCell ref="A689:B689"/>
    <mergeCell ref="A678:B678"/>
    <mergeCell ref="A679:B679"/>
    <mergeCell ref="A680:B680"/>
    <mergeCell ref="A681:B681"/>
    <mergeCell ref="A682:B682"/>
    <mergeCell ref="A683:B683"/>
    <mergeCell ref="A672:B672"/>
    <mergeCell ref="A673:B673"/>
    <mergeCell ref="A674:B674"/>
    <mergeCell ref="A675:B675"/>
    <mergeCell ref="A676:B676"/>
    <mergeCell ref="A677:B677"/>
    <mergeCell ref="A666:B666"/>
    <mergeCell ref="A667:B667"/>
    <mergeCell ref="A668:B668"/>
    <mergeCell ref="A669:B669"/>
    <mergeCell ref="A670:B670"/>
    <mergeCell ref="A671:B671"/>
    <mergeCell ref="A660:B660"/>
    <mergeCell ref="A661:B661"/>
    <mergeCell ref="A662:B662"/>
    <mergeCell ref="A663:B663"/>
    <mergeCell ref="A664:B664"/>
    <mergeCell ref="A665:B665"/>
    <mergeCell ref="A654:B654"/>
    <mergeCell ref="A655:B655"/>
    <mergeCell ref="A656:B656"/>
    <mergeCell ref="A657:B657"/>
    <mergeCell ref="A658:B658"/>
    <mergeCell ref="A659:B659"/>
    <mergeCell ref="A648:B648"/>
    <mergeCell ref="A649:B649"/>
    <mergeCell ref="A650:B650"/>
    <mergeCell ref="A651:B651"/>
    <mergeCell ref="A652:B652"/>
    <mergeCell ref="A653:B653"/>
    <mergeCell ref="A642:B642"/>
    <mergeCell ref="A643:B643"/>
    <mergeCell ref="A644:B644"/>
    <mergeCell ref="A645:B645"/>
    <mergeCell ref="A646:B646"/>
    <mergeCell ref="A647:B647"/>
    <mergeCell ref="A636:B636"/>
    <mergeCell ref="A637:B637"/>
    <mergeCell ref="A638:B638"/>
    <mergeCell ref="A639:B639"/>
    <mergeCell ref="A640:B640"/>
    <mergeCell ref="A641:B641"/>
    <mergeCell ref="A630:B630"/>
    <mergeCell ref="A631:B631"/>
    <mergeCell ref="A632:B632"/>
    <mergeCell ref="A633:B633"/>
    <mergeCell ref="A634:B634"/>
    <mergeCell ref="A635:B635"/>
    <mergeCell ref="A624:B624"/>
    <mergeCell ref="A625:B625"/>
    <mergeCell ref="A626:B626"/>
    <mergeCell ref="A627:B627"/>
    <mergeCell ref="A628:B628"/>
    <mergeCell ref="A629:B629"/>
    <mergeCell ref="A618:B618"/>
    <mergeCell ref="A619:B619"/>
    <mergeCell ref="A620:B620"/>
    <mergeCell ref="A621:B621"/>
    <mergeCell ref="A622:B622"/>
    <mergeCell ref="A623:B623"/>
    <mergeCell ref="A612:B612"/>
    <mergeCell ref="A613:B613"/>
    <mergeCell ref="A614:B614"/>
    <mergeCell ref="A615:B615"/>
    <mergeCell ref="A616:B616"/>
    <mergeCell ref="A617:B617"/>
    <mergeCell ref="A606:B606"/>
    <mergeCell ref="A607:B607"/>
    <mergeCell ref="A608:B608"/>
    <mergeCell ref="A609:B609"/>
    <mergeCell ref="A610:B610"/>
    <mergeCell ref="A611:B611"/>
    <mergeCell ref="A600:B600"/>
    <mergeCell ref="A601:B601"/>
    <mergeCell ref="A602:B602"/>
    <mergeCell ref="A603:B603"/>
    <mergeCell ref="A604:B604"/>
    <mergeCell ref="A605:B605"/>
    <mergeCell ref="A594:B594"/>
    <mergeCell ref="A595:B595"/>
    <mergeCell ref="A596:B596"/>
    <mergeCell ref="A597:B597"/>
    <mergeCell ref="A598:B598"/>
    <mergeCell ref="A599:B599"/>
    <mergeCell ref="A588:B588"/>
    <mergeCell ref="A589:B589"/>
    <mergeCell ref="A590:B590"/>
    <mergeCell ref="A591:B591"/>
    <mergeCell ref="A592:B592"/>
    <mergeCell ref="A593:B593"/>
    <mergeCell ref="A582:B582"/>
    <mergeCell ref="A583:B583"/>
    <mergeCell ref="A584:B584"/>
    <mergeCell ref="A585:B585"/>
    <mergeCell ref="A586:B586"/>
    <mergeCell ref="A587:B587"/>
    <mergeCell ref="A576:B576"/>
    <mergeCell ref="A577:B577"/>
    <mergeCell ref="A578:B578"/>
    <mergeCell ref="A579:B579"/>
    <mergeCell ref="A580:B580"/>
    <mergeCell ref="A581:B581"/>
    <mergeCell ref="A570:B570"/>
    <mergeCell ref="A571:B571"/>
    <mergeCell ref="A572:B572"/>
    <mergeCell ref="A573:B573"/>
    <mergeCell ref="A574:B574"/>
    <mergeCell ref="A575:B575"/>
    <mergeCell ref="A564:B564"/>
    <mergeCell ref="A565:B565"/>
    <mergeCell ref="A566:B566"/>
    <mergeCell ref="A567:B567"/>
    <mergeCell ref="A568:B568"/>
    <mergeCell ref="A569:B569"/>
    <mergeCell ref="A558:B558"/>
    <mergeCell ref="A559:B559"/>
    <mergeCell ref="A560:B560"/>
    <mergeCell ref="A561:B561"/>
    <mergeCell ref="A562:B562"/>
    <mergeCell ref="A563:B563"/>
    <mergeCell ref="A552:B552"/>
    <mergeCell ref="A553:B553"/>
    <mergeCell ref="A554:B554"/>
    <mergeCell ref="A555:B555"/>
    <mergeCell ref="A556:B556"/>
    <mergeCell ref="A557:B557"/>
    <mergeCell ref="A546:B546"/>
    <mergeCell ref="A547:B547"/>
    <mergeCell ref="A548:B548"/>
    <mergeCell ref="A549:B549"/>
    <mergeCell ref="A550:B550"/>
    <mergeCell ref="A551:B551"/>
    <mergeCell ref="A540:B540"/>
    <mergeCell ref="A541:B541"/>
    <mergeCell ref="A542:B542"/>
    <mergeCell ref="A543:B543"/>
    <mergeCell ref="A544:B544"/>
    <mergeCell ref="A545:B545"/>
    <mergeCell ref="A534:B534"/>
    <mergeCell ref="A535:B535"/>
    <mergeCell ref="A536:B536"/>
    <mergeCell ref="A537:B537"/>
    <mergeCell ref="A538:B538"/>
    <mergeCell ref="A539:B539"/>
    <mergeCell ref="A528:B528"/>
    <mergeCell ref="A529:B529"/>
    <mergeCell ref="A530:B530"/>
    <mergeCell ref="A531:B531"/>
    <mergeCell ref="A532:B532"/>
    <mergeCell ref="A533:B533"/>
    <mergeCell ref="A522:B522"/>
    <mergeCell ref="A523:B523"/>
    <mergeCell ref="A524:B524"/>
    <mergeCell ref="A525:B525"/>
    <mergeCell ref="A526:B526"/>
    <mergeCell ref="A527:B527"/>
    <mergeCell ref="A516:B516"/>
    <mergeCell ref="A517:B517"/>
    <mergeCell ref="A518:B518"/>
    <mergeCell ref="A519:B519"/>
    <mergeCell ref="A520:B520"/>
    <mergeCell ref="A521:B521"/>
    <mergeCell ref="A510:B510"/>
    <mergeCell ref="A511:B511"/>
    <mergeCell ref="A512:B512"/>
    <mergeCell ref="A513:B513"/>
    <mergeCell ref="A514:B514"/>
    <mergeCell ref="A515:B515"/>
    <mergeCell ref="A504:B504"/>
    <mergeCell ref="A505:B505"/>
    <mergeCell ref="A506:B506"/>
    <mergeCell ref="A507:B507"/>
    <mergeCell ref="A508:B508"/>
    <mergeCell ref="A509:B509"/>
    <mergeCell ref="A498:B498"/>
    <mergeCell ref="A499:B499"/>
    <mergeCell ref="A500:B500"/>
    <mergeCell ref="A501:B501"/>
    <mergeCell ref="A502:B502"/>
    <mergeCell ref="A503:B503"/>
    <mergeCell ref="A492:B492"/>
    <mergeCell ref="A493:B493"/>
    <mergeCell ref="A494:B494"/>
    <mergeCell ref="A495:B495"/>
    <mergeCell ref="A496:B496"/>
    <mergeCell ref="A497:B497"/>
    <mergeCell ref="A486:B486"/>
    <mergeCell ref="A487:B487"/>
    <mergeCell ref="A488:B488"/>
    <mergeCell ref="A489:B489"/>
    <mergeCell ref="A490:B490"/>
    <mergeCell ref="A491:B491"/>
    <mergeCell ref="A480:B480"/>
    <mergeCell ref="A481:B481"/>
    <mergeCell ref="A482:B482"/>
    <mergeCell ref="A483:B483"/>
    <mergeCell ref="A484:B484"/>
    <mergeCell ref="A485:B485"/>
    <mergeCell ref="A474:B474"/>
    <mergeCell ref="A475:B475"/>
    <mergeCell ref="A476:B476"/>
    <mergeCell ref="A477:B477"/>
    <mergeCell ref="A478:B478"/>
    <mergeCell ref="A479:B479"/>
    <mergeCell ref="A468:B468"/>
    <mergeCell ref="A469:B469"/>
    <mergeCell ref="A470:B470"/>
    <mergeCell ref="A471:B471"/>
    <mergeCell ref="A472:B472"/>
    <mergeCell ref="A473:B473"/>
    <mergeCell ref="A462:B462"/>
    <mergeCell ref="A463:B463"/>
    <mergeCell ref="A464:B464"/>
    <mergeCell ref="A465:B465"/>
    <mergeCell ref="A466:B466"/>
    <mergeCell ref="A467:B467"/>
    <mergeCell ref="A456:B456"/>
    <mergeCell ref="A457:B457"/>
    <mergeCell ref="A458:B458"/>
    <mergeCell ref="A459:B459"/>
    <mergeCell ref="A460:B460"/>
    <mergeCell ref="A461:B461"/>
    <mergeCell ref="A450:B450"/>
    <mergeCell ref="A451:B451"/>
    <mergeCell ref="A452:B452"/>
    <mergeCell ref="A453:B453"/>
    <mergeCell ref="A454:B454"/>
    <mergeCell ref="A455:B455"/>
    <mergeCell ref="A444:B444"/>
    <mergeCell ref="A445:B445"/>
    <mergeCell ref="A446:B446"/>
    <mergeCell ref="A447:B447"/>
    <mergeCell ref="A448:B448"/>
    <mergeCell ref="A449:B449"/>
    <mergeCell ref="A438:B438"/>
    <mergeCell ref="A439:B439"/>
    <mergeCell ref="A440:B440"/>
    <mergeCell ref="A441:B441"/>
    <mergeCell ref="A442:B442"/>
    <mergeCell ref="A443:B443"/>
    <mergeCell ref="A432:B432"/>
    <mergeCell ref="A433:B433"/>
    <mergeCell ref="A434:B434"/>
    <mergeCell ref="A435:B435"/>
    <mergeCell ref="A436:B436"/>
    <mergeCell ref="A437:B437"/>
    <mergeCell ref="A426:B426"/>
    <mergeCell ref="A427:B427"/>
    <mergeCell ref="A428:B428"/>
    <mergeCell ref="A429:B429"/>
    <mergeCell ref="A430:B430"/>
    <mergeCell ref="A431:B431"/>
    <mergeCell ref="A420:B420"/>
    <mergeCell ref="A421:B421"/>
    <mergeCell ref="A422:B422"/>
    <mergeCell ref="A423:B423"/>
    <mergeCell ref="A424:B424"/>
    <mergeCell ref="A425:B425"/>
    <mergeCell ref="A414:B414"/>
    <mergeCell ref="A415:B415"/>
    <mergeCell ref="A416:B416"/>
    <mergeCell ref="A417:B417"/>
    <mergeCell ref="A418:B418"/>
    <mergeCell ref="A419:B419"/>
    <mergeCell ref="A408:B408"/>
    <mergeCell ref="A409:B409"/>
    <mergeCell ref="A410:B410"/>
    <mergeCell ref="A411:B411"/>
    <mergeCell ref="A412:B412"/>
    <mergeCell ref="A413:B413"/>
    <mergeCell ref="A402:B402"/>
    <mergeCell ref="A403:B403"/>
    <mergeCell ref="A404:B404"/>
    <mergeCell ref="A405:B405"/>
    <mergeCell ref="A406:B406"/>
    <mergeCell ref="A407:B407"/>
    <mergeCell ref="A396:B396"/>
    <mergeCell ref="A397:B397"/>
    <mergeCell ref="A398:B398"/>
    <mergeCell ref="A399:B399"/>
    <mergeCell ref="A400:B400"/>
    <mergeCell ref="A401:B401"/>
    <mergeCell ref="A390:B390"/>
    <mergeCell ref="A391:B391"/>
    <mergeCell ref="A392:B392"/>
    <mergeCell ref="A393:B393"/>
    <mergeCell ref="A394:B394"/>
    <mergeCell ref="A395:B395"/>
    <mergeCell ref="A384:B384"/>
    <mergeCell ref="A385:B385"/>
    <mergeCell ref="A386:B386"/>
    <mergeCell ref="A387:B387"/>
    <mergeCell ref="A388:B388"/>
    <mergeCell ref="A389:B389"/>
    <mergeCell ref="A378:B378"/>
    <mergeCell ref="A379:B379"/>
    <mergeCell ref="A380:B380"/>
    <mergeCell ref="A381:B381"/>
    <mergeCell ref="A382:B382"/>
    <mergeCell ref="A383:B383"/>
    <mergeCell ref="A372:B372"/>
    <mergeCell ref="A373:B373"/>
    <mergeCell ref="A374:B374"/>
    <mergeCell ref="A375:B375"/>
    <mergeCell ref="A376:B376"/>
    <mergeCell ref="A377:B377"/>
    <mergeCell ref="A366:B366"/>
    <mergeCell ref="A367:B367"/>
    <mergeCell ref="A368:B368"/>
    <mergeCell ref="A369:B369"/>
    <mergeCell ref="A370:B370"/>
    <mergeCell ref="A371:B371"/>
    <mergeCell ref="A360:B360"/>
    <mergeCell ref="A361:B361"/>
    <mergeCell ref="A362:B362"/>
    <mergeCell ref="A363:B363"/>
    <mergeCell ref="A364:B364"/>
    <mergeCell ref="A365:B365"/>
    <mergeCell ref="A354:B354"/>
    <mergeCell ref="A355:B355"/>
    <mergeCell ref="A356:B356"/>
    <mergeCell ref="A357:B357"/>
    <mergeCell ref="A358:B358"/>
    <mergeCell ref="A359:B359"/>
    <mergeCell ref="A348:B348"/>
    <mergeCell ref="A349:B349"/>
    <mergeCell ref="A350:B350"/>
    <mergeCell ref="A351:B351"/>
    <mergeCell ref="A352:B352"/>
    <mergeCell ref="A353:B353"/>
    <mergeCell ref="A342:B342"/>
    <mergeCell ref="A343:B343"/>
    <mergeCell ref="A344:B344"/>
    <mergeCell ref="A345:B345"/>
    <mergeCell ref="A346:B346"/>
    <mergeCell ref="A347:B347"/>
    <mergeCell ref="A336:B336"/>
    <mergeCell ref="A337:B337"/>
    <mergeCell ref="A338:B338"/>
    <mergeCell ref="A339:B339"/>
    <mergeCell ref="A340:B340"/>
    <mergeCell ref="A341:B341"/>
    <mergeCell ref="A330:B330"/>
    <mergeCell ref="A331:B331"/>
    <mergeCell ref="A332:B332"/>
    <mergeCell ref="A333:B333"/>
    <mergeCell ref="A334:B334"/>
    <mergeCell ref="A335:B335"/>
    <mergeCell ref="A324:B324"/>
    <mergeCell ref="A325:B325"/>
    <mergeCell ref="A326:B326"/>
    <mergeCell ref="A327:B327"/>
    <mergeCell ref="A328:B328"/>
    <mergeCell ref="A329:B329"/>
    <mergeCell ref="A318:B318"/>
    <mergeCell ref="A319:B319"/>
    <mergeCell ref="A320:B320"/>
    <mergeCell ref="A321:B321"/>
    <mergeCell ref="A322:B322"/>
    <mergeCell ref="A323:B323"/>
    <mergeCell ref="A312:B312"/>
    <mergeCell ref="A313:B313"/>
    <mergeCell ref="A314:B314"/>
    <mergeCell ref="A315:B315"/>
    <mergeCell ref="A316:B316"/>
    <mergeCell ref="A317:B317"/>
    <mergeCell ref="A306:B306"/>
    <mergeCell ref="A307:B307"/>
    <mergeCell ref="A308:B308"/>
    <mergeCell ref="A309:B309"/>
    <mergeCell ref="A310:B310"/>
    <mergeCell ref="A311:B311"/>
    <mergeCell ref="A300:B300"/>
    <mergeCell ref="A301:B301"/>
    <mergeCell ref="A302:B302"/>
    <mergeCell ref="A303:B303"/>
    <mergeCell ref="A304:B304"/>
    <mergeCell ref="A305:B305"/>
    <mergeCell ref="A292:B292"/>
    <mergeCell ref="A293:B293"/>
    <mergeCell ref="A294:B294"/>
    <mergeCell ref="A295:B295"/>
    <mergeCell ref="A296:B296"/>
    <mergeCell ref="A297:B297"/>
    <mergeCell ref="A298:B298"/>
    <mergeCell ref="A299:B299"/>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A1:B1"/>
    <mergeCell ref="A2:B2"/>
    <mergeCell ref="A3:B3"/>
    <mergeCell ref="A4:B4"/>
    <mergeCell ref="A5:B5"/>
    <mergeCell ref="A6:B6"/>
    <mergeCell ref="A7:B7"/>
    <mergeCell ref="A8:B8"/>
    <mergeCell ref="A9:B9"/>
  </mergeCells>
  <phoneticPr fontId="14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85" t="s">
        <v>1567</v>
      </c>
      <c r="B1" s="3285"/>
      <c r="C1" s="3285"/>
      <c r="D1" s="3285"/>
    </row>
    <row r="2" spans="1:4" ht="18">
      <c r="A2" s="3286" t="s">
        <v>1551</v>
      </c>
      <c r="B2" s="3286"/>
      <c r="C2" s="3286"/>
      <c r="D2" s="3286"/>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86" t="s">
        <v>1557</v>
      </c>
      <c r="B6" s="3286"/>
      <c r="C6" s="3286"/>
      <c r="D6" s="328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87" t="s">
        <v>1560</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1" t="s">
        <v>1561</v>
      </c>
      <c r="B16" s="3291"/>
      <c r="C16" s="3291"/>
      <c r="D16" s="3291"/>
    </row>
    <row r="17" spans="1:4" ht="144" customHeight="1">
      <c r="A17" s="3291" t="s">
        <v>1562</v>
      </c>
      <c r="B17" s="3291"/>
      <c r="C17" s="3291"/>
      <c r="D17" s="3291"/>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1563</v>
      </c>
      <c r="B22" s="3293"/>
      <c r="C22" s="3293"/>
      <c r="D22" s="329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90">
        <v>42551</v>
      </c>
      <c r="D31" s="32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99" t="s">
        <v>1574</v>
      </c>
      <c r="B15" s="3294" t="s">
        <v>136</v>
      </c>
      <c r="C15" s="3295"/>
    </row>
    <row r="16" spans="1:7" ht="13.5">
      <c r="A16" s="3300"/>
      <c r="B16" s="3294" t="s">
        <v>69</v>
      </c>
      <c r="C16" s="3295"/>
    </row>
    <row r="17" spans="1:3" ht="13.5">
      <c r="A17" s="3300"/>
      <c r="B17" s="3297" t="s">
        <v>1575</v>
      </c>
      <c r="C17" s="1687" t="s">
        <v>1574</v>
      </c>
    </row>
    <row r="18" spans="1:3" ht="13.5">
      <c r="A18" s="3300"/>
      <c r="B18" s="3297"/>
      <c r="C18" s="1687" t="s">
        <v>1576</v>
      </c>
    </row>
    <row r="19" spans="1:3" ht="13.5">
      <c r="A19" s="3300"/>
      <c r="B19" s="3297"/>
      <c r="C19" s="1687" t="s">
        <v>1577</v>
      </c>
    </row>
    <row r="20" spans="1:3" ht="13.5">
      <c r="A20" s="3301"/>
      <c r="B20" s="3296" t="s">
        <v>1578</v>
      </c>
      <c r="C20" s="3295"/>
    </row>
    <row r="21" spans="1:3" ht="13.5">
      <c r="A21" s="1688" t="s">
        <v>1579</v>
      </c>
      <c r="B21" s="1689"/>
      <c r="C21" s="1690"/>
    </row>
    <row r="22" spans="1:3" ht="13.5">
      <c r="A22" s="3298" t="s">
        <v>1580</v>
      </c>
      <c r="B22" s="3296" t="s">
        <v>1581</v>
      </c>
      <c r="C22" s="3295"/>
    </row>
    <row r="23" spans="1:3" ht="13.5">
      <c r="A23" s="3298"/>
      <c r="B23" s="3296" t="s">
        <v>1582</v>
      </c>
      <c r="C23" s="3295"/>
    </row>
    <row r="24" spans="1:3" ht="13.5">
      <c r="A24" s="3298"/>
      <c r="B24" s="3296" t="s">
        <v>1583</v>
      </c>
      <c r="C24" s="3295"/>
    </row>
    <row r="25" spans="1:3" ht="13.5">
      <c r="A25" s="3298"/>
      <c r="B25" s="3297" t="s">
        <v>1584</v>
      </c>
      <c r="C25" s="1687" t="s">
        <v>1585</v>
      </c>
    </row>
    <row r="26" spans="1:3" ht="13.5">
      <c r="A26" s="3298"/>
      <c r="B26" s="3297"/>
      <c r="C26" s="1687" t="s">
        <v>1586</v>
      </c>
    </row>
    <row r="27" spans="1:3" ht="13.5">
      <c r="A27" s="3298"/>
      <c r="B27" s="3297"/>
      <c r="C27" s="1687" t="s">
        <v>1587</v>
      </c>
    </row>
    <row r="28" spans="1:3" ht="13.5">
      <c r="A28" s="3298"/>
      <c r="B28" s="3297"/>
      <c r="C28" s="1687" t="s">
        <v>1588</v>
      </c>
    </row>
    <row r="29" spans="1:3" ht="13.5">
      <c r="A29" s="3298"/>
      <c r="B29" s="3297"/>
      <c r="C29" s="1687" t="s">
        <v>1589</v>
      </c>
    </row>
    <row r="30" spans="1:3" ht="13.5">
      <c r="A30" s="3298"/>
      <c r="B30" s="3297"/>
      <c r="C30" s="1687" t="s">
        <v>1590</v>
      </c>
    </row>
    <row r="31" spans="1:3" ht="13.5">
      <c r="A31" s="3298"/>
      <c r="B31" s="3297"/>
      <c r="C31" s="1687" t="s">
        <v>1591</v>
      </c>
    </row>
    <row r="32" spans="1:3" ht="13.5">
      <c r="A32" s="3298"/>
      <c r="B32" s="3297"/>
      <c r="C32" s="1687" t="s">
        <v>1592</v>
      </c>
    </row>
    <row r="33" spans="1:3" ht="13.5">
      <c r="A33" s="3298"/>
      <c r="B33" s="329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44632</v>
      </c>
      <c r="C2" s="2532" t="s">
        <v>2819</v>
      </c>
      <c r="D2" s="2532"/>
      <c r="E2" s="2532"/>
      <c r="F2" s="2528"/>
      <c r="G2" s="2528"/>
      <c r="H2" s="2528"/>
    </row>
    <row r="3" spans="1:8" ht="24" customHeight="1">
      <c r="A3" s="2533" t="s">
        <v>2820</v>
      </c>
      <c r="B3" s="2534" t="s">
        <v>2821</v>
      </c>
      <c r="C3" s="2534" t="s">
        <v>2822</v>
      </c>
      <c r="D3" s="2535" t="s">
        <v>2823</v>
      </c>
      <c r="E3" s="2536" t="s">
        <v>2824</v>
      </c>
      <c r="F3" s="1444" t="s">
        <v>2825</v>
      </c>
      <c r="G3" s="2534" t="s">
        <v>2822</v>
      </c>
      <c r="H3" s="2535" t="s">
        <v>2826</v>
      </c>
    </row>
    <row r="4" spans="1:8" ht="24" customHeight="1">
      <c r="A4" s="1444" t="s">
        <v>2827</v>
      </c>
      <c r="B4" s="1444">
        <f ca="1">IF(C4&lt;B2,"已过期",1119970066)</f>
        <v>1119970066</v>
      </c>
      <c r="C4" s="2537">
        <v>44876</v>
      </c>
      <c r="D4" s="2538" t="str">
        <f ca="1">A4&amp;"（注册号："&amp;B4&amp;"）"</f>
        <v>梁津（注册号：1119970066）</v>
      </c>
      <c r="E4" s="2539" t="s">
        <v>2827</v>
      </c>
      <c r="F4" s="1444">
        <f ca="1">IF(G4&lt;B2,"已过期",96010014)</f>
        <v>96010014</v>
      </c>
      <c r="G4" s="2540">
        <v>47118</v>
      </c>
      <c r="H4" s="2541" t="str">
        <f ca="1">E4&amp;"（注册号："&amp;F4&amp;"）"</f>
        <v>梁津（注册号：96010014）</v>
      </c>
    </row>
    <row r="5" spans="1:8" ht="24" customHeight="1">
      <c r="A5" s="1444" t="s">
        <v>2828</v>
      </c>
      <c r="B5" s="1444">
        <f ca="1">IF(C5&lt;B2,"已过期",1119970111)</f>
        <v>1119970111</v>
      </c>
      <c r="C5" s="2537">
        <v>44876</v>
      </c>
      <c r="D5" s="2538" t="str">
        <f t="shared" ref="D5:D15" ca="1" si="0">A5&amp;"（注册号："&amp;B5&amp;"）"</f>
        <v>叶凌（注册号：1119970111）</v>
      </c>
      <c r="E5" s="2539" t="s">
        <v>2828</v>
      </c>
      <c r="F5" s="1444">
        <f ca="1">IF(G5&lt;B2,"已过期",94010078)</f>
        <v>94010078</v>
      </c>
      <c r="G5" s="2540">
        <v>46387</v>
      </c>
      <c r="H5" s="2541" t="str">
        <f t="shared" ref="H5:H16" ca="1" si="1">E5&amp;"（注册号："&amp;F5&amp;"）"</f>
        <v>叶凌（注册号：94010078）</v>
      </c>
    </row>
    <row r="6" spans="1:8" ht="24" customHeight="1">
      <c r="A6" s="1444" t="s">
        <v>2829</v>
      </c>
      <c r="B6" s="1444" t="str">
        <f ca="1">IF(C6&lt;B2,"已过期",1120050019)</f>
        <v>已过期</v>
      </c>
      <c r="C6" s="2537">
        <v>44395</v>
      </c>
      <c r="D6" s="2538" t="str">
        <f t="shared" ca="1" si="0"/>
        <v>王鹏（注册号：已过期）</v>
      </c>
      <c r="E6" s="2539" t="s">
        <v>2829</v>
      </c>
      <c r="F6" s="1444">
        <f ca="1">IF(G6&lt;B2,"已过期",2002110030)</f>
        <v>2002110030</v>
      </c>
      <c r="G6" s="2540">
        <v>46387</v>
      </c>
      <c r="H6" s="2541" t="str">
        <f t="shared" ca="1" si="1"/>
        <v>王鹏（注册号：2002110030）</v>
      </c>
    </row>
    <row r="7" spans="1:8" ht="24" customHeight="1">
      <c r="A7" s="1444" t="s">
        <v>2830</v>
      </c>
      <c r="B7" s="1444">
        <f ca="1">IF(C7&lt;B2,"已过期",1120000080)</f>
        <v>1120000080</v>
      </c>
      <c r="C7" s="2537">
        <v>44876</v>
      </c>
      <c r="D7" s="2538" t="str">
        <f t="shared" ca="1" si="0"/>
        <v>欧红伟（注册号：1120000080）</v>
      </c>
      <c r="E7" s="2539" t="s">
        <v>2830</v>
      </c>
      <c r="F7" s="1444">
        <f ca="1">IF(G7&lt;B2,"已过期",2000110082)</f>
        <v>2000110082</v>
      </c>
      <c r="G7" s="2540">
        <v>46387</v>
      </c>
      <c r="H7" s="2541" t="str">
        <f t="shared" ca="1" si="1"/>
        <v>欧红伟（注册号：2000110082）</v>
      </c>
    </row>
    <row r="8" spans="1:8" ht="24" customHeight="1">
      <c r="A8" s="1444" t="s">
        <v>2831</v>
      </c>
      <c r="B8" s="1444">
        <f ca="1">IF(C8&lt;B2,"已过期",1419970001)</f>
        <v>1419970001</v>
      </c>
      <c r="C8" s="2537">
        <v>44899</v>
      </c>
      <c r="D8" s="2538" t="str">
        <f t="shared" ca="1" si="0"/>
        <v>吴薇（注册号：1419970001）</v>
      </c>
      <c r="E8" s="2539" t="s">
        <v>2831</v>
      </c>
      <c r="F8" s="1444">
        <f ca="1">IF(G8&lt;B2,"已过期",2002110125)</f>
        <v>2002110125</v>
      </c>
      <c r="G8" s="2540">
        <v>47118</v>
      </c>
      <c r="H8" s="2541" t="str">
        <f t="shared" ca="1" si="1"/>
        <v>吴薇（注册号：2002110125）</v>
      </c>
    </row>
    <row r="9" spans="1:8" ht="24" customHeight="1">
      <c r="A9" s="1444" t="s">
        <v>2832</v>
      </c>
      <c r="B9" s="1444" t="str">
        <f ca="1">IF(C9&lt;B2,"已过期",1120060040)</f>
        <v>已过期</v>
      </c>
      <c r="C9" s="2542">
        <v>44554</v>
      </c>
      <c r="D9" s="2538" t="str">
        <f t="shared" ca="1" si="0"/>
        <v>陈颖（注册号：已过期）</v>
      </c>
      <c r="E9" s="2539" t="s">
        <v>2832</v>
      </c>
      <c r="F9" s="1444">
        <f ca="1">IF(G9&lt;B2,"已过期",2004110096)</f>
        <v>2004110096</v>
      </c>
      <c r="G9" s="2540">
        <v>47118</v>
      </c>
      <c r="H9" s="2541" t="str">
        <f t="shared" ca="1" si="1"/>
        <v>陈颖（注册号：2004110096）</v>
      </c>
    </row>
    <row r="10" spans="1:8" ht="24" customHeight="1">
      <c r="A10" s="1444" t="s">
        <v>2833</v>
      </c>
      <c r="B10" s="1444">
        <f ca="1">IF(C10&lt;B2,"已过期",1120100036)</f>
        <v>1120100036</v>
      </c>
      <c r="C10" s="2542">
        <v>44675</v>
      </c>
      <c r="D10" s="2538" t="str">
        <f t="shared" ca="1" si="0"/>
        <v>崔锴（注册号：1120100036）</v>
      </c>
      <c r="E10" s="2539" t="s">
        <v>2833</v>
      </c>
      <c r="F10" s="1444">
        <f ca="1">IF(G10&lt;B2,"已过期",2010110070)</f>
        <v>2010110070</v>
      </c>
      <c r="G10" s="2540">
        <v>47907</v>
      </c>
      <c r="H10" s="2541" t="str">
        <f t="shared" ca="1" si="1"/>
        <v>崔锴（注册号：2010110070）</v>
      </c>
    </row>
    <row r="11" spans="1:8" ht="24" customHeight="1">
      <c r="A11" s="1444" t="s">
        <v>2834</v>
      </c>
      <c r="B11" s="1444">
        <f ca="1">IF(C11&lt;B2,"已过期",1120070131)</f>
        <v>1120070131</v>
      </c>
      <c r="C11" s="2537">
        <v>44849</v>
      </c>
      <c r="D11" s="2538" t="str">
        <f t="shared" ca="1" si="0"/>
        <v>郑燚（注册号：1120070131）</v>
      </c>
      <c r="E11" s="2539" t="s">
        <v>2834</v>
      </c>
      <c r="F11" s="1444">
        <f ca="1">IF(G11&lt;B2,"已过期",2014110011)</f>
        <v>2014110011</v>
      </c>
      <c r="G11" s="2540">
        <v>49302</v>
      </c>
      <c r="H11" s="2541" t="str">
        <f t="shared" ca="1" si="1"/>
        <v>郑燚（注册号：2014110011）</v>
      </c>
    </row>
    <row r="12" spans="1:8" ht="24" customHeight="1">
      <c r="A12" s="1444" t="s">
        <v>2835</v>
      </c>
      <c r="B12" s="1444">
        <f ca="1">IF(C12&lt;B2,"已过期",1120040230)</f>
        <v>1120040230</v>
      </c>
      <c r="C12" s="2542">
        <v>44864</v>
      </c>
      <c r="D12" s="2538" t="str">
        <f t="shared" ca="1" si="0"/>
        <v>苏海（注册号：1120040230）</v>
      </c>
      <c r="E12" s="2539" t="s">
        <v>2835</v>
      </c>
      <c r="F12" s="1444">
        <f ca="1">IF(G12&lt;B2,"已过期",98030020)</f>
        <v>98030020</v>
      </c>
      <c r="G12" s="2540">
        <v>47118</v>
      </c>
      <c r="H12" s="2541" t="str">
        <f t="shared" ca="1" si="1"/>
        <v>苏海（注册号：98030020）</v>
      </c>
    </row>
    <row r="13" spans="1:8" ht="24" customHeight="1">
      <c r="A13" s="1444" t="s">
        <v>2836</v>
      </c>
      <c r="B13" s="1444" t="str">
        <f ca="1">IF(C13&lt;B2,"已过期",1120020033)</f>
        <v>已过期</v>
      </c>
      <c r="C13" s="2537">
        <v>44339</v>
      </c>
      <c r="D13" s="2538" t="str">
        <f t="shared" ca="1" si="0"/>
        <v>刘敬东（注册号：已过期）</v>
      </c>
      <c r="E13" s="2539" t="s">
        <v>2836</v>
      </c>
      <c r="F13" s="1444">
        <f ca="1">IF(G13&lt;B2,"已过期",2000110137)</f>
        <v>2000110137</v>
      </c>
      <c r="G13" s="2540">
        <v>46387</v>
      </c>
      <c r="H13" s="2541" t="str">
        <f t="shared" ca="1" si="1"/>
        <v>刘敬东（注册号：2000110137）</v>
      </c>
    </row>
    <row r="14" spans="1:8" ht="24" customHeight="1">
      <c r="A14" s="1444" t="s">
        <v>2837</v>
      </c>
      <c r="B14" s="1444">
        <f ca="1">IF(C14&lt;B2,"已过期",1119980106)</f>
        <v>1119980106</v>
      </c>
      <c r="C14" s="2542">
        <v>44969</v>
      </c>
      <c r="D14" s="2538" t="str">
        <f t="shared" ca="1" si="0"/>
        <v>刘俊财（注册号：1119980106）</v>
      </c>
      <c r="E14" s="2539" t="s">
        <v>2837</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2838</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302" t="s">
        <v>2839</v>
      </c>
      <c r="B17" s="3302"/>
      <c r="C17" s="3302"/>
      <c r="D17" s="3302"/>
      <c r="E17" s="3302"/>
      <c r="F17" s="3302"/>
      <c r="G17" s="3302"/>
      <c r="H17" s="3302"/>
    </row>
    <row r="18" spans="1:8" ht="24" customHeight="1">
      <c r="A18" s="3303" t="s">
        <v>2840</v>
      </c>
      <c r="B18" s="3303"/>
      <c r="C18" s="3303"/>
      <c r="D18" s="2535"/>
      <c r="E18" s="3304" t="s">
        <v>2841</v>
      </c>
      <c r="F18" s="3303"/>
      <c r="G18" s="3303"/>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 基准</vt:lpstr>
      <vt:lpstr>比较法-车位</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Sheet3</vt:lpstr>
      <vt:lpstr>Sheet1</vt:lpstr>
      <vt:lpstr>Sheet4</vt:lpstr>
      <vt:lpstr>Sheet5</vt:lpstr>
      <vt:lpstr>Sheet6</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基准'!Print_Area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2022-03-12T04:33:27Z</dcterms:modified>
</cp:coreProperties>
</file>