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15" windowHeight="1002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2"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元)" sheetId="6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C75" i="9" l="1"/>
  <c r="J85" i="78"/>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C34" i="34"/>
  <c r="Y6" i="1"/>
  <c r="N19" i="1"/>
  <c r="N21" i="1" s="1"/>
  <c r="F19" i="6"/>
  <c r="A3" i="3"/>
  <c r="C96" i="78"/>
  <c r="B91" i="78"/>
  <c r="G89" i="78"/>
  <c r="E89" i="78"/>
  <c r="C89" i="78"/>
  <c r="H85" i="78"/>
  <c r="G82" i="78"/>
  <c r="A126" i="77"/>
  <c r="A120" i="77"/>
  <c r="H111" i="77"/>
  <c r="D126" i="77" s="1"/>
  <c r="D127" i="77" s="1"/>
  <c r="E111" i="77"/>
  <c r="H112" i="77" s="1"/>
  <c r="E109" i="77"/>
  <c r="A124" i="77" s="1"/>
  <c r="E107" i="77"/>
  <c r="A122" i="77" s="1"/>
  <c r="H106" i="77"/>
  <c r="H103" i="77" s="1"/>
  <c r="D120" i="77" s="1"/>
  <c r="H105" i="77"/>
  <c r="H104" i="77"/>
  <c r="D101" i="77"/>
  <c r="C101" i="77"/>
  <c r="C91" i="77"/>
  <c r="E90" i="77"/>
  <c r="D89" i="77"/>
  <c r="C89" i="77"/>
  <c r="C87" i="77" s="1"/>
  <c r="H77" i="77"/>
  <c r="D77" i="77"/>
  <c r="C76" i="77"/>
  <c r="F59" i="77"/>
  <c r="E59" i="77"/>
  <c r="D59" i="77"/>
  <c r="N56" i="77"/>
  <c r="M56" i="77"/>
  <c r="K56" i="77"/>
  <c r="J56" i="77"/>
  <c r="F56" i="77"/>
  <c r="O55" i="77"/>
  <c r="N55" i="77"/>
  <c r="M55" i="77"/>
  <c r="K55" i="77"/>
  <c r="J55" i="77"/>
  <c r="J57" i="77" s="1"/>
  <c r="J59" i="77" s="1"/>
  <c r="J61" i="77" s="1"/>
  <c r="I55" i="77"/>
  <c r="F55" i="77"/>
  <c r="O53" i="77" s="1"/>
  <c r="O54" i="77"/>
  <c r="N54" i="77"/>
  <c r="N53" i="77"/>
  <c r="K49" i="77"/>
  <c r="F48" i="77"/>
  <c r="O52" i="77" s="1"/>
  <c r="E48" i="77"/>
  <c r="N52" i="77" s="1"/>
  <c r="D48" i="77"/>
  <c r="M52" i="77" s="1"/>
  <c r="F33" i="77"/>
  <c r="D27" i="77"/>
  <c r="C25" i="77"/>
  <c r="C24" i="77"/>
  <c r="D17" i="77"/>
  <c r="C17" i="77"/>
  <c r="L4" i="77"/>
  <c r="K4" i="77"/>
  <c r="H1" i="77"/>
  <c r="C18" i="77" l="1"/>
  <c r="D18" i="77" s="1"/>
  <c r="C92" i="77"/>
  <c r="C94" i="77"/>
  <c r="K120" i="77"/>
  <c r="D121" i="77"/>
  <c r="H109" i="77"/>
  <c r="AH5" i="71"/>
  <c r="AG5" i="71"/>
  <c r="AE5" i="71"/>
  <c r="AF5" i="71" s="1"/>
  <c r="AD5" i="71"/>
  <c r="Q5" i="71"/>
  <c r="P5" i="71"/>
  <c r="O5" i="71"/>
  <c r="N5" i="71"/>
  <c r="D124" i="77" l="1"/>
  <c r="D125" i="77" s="1"/>
  <c r="H110" i="77"/>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B19" i="72" s="1"/>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C45"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C20" i="71"/>
  <c r="Y19" i="71"/>
  <c r="Z19" i="71" s="1"/>
  <c r="AB19" i="71"/>
  <c r="AA20" i="71"/>
  <c r="X21" i="71"/>
  <c r="AA21" i="71"/>
  <c r="X22"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D29" i="71" s="1"/>
  <c r="C33" i="71"/>
  <c r="D32" i="71"/>
  <c r="C37" i="71"/>
  <c r="D37" i="71" s="1"/>
  <c r="D36" i="71"/>
  <c r="C41" i="71"/>
  <c r="D40" i="71"/>
  <c r="P18" i="71"/>
  <c r="E45" i="71"/>
  <c r="E46" i="71" s="1"/>
  <c r="U46" i="71" s="1"/>
  <c r="E49" i="71"/>
  <c r="E50" i="71"/>
  <c r="U50" i="71" s="1"/>
  <c r="E53" i="71"/>
  <c r="E54" i="71" s="1"/>
  <c r="U54" i="71" s="1"/>
  <c r="U58" i="71"/>
  <c r="E57" i="71"/>
  <c r="Q18" i="71"/>
  <c r="F18" i="71" s="1"/>
  <c r="F17" i="71" s="1"/>
  <c r="F16" i="71" s="1"/>
  <c r="D44" i="71"/>
  <c r="C49" i="71"/>
  <c r="D49" i="71" s="1"/>
  <c r="D48" i="71"/>
  <c r="C53" i="71"/>
  <c r="C54" i="71" s="1"/>
  <c r="D52" i="71"/>
  <c r="N57" i="71"/>
  <c r="B56" i="7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AB15" i="71"/>
  <c r="AB17" i="71"/>
  <c r="E18" i="71"/>
  <c r="E17" i="71" s="1"/>
  <c r="E16" i="71" s="1"/>
  <c r="AA3" i="71"/>
  <c r="AA15" i="71"/>
  <c r="AA16" i="71"/>
  <c r="AA17" i="71"/>
  <c r="AA18" i="71"/>
  <c r="D18" i="71"/>
  <c r="U18" i="71" s="1"/>
  <c r="C56" i="71"/>
  <c r="D56" i="71" s="1"/>
  <c r="D57" i="71"/>
  <c r="D53" i="71"/>
  <c r="C72" i="71"/>
  <c r="D72" i="71" s="1"/>
  <c r="D65" i="71"/>
  <c r="N55" i="71"/>
  <c r="N56" i="71"/>
  <c r="D77" i="71"/>
  <c r="C76" i="71"/>
  <c r="D76" i="71" s="1"/>
  <c r="D69" i="71"/>
  <c r="C60" i="71"/>
  <c r="D60" i="71" s="1"/>
  <c r="C50" i="71"/>
  <c r="T50" i="71" s="1"/>
  <c r="C46" i="71"/>
  <c r="T46" i="71" s="1"/>
  <c r="D45" i="71"/>
  <c r="P57" i="71"/>
  <c r="E56" i="71"/>
  <c r="C42" i="71"/>
  <c r="T42" i="71" s="1"/>
  <c r="D41" i="71"/>
  <c r="C34" i="71"/>
  <c r="T34" i="71" s="1"/>
  <c r="D33" i="71"/>
  <c r="C30" i="71"/>
  <c r="T30" i="71" s="1"/>
  <c r="C26" i="71"/>
  <c r="T26" i="71" s="1"/>
  <c r="D25" i="71"/>
  <c r="C22" i="71"/>
  <c r="T22" i="71" s="1"/>
  <c r="D21" i="71"/>
  <c r="C16" i="71"/>
  <c r="D16" i="71" s="1"/>
  <c r="D17" i="71"/>
  <c r="P55" i="71"/>
  <c r="P56" i="7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6" i="43"/>
  <c r="H82" i="43"/>
  <c r="H87" i="43"/>
  <c r="K9" i="1"/>
  <c r="M9" i="1" s="1"/>
  <c r="AE9" i="1"/>
  <c r="D93" i="9"/>
  <c r="E12" i="6"/>
  <c r="E15" i="6"/>
  <c r="E60" i="40" s="1"/>
  <c r="K6" i="1"/>
  <c r="E13" i="6"/>
  <c r="E58" i="40" s="1"/>
  <c r="G29" i="6"/>
  <c r="E29" i="6" s="1"/>
  <c r="K15" i="1" s="1"/>
  <c r="AC26" i="33"/>
  <c r="W26" i="33"/>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30" i="69" s="1"/>
  <c r="H100" i="43"/>
  <c r="C30" i="66"/>
  <c r="E26" i="66" s="1"/>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BA13" i="3"/>
  <c r="E10" i="6"/>
  <c r="E11" i="6"/>
  <c r="E61" i="39" s="1"/>
  <c r="BL17" i="3"/>
  <c r="AZ17" i="3" s="1"/>
  <c r="BL13" i="3"/>
  <c r="E65" i="39"/>
  <c r="J56" i="9"/>
  <c r="J57" i="9" s="1"/>
  <c r="J59" i="9" s="1"/>
  <c r="J61" i="9" s="1"/>
  <c r="A24" i="51"/>
  <c r="B18" i="72" s="1"/>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E62" i="39"/>
  <c r="E56" i="39"/>
  <c r="E51" i="40"/>
  <c r="B6" i="1"/>
  <c r="E6" i="1" s="1"/>
  <c r="S8" i="1"/>
  <c r="AQ8" i="1" s="1"/>
  <c r="K11" i="1"/>
  <c r="M11" i="1" s="1"/>
  <c r="O11" i="1" s="1"/>
  <c r="P11" i="1" s="1"/>
  <c r="AP6" i="1"/>
  <c r="C36" i="69"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F30" i="68"/>
  <c r="C48" i="68" s="1"/>
  <c r="F30" i="11"/>
  <c r="C48" i="11"/>
  <c r="F28" i="67"/>
  <c r="F31" i="12"/>
  <c r="F52" i="9"/>
  <c r="M18" i="67"/>
  <c r="F32" i="67"/>
  <c r="F60" i="67"/>
  <c r="F30" i="69"/>
  <c r="C48" i="69"/>
  <c r="F32" i="15"/>
  <c r="F60" i="15"/>
  <c r="M18" i="15"/>
  <c r="F28" i="15"/>
  <c r="E63" i="39"/>
  <c r="T11" i="1"/>
  <c r="D9" i="69"/>
  <c r="C9" i="69" s="1"/>
  <c r="D19" i="12"/>
  <c r="C19" i="12" s="1"/>
  <c r="AQ9" i="1"/>
  <c r="AR11" i="1"/>
  <c r="E59" i="40"/>
  <c r="C28" i="15"/>
  <c r="T9" i="1"/>
  <c r="T13" i="1"/>
  <c r="E16" i="6"/>
  <c r="D9" i="68"/>
  <c r="C9" i="68" s="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U23" i="21" s="1"/>
  <c r="S13" i="21"/>
  <c r="D6" i="52"/>
  <c r="D121" i="9"/>
  <c r="D7" i="52"/>
  <c r="K120" i="9"/>
  <c r="AR8" i="1"/>
  <c r="T8" i="1"/>
  <c r="B5" i="62"/>
  <c r="B73" i="72" s="1"/>
  <c r="AP7" i="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AB23" i="21"/>
  <c r="AC23" i="21"/>
  <c r="W23" i="21"/>
  <c r="AC11" i="37"/>
  <c r="W11" i="37"/>
  <c r="W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c r="D19" i="53"/>
  <c r="D59" i="9"/>
  <c r="M55" i="9" s="1"/>
  <c r="B38" i="72"/>
  <c r="D20" i="53"/>
  <c r="B40" i="72"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G59" i="34"/>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E11" i="71"/>
  <c r="E10" i="71" s="1"/>
  <c r="E6" i="49"/>
  <c r="G20" i="43"/>
  <c r="D70" i="39"/>
  <c r="H59" i="34"/>
  <c r="E41" i="43"/>
  <c r="C41" i="43"/>
  <c r="C20" i="43"/>
  <c r="I59" i="34"/>
  <c r="J59" i="34" s="1"/>
  <c r="C19" i="43"/>
  <c r="B6" i="49"/>
  <c r="M27" i="15"/>
  <c r="M29" i="15"/>
  <c r="F16" i="67"/>
  <c r="F43" i="15"/>
  <c r="L47" i="15"/>
  <c r="F42" i="15"/>
  <c r="AO11" i="1"/>
  <c r="F8" i="67"/>
  <c r="M23" i="67"/>
  <c r="M26" i="15"/>
  <c r="B11" i="76"/>
  <c r="D2" i="33"/>
  <c r="J15" i="67"/>
  <c r="M6" i="15"/>
  <c r="E2" i="68"/>
  <c r="M24" i="15"/>
  <c r="F16" i="15"/>
  <c r="D2" i="37"/>
  <c r="E8" i="76"/>
  <c r="F26" i="15"/>
  <c r="F7" i="73"/>
  <c r="F6" i="15"/>
  <c r="D6" i="73"/>
  <c r="L48" i="15"/>
  <c r="E9" i="76"/>
  <c r="F9" i="15"/>
  <c r="M23" i="15"/>
  <c r="C76" i="67"/>
  <c r="B7" i="76"/>
  <c r="M29" i="67"/>
  <c r="D5" i="73"/>
  <c r="F8" i="15"/>
  <c r="F40" i="67"/>
  <c r="AO8" i="1"/>
  <c r="F37" i="15"/>
  <c r="F13" i="15"/>
  <c r="F36" i="15"/>
  <c r="AO9" i="1"/>
  <c r="C76" i="15"/>
  <c r="F6" i="67"/>
  <c r="F40" i="15"/>
  <c r="M8" i="15"/>
  <c r="M6" i="67"/>
  <c r="J15" i="15"/>
  <c r="F9" i="67"/>
  <c r="M28" i="15"/>
  <c r="M24" i="67"/>
  <c r="M26" i="67"/>
  <c r="M28" i="67"/>
  <c r="F43" i="67"/>
  <c r="F7" i="15"/>
  <c r="D3" i="73"/>
  <c r="E13" i="76"/>
  <c r="B9" i="76"/>
  <c r="E7" i="76"/>
  <c r="D2" i="34"/>
  <c r="D2" i="35"/>
  <c r="B12" i="76"/>
  <c r="M21" i="15"/>
  <c r="L47" i="67"/>
  <c r="E12" i="76"/>
  <c r="F7" i="67"/>
  <c r="AO13" i="1"/>
  <c r="F38" i="15"/>
  <c r="M8" i="67"/>
  <c r="M9" i="15"/>
  <c r="F4" i="73"/>
  <c r="E11" i="76"/>
  <c r="AO10" i="1"/>
  <c r="F26" i="67"/>
  <c r="F37" i="67"/>
  <c r="B10" i="76"/>
  <c r="D4" i="73"/>
  <c r="L48" i="67"/>
  <c r="AO7" i="1"/>
  <c r="B8" i="76"/>
  <c r="E2" i="69"/>
  <c r="M27" i="67"/>
  <c r="F3" i="73"/>
  <c r="F35" i="15"/>
  <c r="M22" i="15"/>
  <c r="M9" i="67"/>
  <c r="D2" i="21"/>
  <c r="D35" i="9"/>
  <c r="F20" i="31"/>
  <c r="E10" i="76"/>
  <c r="B13" i="76"/>
  <c r="F6" i="73"/>
  <c r="AO12" i="1"/>
  <c r="F41" i="15"/>
  <c r="F38" i="67"/>
  <c r="D2" i="36"/>
  <c r="F5" i="73"/>
  <c r="D7" i="73"/>
  <c r="F13" i="67"/>
  <c r="F36" i="67"/>
  <c r="F42" i="67"/>
  <c r="D34" i="9"/>
  <c r="M22" i="67"/>
  <c r="E13" i="49" l="1"/>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C29" i="43" s="1"/>
  <c r="S3" i="43"/>
  <c r="T3" i="43" s="1"/>
  <c r="V3" i="43" s="1"/>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S6" i="43"/>
  <c r="S4" i="43"/>
  <c r="S7" i="43"/>
  <c r="E56" i="40"/>
  <c r="Q16" i="1"/>
  <c r="F27" i="68" s="1"/>
  <c r="AR7" i="1"/>
  <c r="T7" i="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F7" i="33"/>
  <c r="H7" i="33"/>
  <c r="C77" i="77"/>
  <c r="C74" i="77" s="1"/>
  <c r="K59" i="34"/>
  <c r="L59" i="34" s="1"/>
  <c r="M59" i="34" s="1"/>
  <c r="N59" i="34" s="1"/>
  <c r="O59" i="34" s="1"/>
  <c r="F7" i="34"/>
  <c r="H7" i="34"/>
  <c r="J7" i="34"/>
  <c r="D5" i="43"/>
  <c r="C5" i="43"/>
  <c r="T14" i="43" s="1"/>
  <c r="V14" i="43" s="1"/>
  <c r="G58" i="21"/>
  <c r="H58" i="21" s="1"/>
  <c r="I58" i="21" s="1"/>
  <c r="J58" i="21" s="1"/>
  <c r="K58" i="21" s="1"/>
  <c r="L58" i="21" s="1"/>
  <c r="M58" i="21" s="1"/>
  <c r="N58" i="21" s="1"/>
  <c r="O58" i="21" s="1"/>
  <c r="H7" i="21"/>
  <c r="E9" i="71"/>
  <c r="E8" i="71" s="1"/>
  <c r="E7" i="71" s="1"/>
  <c r="E6" i="71" s="1"/>
  <c r="V10" i="71"/>
  <c r="J7" i="21"/>
  <c r="F7" i="21"/>
  <c r="F46" i="36"/>
  <c r="H48" i="35"/>
  <c r="I52" i="37"/>
  <c r="I14" i="74"/>
  <c r="B8" i="74" s="1"/>
  <c r="D127" i="9"/>
  <c r="D13" i="52" s="1"/>
  <c r="D12" i="52"/>
  <c r="S7" i="33"/>
  <c r="AA7" i="33"/>
  <c r="R48" i="33" s="1"/>
  <c r="AZ495" i="3"/>
  <c r="AZ521" i="3"/>
  <c r="E66" i="39"/>
  <c r="O9" i="1"/>
  <c r="P9" i="1" s="1"/>
  <c r="G30" i="6"/>
  <c r="G31" i="6" s="1"/>
  <c r="E28" i="6"/>
  <c r="G5" i="3"/>
  <c r="B3" i="3" s="1"/>
  <c r="E521" i="3"/>
  <c r="F28" i="12"/>
  <c r="C29" i="12" s="1"/>
  <c r="D28" i="12"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C36" i="43"/>
  <c r="E36" i="43" s="1"/>
  <c r="E4" i="49"/>
  <c r="B13" i="49"/>
  <c r="E7" i="49"/>
  <c r="C39" i="43"/>
  <c r="C37" i="43"/>
  <c r="E37" i="43" s="1"/>
  <c r="X6" i="71"/>
  <c r="AB6" i="71"/>
  <c r="T15" i="43"/>
  <c r="V15" i="43" s="1"/>
  <c r="Z5" i="71"/>
  <c r="Y3" i="71"/>
  <c r="Z3" i="71" s="1"/>
  <c r="F6" i="71"/>
  <c r="F5" i="71" s="1"/>
  <c r="AF3" i="71"/>
  <c r="P22" i="43" s="1"/>
  <c r="P21" i="43"/>
  <c r="P24" i="43"/>
  <c r="B66" i="40" s="1"/>
  <c r="C34" i="43"/>
  <c r="T10" i="43"/>
  <c r="V10" i="43" s="1"/>
  <c r="C33" i="43"/>
  <c r="T13" i="43"/>
  <c r="V13" i="43" s="1"/>
  <c r="C38" i="43"/>
  <c r="G36" i="43"/>
  <c r="I36" i="43" s="1"/>
  <c r="C36" i="68"/>
  <c r="C6" i="67"/>
  <c r="B10" i="70"/>
  <c r="Q71" i="15"/>
  <c r="C34" i="15"/>
  <c r="F63" i="15"/>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C14" i="15"/>
  <c r="C16" i="15"/>
  <c r="C17" i="67"/>
  <c r="G1" i="73"/>
  <c r="C14" i="67"/>
  <c r="C17" i="15"/>
  <c r="C16" i="67"/>
  <c r="C62" i="15" l="1"/>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R49" i="33"/>
  <c r="E48" i="33"/>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9" i="69"/>
  <c r="D27" i="69" s="1"/>
  <c r="AQ6" i="1"/>
  <c r="S16" i="1"/>
  <c r="AR6" i="1"/>
  <c r="T6" i="1"/>
  <c r="AC10" i="39"/>
  <c r="U10" i="39"/>
  <c r="C115" i="43"/>
  <c r="D113" i="43" s="1"/>
  <c r="J22" i="43" s="1"/>
  <c r="K25" i="6"/>
  <c r="M25" i="6" s="1"/>
  <c r="I25" i="6" s="1"/>
  <c r="S25" i="6" s="1"/>
  <c r="AC6" i="3"/>
  <c r="H6" i="3"/>
  <c r="E6" i="3" s="1"/>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E53" i="33"/>
  <c r="F53" i="33" s="1"/>
  <c r="E52" i="33"/>
  <c r="F52" i="33" s="1"/>
  <c r="I53" i="33"/>
  <c r="J53" i="33" s="1"/>
  <c r="K23" i="6"/>
  <c r="M23" i="6" s="1"/>
  <c r="I23" i="6" s="1"/>
  <c r="S23" i="6" s="1"/>
  <c r="K22" i="6"/>
  <c r="M22" i="6" s="1"/>
  <c r="I22" i="6" s="1"/>
  <c r="S22" i="6" s="1"/>
  <c r="K20" i="6"/>
  <c r="M20" i="6" s="1"/>
  <c r="I20" i="6" s="1"/>
  <c r="S20" i="6" s="1"/>
  <c r="M14" i="1"/>
  <c r="K16" i="1"/>
  <c r="C34" i="69"/>
  <c r="C12" i="71"/>
  <c r="D13" i="71"/>
  <c r="H46" i="36"/>
  <c r="J48" i="35"/>
  <c r="K52" i="37"/>
  <c r="L52" i="37" s="1"/>
  <c r="M52" i="37" s="1"/>
  <c r="N52" i="37" s="1"/>
  <c r="O52" i="37" s="1"/>
  <c r="J7" i="37"/>
  <c r="B9" i="71"/>
  <c r="B8" i="71" s="1"/>
  <c r="B7" i="71" s="1"/>
  <c r="B6" i="71" s="1"/>
  <c r="S10" i="71"/>
  <c r="E49" i="34"/>
  <c r="R50" i="34"/>
  <c r="C49" i="33"/>
  <c r="C48" i="33"/>
  <c r="E31" i="6"/>
  <c r="Q56" i="71"/>
  <c r="Q55" i="71"/>
  <c r="F7" i="37"/>
  <c r="C19" i="67"/>
  <c r="C20" i="67" s="1"/>
  <c r="C26" i="67" s="1"/>
  <c r="C26" i="43"/>
  <c r="C27" i="43"/>
  <c r="J26" i="67"/>
  <c r="J24" i="67"/>
  <c r="J24" i="15"/>
  <c r="J26" i="15"/>
  <c r="J29" i="15" s="1"/>
  <c r="C53" i="67"/>
  <c r="C48" i="67" s="1"/>
  <c r="C10" i="67"/>
  <c r="C5" i="67" s="1"/>
  <c r="C53" i="15"/>
  <c r="C48" i="15" s="1"/>
  <c r="C10" i="15"/>
  <c r="C5" i="15" s="1"/>
  <c r="F25" i="12"/>
  <c r="F22" i="69"/>
  <c r="F24" i="67"/>
  <c r="C24" i="67" s="1"/>
  <c r="F22" i="11"/>
  <c r="F22" i="68"/>
  <c r="F24" i="15"/>
  <c r="C24" i="15" s="1"/>
  <c r="C20" i="15"/>
  <c r="C26" i="15" s="1"/>
  <c r="E6" i="76"/>
  <c r="F41" i="67"/>
  <c r="F69" i="67" l="1"/>
  <c r="J29" i="67"/>
  <c r="K27" i="6"/>
  <c r="M18" i="77"/>
  <c r="B118" i="77" s="1"/>
  <c r="L18" i="77"/>
  <c r="G63" i="40"/>
  <c r="F65" i="40"/>
  <c r="H70" i="39"/>
  <c r="I68" i="39"/>
  <c r="G53" i="33"/>
  <c r="H53" i="33" s="1"/>
  <c r="E53" i="34"/>
  <c r="F53" i="34" s="1"/>
  <c r="E54" i="34"/>
  <c r="F54" i="34" s="1"/>
  <c r="B5" i="71"/>
  <c r="S6" i="71"/>
  <c r="W7" i="37"/>
  <c r="AC7" i="37"/>
  <c r="V42" i="37" s="1"/>
  <c r="I42" i="37" s="1"/>
  <c r="C35" i="69"/>
  <c r="C38" i="69"/>
  <c r="O14" i="1"/>
  <c r="O16" i="1" s="1"/>
  <c r="T16" i="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M27" i="6"/>
  <c r="AA7" i="37"/>
  <c r="R42" i="37" s="1"/>
  <c r="S7" i="37"/>
  <c r="C49" i="34"/>
  <c r="C50" i="34"/>
  <c r="K48" i="35"/>
  <c r="L48" i="35" s="1"/>
  <c r="M48" i="35" s="1"/>
  <c r="N48" i="35" s="1"/>
  <c r="O48" i="35" s="1"/>
  <c r="F7" i="35"/>
  <c r="I46" i="36"/>
  <c r="J46" i="36" s="1"/>
  <c r="K46" i="36" s="1"/>
  <c r="L46" i="36" s="1"/>
  <c r="M46" i="36" s="1"/>
  <c r="N46" i="36" s="1"/>
  <c r="O46" i="36" s="1"/>
  <c r="J7" i="36"/>
  <c r="H7" i="36"/>
  <c r="D12" i="71"/>
  <c r="C11" i="71"/>
  <c r="I54" i="34"/>
  <c r="J54" i="34" s="1"/>
  <c r="E52" i="21"/>
  <c r="F52" i="21" s="1"/>
  <c r="E53" i="21"/>
  <c r="F53" i="21" s="1"/>
  <c r="D3" i="34"/>
  <c r="D3" i="33"/>
  <c r="B2" i="33" s="1"/>
  <c r="B3" i="33" s="1"/>
  <c r="E6" i="6"/>
  <c r="D37" i="11"/>
  <c r="C37" i="11" s="1"/>
  <c r="D14" i="12"/>
  <c r="M18" i="9"/>
  <c r="B118" i="9" s="1"/>
  <c r="B14" i="74" s="1"/>
  <c r="B1" i="74" s="1"/>
  <c r="D3" i="21"/>
  <c r="D19" i="11"/>
  <c r="C19" i="11" s="1"/>
  <c r="C17" i="4"/>
  <c r="B4" i="52" s="1"/>
  <c r="B43" i="72" s="1"/>
  <c r="L18" i="9"/>
  <c r="D3" i="37"/>
  <c r="H7" i="37"/>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M19" i="77" l="1"/>
  <c r="C118" i="77" s="1"/>
  <c r="L19" i="77"/>
  <c r="G65" i="40"/>
  <c r="H63" i="40"/>
  <c r="I70" i="39"/>
  <c r="J68" i="39"/>
  <c r="AB7" i="37"/>
  <c r="T42" i="37" s="1"/>
  <c r="G42" i="37" s="1"/>
  <c r="U7" i="37"/>
  <c r="D17" i="12"/>
  <c r="C17" i="12" s="1"/>
  <c r="C14" i="12"/>
  <c r="D10" i="68"/>
  <c r="D10" i="11"/>
  <c r="C10" i="11" s="1"/>
  <c r="D10" i="69"/>
  <c r="D20" i="12"/>
  <c r="C20" i="12" s="1"/>
  <c r="C18" i="12" s="1"/>
  <c r="C20" i="11"/>
  <c r="C25" i="11" s="1"/>
  <c r="C22" i="11" s="1"/>
  <c r="C7" i="74"/>
  <c r="C8" i="74"/>
  <c r="C10" i="71"/>
  <c r="D11" i="71"/>
  <c r="U7" i="36"/>
  <c r="AB7" i="36"/>
  <c r="T36" i="36" s="1"/>
  <c r="G36" i="36" s="1"/>
  <c r="J7" i="35"/>
  <c r="B2" i="34"/>
  <c r="M19" i="9"/>
  <c r="C118" i="9" s="1"/>
  <c r="C14" i="74" s="1"/>
  <c r="B2" i="74" s="1"/>
  <c r="D19" i="6"/>
  <c r="D26" i="6"/>
  <c r="C18" i="4"/>
  <c r="D8" i="6"/>
  <c r="D23" i="6"/>
  <c r="D14" i="6"/>
  <c r="D5" i="6"/>
  <c r="D12" i="6"/>
  <c r="D11" i="6"/>
  <c r="D13" i="6"/>
  <c r="D28" i="6"/>
  <c r="D30" i="6" s="1"/>
  <c r="E61" i="40"/>
  <c r="H23" i="6"/>
  <c r="H26" i="6"/>
  <c r="H19" i="6"/>
  <c r="H20" i="6"/>
  <c r="D15" i="6"/>
  <c r="D21" i="6"/>
  <c r="D20" i="6"/>
  <c r="R20" i="6" s="1"/>
  <c r="D6" i="6"/>
  <c r="D10" i="6"/>
  <c r="D29" i="6"/>
  <c r="H22" i="6"/>
  <c r="H24" i="6"/>
  <c r="D25" i="6"/>
  <c r="R25" i="6" s="1"/>
  <c r="D22" i="6"/>
  <c r="D24" i="6"/>
  <c r="R24" i="6" s="1"/>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J14" i="15"/>
  <c r="C57" i="15"/>
  <c r="C36" i="15"/>
  <c r="C33" i="15"/>
  <c r="C31" i="15" s="1"/>
  <c r="C13" i="15"/>
  <c r="Q49" i="15"/>
  <c r="J19" i="15"/>
  <c r="J17" i="15" s="1"/>
  <c r="J59" i="15"/>
  <c r="J60" i="15" s="1"/>
  <c r="C36" i="67"/>
  <c r="C33" i="67"/>
  <c r="J14" i="67"/>
  <c r="C13" i="67"/>
  <c r="J19" i="67"/>
  <c r="C57" i="67"/>
  <c r="Q49" i="67"/>
  <c r="J59" i="67"/>
  <c r="J60" i="67" s="1"/>
  <c r="C19" i="77"/>
  <c r="H27" i="6" l="1"/>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D7" i="74"/>
  <c r="D8" i="74"/>
  <c r="W7" i="35"/>
  <c r="AC7" i="35"/>
  <c r="V38" i="35" s="1"/>
  <c r="I38" i="35" s="1"/>
  <c r="C9" i="71"/>
  <c r="T10" i="71"/>
  <c r="D10" i="71"/>
  <c r="U10" i="71" s="1"/>
  <c r="C10" i="69"/>
  <c r="C8" i="69" s="1"/>
  <c r="C5" i="69" s="1"/>
  <c r="D19" i="69"/>
  <c r="C10" i="68"/>
  <c r="D19" i="68"/>
  <c r="G46" i="37"/>
  <c r="H46" i="37" s="1"/>
  <c r="G47" i="37"/>
  <c r="H47" i="37" s="1"/>
  <c r="Q48" i="15"/>
  <c r="L46" i="15"/>
  <c r="J13" i="67"/>
  <c r="J23" i="67" s="1"/>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R27" i="6" l="1"/>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M21" i="67"/>
  <c r="F35" i="67"/>
  <c r="L51" i="15"/>
  <c r="F63" i="67" l="1"/>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35" i="77"/>
  <c r="D34" i="77"/>
  <c r="D19" i="77"/>
  <c r="D20" i="77"/>
  <c r="AO6" i="1"/>
  <c r="B6" i="70" l="1"/>
  <c r="B2" i="70" s="1"/>
  <c r="B3" i="70" s="1"/>
  <c r="D21" i="77"/>
  <c r="G19" i="77"/>
  <c r="D102" i="77"/>
  <c r="D22" i="77"/>
  <c r="D103" i="77"/>
  <c r="G20" i="77"/>
  <c r="R24"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H118" i="77" l="1"/>
  <c r="C35" i="77"/>
  <c r="F118" i="77" s="1"/>
  <c r="G46" i="40"/>
  <c r="H46" i="40" s="1"/>
  <c r="E51" i="39"/>
  <c r="F51" i="39" s="1"/>
  <c r="E52" i="39"/>
  <c r="F52" i="39" s="1"/>
  <c r="I52" i="39"/>
  <c r="J52" i="39" s="1"/>
  <c r="AC7" i="40"/>
  <c r="V42" i="40" s="1"/>
  <c r="I42" i="40" s="1"/>
  <c r="W7" i="40"/>
  <c r="C48" i="39"/>
  <c r="C47" i="39"/>
  <c r="AA7" i="40"/>
  <c r="R42" i="40" s="1"/>
  <c r="S7" i="40"/>
  <c r="C34" i="77" l="1"/>
  <c r="D118" i="77" s="1"/>
  <c r="D119" i="77" s="1"/>
  <c r="G118" i="77"/>
  <c r="F91" i="78" s="1"/>
  <c r="F119" i="77"/>
  <c r="H119" i="77"/>
  <c r="C104" i="77"/>
  <c r="H101" i="77"/>
  <c r="I118" i="77"/>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E118" i="77" l="1"/>
  <c r="H102" i="77"/>
  <c r="C105" i="77"/>
  <c r="M48" i="77"/>
  <c r="H107" i="77"/>
  <c r="D45" i="77"/>
  <c r="C43" i="40"/>
  <c r="C42" i="40"/>
  <c r="E47" i="40"/>
  <c r="F47" i="40" s="1"/>
  <c r="E46" i="40"/>
  <c r="F46" i="40" s="1"/>
  <c r="C78" i="77" l="1"/>
  <c r="C73" i="77" s="1"/>
  <c r="C93" i="77"/>
  <c r="C86" i="77" s="1"/>
  <c r="C85" i="77"/>
  <c r="C72" i="77"/>
  <c r="C64" i="77"/>
  <c r="C63" i="77" s="1"/>
  <c r="C67" i="77" s="1"/>
  <c r="C68" i="77" s="1"/>
  <c r="D54" i="77" s="1"/>
  <c r="D55" i="77"/>
  <c r="M53" i="77" s="1"/>
  <c r="D53" i="77"/>
  <c r="D52" i="77"/>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C95" i="77" l="1"/>
  <c r="C96" i="77" s="1"/>
  <c r="E96" i="77" s="1"/>
  <c r="E97" i="77" s="1"/>
  <c r="L65" i="77"/>
  <c r="M65" i="77" s="1"/>
  <c r="L63" i="77"/>
  <c r="M63" i="77" s="1"/>
  <c r="L64" i="77"/>
  <c r="M64" i="77" s="1"/>
  <c r="L68" i="77"/>
  <c r="M68" i="77" s="1"/>
  <c r="L66" i="77"/>
  <c r="M66" i="77" s="1"/>
  <c r="L67" i="77"/>
  <c r="M67" i="77" s="1"/>
  <c r="C79" i="77"/>
  <c r="M69" i="77" l="1"/>
  <c r="N69" i="77" s="1"/>
  <c r="C97" i="77"/>
  <c r="D58" i="77" s="1"/>
  <c r="D56" i="77" s="1"/>
  <c r="M54" i="77" s="1"/>
  <c r="N57" i="77" s="1"/>
  <c r="N58" i="77" s="1"/>
  <c r="C80" i="77"/>
  <c r="E80" i="77" s="1"/>
  <c r="E81" i="77" s="1"/>
  <c r="C81" i="77" l="1"/>
  <c r="P57" i="77"/>
  <c r="N59" i="77"/>
  <c r="N60" i="77" s="1"/>
  <c r="N61" i="77" l="1"/>
  <c r="B93" i="78" l="1"/>
  <c r="C75" i="31" l="1"/>
  <c r="R75" i="31" s="1"/>
  <c r="S75" i="31" s="1"/>
  <c r="S22" i="31" s="1"/>
  <c r="B20" i="31" s="1"/>
  <c r="B22" i="31"/>
  <c r="E91" i="78"/>
  <c r="D19" i="9"/>
  <c r="C19" i="9"/>
  <c r="D102" i="9" l="1"/>
  <c r="D21" i="9"/>
  <c r="D22" i="9"/>
  <c r="C102" i="9"/>
  <c r="G19" i="9"/>
  <c r="C21" i="9"/>
  <c r="R22" i="31"/>
  <c r="B21" i="31" s="1"/>
  <c r="C20" i="9"/>
  <c r="D20" i="9"/>
  <c r="D103" i="9" l="1"/>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H91" i="78" s="1"/>
  <c r="D91" i="78" s="1"/>
  <c r="D5" i="74"/>
  <c r="C95" i="9" l="1"/>
  <c r="C96" i="9" s="1"/>
  <c r="E96" i="9" s="1"/>
  <c r="E97" i="9" s="1"/>
  <c r="L64" i="9"/>
  <c r="M64" i="9" s="1"/>
  <c r="L68" i="9"/>
  <c r="M68" i="9" s="1"/>
  <c r="L63" i="9"/>
  <c r="M63" i="9" s="1"/>
  <c r="L65" i="9"/>
  <c r="M65" i="9" s="1"/>
  <c r="L67" i="9"/>
  <c r="M67" i="9" s="1"/>
  <c r="L66" i="9"/>
  <c r="M66" i="9" s="1"/>
  <c r="D8" i="52"/>
  <c r="G14" i="74"/>
  <c r="B6" i="74"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<sst xmlns="http://schemas.openxmlformats.org/spreadsheetml/2006/main" count="7810" uniqueCount="3194">
  <si>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</si>
  <si>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</si>
  <si>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</si>
  <si>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</si>
  <si>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</si>
  <si>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</si>
  <si>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</si>
  <si>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</si>
  <si>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</si>
  <si>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</si>
  <si>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</si>
  <si>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</si>
  <si>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</si>
  <si>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</si>
  <si>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</si>
  <si>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</si>
  <si>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</si>
  <si>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</si>
  <si>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</si>
  <si>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</si>
  <si>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</si>
  <si>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</si>
  <si>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</si>
  <si>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</si>
  <si>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</si>
  <si>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</si>
  <si>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</si>
  <si>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</si>
  <si>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</si>
  <si>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</si>
  <si>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</si>
  <si>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</si>
  <si>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</si>
  <si>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</si>
  <si>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</si>
  <si>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</si>
  <si>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</si>
  <si>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</si>
  <si>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</si>
  <si>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</si>
  <si>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</si>
  <si>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</si>
  <si>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</si>
  <si>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</si>
  <si>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</si>
  <si>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</si>
  <si>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</si>
  <si>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</si>
  <si>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</si>
  <si>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</si>
  <si>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</si>
  <si>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</si>
  <si>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</si>
  <si>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</si>
  <si>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</si>
  <si>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</si>
  <si>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</si>
  <si>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</si>
  <si>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</si>
  <si>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</si>
  <si>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</si>
  <si>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</si>
  <si>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</si>
  <si>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</si>
  <si>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</si>
  <si>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</si>
  <si>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</si>
  <si>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</si>
  <si>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</si>
  <si>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</si>
  <si>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</si>
  <si>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</si>
  <si>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</si>
  <si>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</si>
  <si>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</si>
  <si>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</si>
  <si>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</si>
  <si>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</si>
  <si>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</si>
  <si>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</si>
  <si>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</si>
  <si>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</si>
  <si>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</si>
  <si>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</si>
  <si>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</si>
  <si>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</si>
  <si>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</si>
  <si>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</si>
  <si>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</si>
  <si>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</si>
  <si>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</si>
  <si>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</si>
  <si>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</si>
  <si>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</si>
  <si>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</si>
  <si>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</si>
  <si>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</si>
  <si>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</si>
  <si>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</si>
  <si>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</si>
  <si>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</si>
  <si>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</si>
  <si>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</si>
  <si>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</si>
  <si>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</si>
  <si>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</si>
  <si>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</si>
  <si>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</si>
  <si>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</si>
  <si>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</si>
  <si>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</si>
  <si>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</si>
  <si>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</si>
  <si>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</si>
  <si>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</si>
  <si>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</si>
  <si>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</si>
  <si>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</si>
  <si>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</si>
  <si>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</si>
  <si>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</si>
  <si>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</si>
  <si>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</si>
  <si>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</si>
  <si>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</si>
  <si>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</si>
  <si>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</si>
  <si>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</si>
  <si>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</si>
  <si>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</si>
  <si>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</si>
  <si>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</si>
  <si>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</si>
  <si>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</si>
  <si>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</si>
  <si>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</si>
  <si>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</si>
  <si>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</si>
  <si>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</si>
  <si>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</si>
  <si>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</si>
  <si>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</si>
  <si>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</si>
  <si>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</si>
  <si>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</si>
  <si>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</si>
  <si>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</si>
  <si>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</si>
  <si>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</si>
  <si>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</si>
  <si>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</si>
  <si>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</si>
  <si>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</si>
  <si>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</si>
  <si>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</si>
  <si>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</si>
  <si>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</si>
  <si>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</si>
  <si>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</si>
  <si>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</si>
  <si>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</si>
  <si>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</si>
  <si>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</si>
  <si>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</si>
  <si>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</si>
  <si>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</si>
  <si>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</si>
  <si>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</si>
  <si>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</si>
  <si>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</si>
  <si>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</si>
  <si>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</si>
  <si>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</si>
  <si>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</si>
  <si>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</si>
  <si>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</si>
  <si>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</si>
  <si>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</si>
  <si>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</si>
  <si>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</si>
  <si>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</si>
  <si>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</si>
  <si>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</si>
  <si>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</si>
  <si>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</si>
  <si>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</si>
  <si>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</si>
  <si>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</si>
  <si>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</si>
  <si>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</si>
  <si>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</si>
  <si>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</si>
  <si>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</si>
  <si>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</si>
  <si>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</si>
  <si>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</si>
  <si>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</si>
  <si>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</si>
  <si>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</si>
  <si>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</si>
  <si>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</si>
  <si>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</si>
  <si>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</si>
  <si>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</si>
  <si>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</si>
  <si>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</si>
  <si>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</si>
  <si>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</si>
  <si>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</si>
  <si>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</si>
  <si>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</si>
  <si>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</si>
  <si>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</si>
  <si>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</si>
  <si>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</si>
  <si>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</si>
  <si>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</si>
  <si>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</si>
  <si>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</si>
  <si>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</si>
  <si>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</si>
  <si>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</si>
  <si>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</si>
  <si>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</si>
  <si>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</si>
  <si>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</si>
  <si>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</si>
  <si>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</si>
  <si>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</si>
  <si>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</si>
  <si>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</si>
  <si>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</si>
  <si>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</si>
  <si>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</si>
  <si>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</si>
  <si>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</si>
  <si>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</si>
  <si>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</si>
  <si>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</si>
  <si>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</si>
  <si>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</si>
  <si>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</si>
  <si>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</si>
  <si>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</si>
  <si>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</si>
  <si>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</si>
  <si>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</si>
  <si>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</si>
  <si>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</si>
  <si>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</si>
  <si>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</si>
  <si>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</si>
  <si>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</si>
  <si>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</si>
  <si>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</si>
  <si>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</si>
  <si>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</si>
  <si>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</si>
  <si>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</si>
  <si>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</si>
  <si>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</si>
  <si>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</si>
  <si>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</si>
  <si>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</si>
  <si>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</si>
  <si>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</si>
  <si>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</si>
  <si>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</si>
  <si>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</si>
  <si>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</si>
  <si>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</si>
  <si>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</si>
  <si>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</si>
  <si>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</si>
  <si>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</si>
  <si>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</si>
  <si>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</si>
  <si>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</si>
  <si>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</si>
  <si>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</si>
  <si>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</si>
  <si>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</si>
  <si>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</si>
  <si>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</si>
  <si>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</si>
  <si>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</si>
  <si>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</si>
  <si>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</si>
  <si>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</si>
  <si>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</si>
  <si>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</si>
  <si>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</si>
  <si>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</si>
  <si>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</si>
  <si>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</si>
  <si>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</si>
  <si>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</si>
  <si>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</si>
  <si>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</si>
  <si>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</si>
  <si>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</si>
  <si>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</si>
  <si>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</si>
  <si>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</si>
  <si>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</si>
  <si>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</si>
  <si>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</si>
  <si>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</si>
  <si>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</si>
  <si>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</si>
  <si>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</si>
  <si>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</si>
  <si>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</si>
  <si>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</si>
  <si>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</si>
  <si>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</si>
  <si>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</si>
  <si>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</si>
  <si>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</si>
  <si>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</si>
  <si>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</si>
  <si>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</si>
  <si>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</si>
  <si>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</si>
  <si>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</si>
  <si>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</si>
  <si>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</si>
  <si>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</si>
  <si>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</si>
  <si>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</si>
  <si>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</si>
  <si>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</si>
  <si>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</si>
  <si>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</si>
  <si>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</si>
  <si>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</si>
  <si>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</si>
  <si>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</si>
  <si>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</si>
  <si>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</si>
  <si>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</si>
  <si>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</si>
  <si>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</si>
  <si>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</si>
  <si>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</si>
  <si>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</si>
  <si>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</si>
  <si>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</si>
  <si>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</si>
  <si>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</si>
  <si>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</si>
  <si>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</si>
  <si>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</si>
  <si>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</si>
  <si>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</si>
  <si>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</si>
  <si>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</si>
  <si>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</si>
  <si>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</si>
  <si>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</si>
  <si>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</si>
  <si>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</si>
  <si>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</si>
  <si>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</si>
  <si>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</si>
  <si>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</si>
  <si>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</si>
  <si>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</si>
  <si>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</si>
  <si>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</si>
  <si>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</si>
  <si>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</si>
  <si>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</si>
  <si>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</si>
  <si>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</si>
  <si>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</si>
  <si>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</si>
  <si>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</si>
  <si>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</si>
  <si>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</si>
  <si>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</si>
  <si>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</si>
  <si>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</si>
  <si>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</si>
  <si>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</si>
  <si>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</si>
  <si>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</si>
  <si>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</si>
  <si>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</si>
  <si>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</si>
  <si>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</si>
  <si>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</si>
  <si>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</si>
  <si>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</si>
  <si>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</si>
  <si>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</si>
  <si>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</si>
  <si>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</si>
  <si>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</si>
  <si>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</si>
  <si>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</si>
  <si>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</si>
  <si>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</si>
  <si>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</si>
  <si>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</si>
  <si>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</si>
  <si>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</si>
  <si>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</si>
  <si>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</si>
  <si>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</si>
  <si>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</si>
  <si>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</si>
  <si>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</si>
  <si>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</si>
  <si>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</si>
  <si>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</si>
  <si>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</si>
  <si>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</si>
  <si>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</si>
  <si>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</si>
  <si>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</si>
  <si>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</si>
  <si>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</si>
  <si>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</si>
  <si>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</si>
  <si>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</si>
  <si>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</si>
  <si>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</si>
  <si>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</si>
  <si>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</si>
  <si>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</si>
  <si>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</si>
  <si>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</si>
  <si>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</si>
  <si>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</si>
  <si>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</si>
  <si>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</si>
  <si>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</si>
  <si>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</si>
  <si>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</si>
  <si>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</si>
  <si>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</si>
  <si>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</si>
  <si>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</si>
  <si>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</si>
  <si>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</si>
  <si>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</si>
  <si>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</si>
  <si>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</si>
  <si>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</si>
  <si>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</si>
  <si>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</si>
  <si>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</si>
  <si>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</si>
  <si>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</si>
  <si>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</si>
  <si>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</si>
  <si>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</si>
  <si>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</si>
  <si>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</si>
  <si>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</si>
  <si>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</si>
  <si>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</si>
  <si>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</si>
  <si>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</si>
  <si>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</si>
  <si>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</si>
  <si>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</si>
  <si>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</si>
  <si>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</si>
  <si>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</si>
  <si>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</si>
  <si>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</si>
  <si>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</si>
  <si>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</si>
  <si>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</si>
  <si>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</si>
  <si>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</si>
  <si>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</si>
  <si>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</si>
  <si>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</si>
  <si>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</si>
  <si>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</si>
  <si>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</si>
  <si>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</si>
  <si>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</si>
  <si>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</si>
  <si>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</si>
  <si>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</si>
  <si>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</si>
  <si>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</si>
  <si>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</si>
  <si>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</si>
  <si>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</si>
  <si>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</si>
  <si>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</si>
  <si>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</si>
  <si>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</si>
  <si>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</si>
  <si>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</si>
  <si>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</si>
  <si>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</si>
  <si>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</si>
  <si>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</si>
  <si>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</si>
  <si>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</si>
  <si>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</si>
  <si>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</si>
  <si>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</si>
  <si>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</si>
  <si>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</si>
  <si>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</si>
  <si>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</si>
  <si>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</si>
  <si>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</si>
  <si>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</si>
  <si>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</si>
  <si>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</si>
  <si>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</si>
  <si>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</si>
  <si>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</si>
  <si>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</si>
  <si>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</si>
  <si>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</si>
  <si>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</si>
  <si>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</si>
  <si>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</si>
  <si>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</si>
  <si>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</si>
  <si>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</si>
  <si>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</si>
  <si>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</si>
  <si>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</si>
  <si>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</si>
  <si>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</si>
  <si>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</si>
  <si>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</si>
  <si>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</si>
  <si>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</si>
  <si>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</si>
  <si>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</si>
  <si>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</si>
  <si>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</si>
  <si>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</si>
  <si>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</si>
  <si>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</si>
  <si>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</si>
  <si>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</si>
  <si>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</si>
  <si>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</si>
  <si>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</si>
  <si>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</si>
  <si>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</si>
  <si>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</si>
  <si>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</si>
  <si>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</si>
  <si>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</si>
  <si>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</si>
  <si>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</si>
  <si>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</si>
  <si>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</si>
  <si>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</si>
  <si>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</si>
  <si>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</si>
  <si>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</si>
  <si>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</si>
  <si>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</si>
  <si>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</si>
  <si>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</si>
  <si>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</si>
  <si>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</si>
  <si>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</si>
  <si>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</si>
  <si>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</si>
  <si>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</si>
  <si>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</si>
  <si>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</si>
  <si>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</si>
  <si>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</si>
  <si>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</si>
  <si>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</si>
  <si>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</si>
  <si>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</si>
  <si>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</si>
  <si>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</si>
  <si>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</si>
  <si>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</si>
  <si>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</si>
  <si>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</si>
  <si>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</si>
  <si>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</si>
  <si>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</si>
  <si>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</si>
  <si>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</si>
  <si>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</si>
  <si>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</si>
  <si>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</si>
  <si>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</si>
  <si>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</si>
  <si>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</si>
  <si>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</si>
  <si>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</si>
  <si>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</si>
  <si>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</si>
  <si>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</si>
  <si>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</si>
  <si>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</si>
  <si>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</si>
  <si>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</si>
  <si>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</si>
  <si>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</si>
  <si>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</si>
  <si>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</si>
  <si>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</si>
  <si>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</si>
  <si>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</si>
  <si>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</si>
  <si>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</si>
  <si>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</si>
  <si>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</si>
  <si>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</si>
  <si>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</si>
  <si>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</si>
  <si>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</si>
  <si>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</si>
  <si>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</si>
  <si>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</si>
  <si>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</si>
  <si>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</si>
  <si>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</si>
  <si>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</si>
  <si>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</si>
  <si>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</si>
  <si>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</si>
  <si>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</si>
  <si>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</si>
  <si>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</si>
  <si>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</si>
  <si>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</si>
  <si>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</si>
  <si>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</si>
  <si>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</si>
  <si>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</si>
  <si>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</si>
  <si>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</si>
  <si>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</si>
  <si>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</si>
  <si>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</si>
  <si>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</si>
  <si>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</si>
  <si>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</si>
  <si>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</si>
  <si>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</si>
  <si>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</si>
  <si>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</si>
  <si>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</si>
  <si>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</si>
  <si>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</si>
  <si>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</si>
  <si>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</si>
  <si>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</si>
  <si>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</si>
  <si>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</si>
  <si>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</si>
  <si>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</si>
  <si>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</si>
  <si>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</si>
  <si>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</si>
  <si>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</si>
  <si>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</si>
  <si>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</si>
  <si>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</si>
  <si>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</si>
  <si>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</si>
  <si>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</si>
  <si>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</si>
  <si>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</si>
  <si>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</si>
  <si>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</si>
  <si>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</si>
  <si>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</si>
  <si>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</si>
  <si>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</si>
  <si>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</si>
  <si>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</si>
  <si>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</si>
  <si>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</si>
  <si>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</si>
  <si>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</si>
  <si>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</si>
  <si>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</si>
  <si>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</si>
  <si>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</si>
  <si>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</si>
  <si>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</si>
  <si>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</si>
  <si>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</si>
  <si>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</si>
  <si>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</si>
  <si>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</si>
  <si>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</si>
  <si>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</si>
  <si>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</si>
  <si>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</si>
  <si>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</si>
  <si>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</si>
  <si>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</si>
  <si>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</si>
  <si>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</si>
  <si>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</si>
  <si>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</si>
  <si>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</si>
  <si>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</si>
  <si>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</si>
  <si>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</si>
  <si>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</si>
  <si>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</si>
  <si>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</si>
  <si>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</si>
  <si>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</si>
  <si>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</si>
  <si>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</si>
  <si>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</si>
  <si>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</si>
  <si>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</si>
  <si>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</si>
  <si>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</si>
  <si>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</si>
  <si>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</si>
  <si>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</si>
  <si>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</si>
  <si>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</si>
  <si>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</si>
  <si>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</si>
  <si>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</si>
  <si>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</si>
  <si>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</si>
  <si>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</si>
  <si>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</si>
  <si>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</si>
  <si>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</si>
  <si>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</si>
  <si>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</si>
  <si>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</si>
  <si>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</si>
  <si>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</si>
  <si>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</si>
  <si>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</si>
  <si>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</si>
  <si>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</si>
  <si>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</si>
  <si>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</si>
  <si>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</si>
  <si>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</si>
  <si>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</si>
  <si>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</si>
  <si>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</si>
  <si>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</si>
  <si>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</si>
  <si>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</si>
  <si>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</si>
  <si>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</si>
  <si>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</si>
  <si>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</si>
  <si>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</si>
  <si>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</si>
  <si>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</si>
  <si>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</si>
  <si>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</si>
  <si>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</si>
  <si>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</si>
  <si>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</si>
  <si>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</si>
  <si>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</si>
  <si>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</si>
  <si>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</si>
  <si>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</si>
  <si>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</si>
  <si>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</si>
  <si>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</si>
  <si>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</si>
  <si>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</si>
  <si>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</si>
  <si>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</si>
  <si>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</si>
  <si>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</si>
  <si>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</si>
  <si>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</si>
  <si>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</si>
  <si>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</si>
  <si>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</si>
  <si>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</si>
  <si>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</si>
  <si>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</si>
  <si>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</si>
  <si>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</si>
  <si>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</si>
  <si>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</si>
  <si>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</si>
  <si>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</si>
  <si>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</si>
  <si>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</si>
  <si>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</si>
  <si>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</si>
  <si>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</si>
  <si>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</si>
  <si>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</si>
  <si>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</si>
  <si>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</si>
  <si>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</si>
  <si>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</si>
  <si>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</si>
  <si>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</si>
  <si>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</si>
  <si>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</si>
  <si>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</si>
  <si>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</si>
  <si>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</si>
  <si>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</si>
  <si>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</si>
  <si>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</si>
  <si>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</si>
  <si>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</si>
  <si>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</si>
  <si>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</si>
  <si>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</si>
  <si>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</si>
  <si>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</si>
  <si>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</si>
  <si>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</si>
  <si>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</si>
  <si>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</si>
  <si>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</si>
  <si>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</si>
  <si>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</si>
  <si>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</si>
  <si>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</si>
  <si>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</si>
  <si>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</si>
  <si>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</si>
  <si>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</si>
  <si>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</si>
  <si>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</si>
  <si>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</si>
  <si>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</si>
  <si>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</si>
  <si>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</si>
  <si>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</si>
  <si>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</si>
  <si>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</si>
  <si>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</si>
  <si>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</si>
  <si>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</si>
  <si>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</si>
  <si>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</si>
  <si>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</si>
  <si>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</si>
  <si>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</si>
  <si>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</si>
  <si>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</si>
  <si>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</si>
  <si>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</si>
  <si>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</si>
  <si>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</si>
  <si>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</si>
  <si>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</si>
  <si>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</si>
  <si>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</si>
  <si>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</si>
  <si>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</si>
  <si>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</si>
  <si>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</si>
  <si>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</si>
  <si>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</si>
  <si>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</si>
  <si>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</si>
  <si>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</si>
  <si>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</si>
  <si>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</si>
  <si>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</si>
  <si>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</si>
  <si>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</si>
  <si>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</si>
  <si>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</si>
  <si>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</si>
  <si>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</si>
  <si>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</si>
  <si>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</si>
  <si>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</si>
  <si>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</si>
  <si>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</si>
  <si>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</si>
  <si>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</si>
  <si>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</si>
  <si>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</si>
  <si>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</si>
  <si>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</si>
  <si>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</si>
  <si>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</si>
  <si>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</si>
  <si>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</si>
  <si>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</si>
  <si>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</si>
  <si>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</si>
  <si>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</si>
  <si>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</si>
  <si>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</si>
  <si>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</si>
  <si>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</si>
  <si>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</si>
  <si>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</si>
  <si>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</si>
  <si>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</si>
  <si>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</si>
  <si>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</si>
  <si>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</si>
  <si>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</si>
  <si>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</si>
  <si>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</si>
  <si>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</si>
  <si>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</si>
  <si>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</si>
  <si>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</si>
  <si>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</si>
  <si>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</si>
  <si>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</si>
  <si>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</si>
  <si>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</si>
  <si>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</si>
  <si>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</si>
  <si>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</si>
  <si>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</si>
  <si>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</si>
  <si>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</si>
  <si>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</si>
  <si>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</si>
  <si>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</si>
  <si>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</si>
  <si>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</si>
  <si>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</si>
  <si>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</si>
  <si>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</si>
  <si>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</si>
  <si>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</si>
  <si>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</si>
  <si>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</si>
  <si>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</si>
  <si>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</si>
  <si>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</si>
  <si>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</si>
  <si>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</si>
  <si>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</si>
  <si>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</si>
  <si>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</si>
  <si>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</si>
  <si>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</si>
  <si>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</si>
  <si>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</si>
  <si>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</si>
  <si>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</si>
  <si>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</si>
  <si>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</si>
  <si>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</si>
  <si>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</si>
  <si>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</si>
  <si>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</si>
  <si>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</si>
  <si>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</si>
  <si>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</si>
  <si>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</si>
  <si>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</si>
  <si>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</si>
  <si>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</si>
  <si>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</si>
  <si>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</si>
  <si>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</si>
  <si>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</si>
  <si>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</si>
  <si>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</si>
  <si>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</si>
  <si>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</si>
  <si>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</si>
  <si>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</si>
  <si>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</si>
  <si>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</si>
  <si>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</si>
  <si>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</si>
  <si>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</si>
  <si>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</si>
  <si>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</si>
  <si>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</si>
  <si>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</si>
  <si>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</si>
  <si>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</si>
  <si>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</si>
  <si>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</si>
  <si>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</si>
  <si>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</si>
  <si>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</si>
  <si>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</si>
  <si>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</si>
  <si>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</si>
  <si>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</si>
  <si>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</si>
  <si>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</si>
  <si>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</si>
  <si>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</si>
  <si>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</si>
  <si>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</si>
  <si>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</si>
  <si>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</si>
  <si>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</si>
  <si>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</si>
  <si>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</si>
  <si>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</si>
  <si>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</si>
  <si>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</si>
  <si>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</si>
  <si>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</si>
  <si>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</si>
  <si>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</si>
  <si>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</si>
  <si>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</si>
  <si>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</si>
  <si>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</si>
  <si>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</si>
  <si>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</si>
  <si>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</si>
  <si>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</si>
  <si>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</si>
  <si>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</si>
  <si>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</si>
  <si>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</si>
  <si>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</si>
  <si>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</si>
  <si>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</si>
  <si>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</si>
  <si>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</si>
  <si>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</si>
  <si>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</si>
  <si>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</si>
  <si>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</si>
  <si>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</si>
  <si>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</si>
  <si>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</si>
  <si>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</si>
  <si>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</si>
  <si>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</si>
  <si>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</si>
  <si>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</si>
  <si>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</si>
  <si>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</si>
  <si>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</si>
  <si>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</si>
  <si>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</si>
  <si>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</si>
  <si>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</si>
  <si>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</si>
  <si>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</si>
  <si>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</si>
  <si>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</si>
  <si>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</si>
  <si>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</si>
  <si>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</si>
  <si>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</si>
  <si>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</si>
  <si>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</si>
  <si>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</si>
  <si>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</si>
  <si>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</si>
  <si>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</si>
  <si>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</si>
  <si>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</si>
  <si>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</si>
  <si>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</si>
  <si>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</si>
  <si>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</si>
  <si>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</si>
  <si>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</si>
  <si>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</si>
  <si>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</si>
  <si>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</si>
  <si>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</si>
  <si>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</si>
  <si>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</si>
  <si>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</si>
  <si>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</si>
  <si>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</si>
  <si>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</si>
  <si>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</si>
  <si>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</si>
  <si>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</si>
  <si>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</si>
  <si>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</si>
  <si>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</si>
  <si>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</si>
  <si>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</si>
  <si>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</si>
  <si>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</si>
  <si>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</si>
  <si>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</si>
  <si>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</si>
  <si>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</si>
  <si>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</si>
  <si>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</si>
  <si>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</si>
  <si>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</si>
  <si>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</si>
  <si>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</si>
  <si>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</si>
  <si>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</si>
  <si>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</si>
  <si>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</si>
  <si>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</si>
  <si>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</si>
  <si>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</si>
  <si>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</si>
  <si>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</si>
  <si>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</si>
  <si>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</si>
  <si>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</si>
  <si>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</si>
  <si>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</si>
  <si>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</si>
  <si>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</si>
  <si>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</si>
  <si>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</si>
  <si>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</si>
  <si>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</si>
  <si>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</si>
  <si>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</si>
  <si>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</si>
  <si>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</si>
  <si>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</si>
  <si>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</si>
  <si>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</si>
  <si>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</si>
  <si>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</si>
  <si>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</si>
  <si>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</si>
  <si>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</si>
  <si>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</si>
  <si>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</si>
  <si>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</si>
  <si>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</si>
  <si>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</si>
  <si>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</si>
  <si>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</si>
  <si>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</si>
  <si>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</si>
  <si>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</si>
  <si>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</si>
  <si>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</si>
  <si>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</si>
  <si>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</si>
  <si>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</si>
  <si>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</si>
  <si>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</si>
  <si>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</si>
  <si>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</si>
  <si>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</si>
  <si>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</si>
  <si>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</si>
  <si>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</si>
  <si>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</si>
  <si>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</si>
  <si>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</si>
  <si>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</si>
  <si>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</si>
  <si>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</si>
  <si>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</si>
  <si>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</si>
  <si>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</si>
  <si>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</si>
  <si>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</si>
  <si>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</si>
  <si>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</si>
  <si>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</si>
  <si>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</si>
  <si>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</si>
  <si>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</si>
  <si>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</si>
  <si>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</si>
  <si>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</si>
  <si>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</si>
  <si>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</si>
  <si>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</si>
  <si>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</si>
  <si>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</si>
  <si>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</si>
  <si>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</si>
  <si>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</si>
  <si>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</si>
  <si>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</si>
  <si>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</si>
  <si>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</si>
  <si>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</si>
  <si>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</si>
  <si>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</si>
  <si>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</si>
  <si>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</si>
  <si>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</si>
  <si>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</si>
  <si>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</si>
  <si>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</si>
  <si>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</si>
  <si>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</si>
  <si>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</si>
  <si>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</si>
  <si>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</si>
  <si>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</si>
  <si>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</si>
  <si>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</si>
  <si>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</si>
  <si>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</si>
  <si>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</si>
  <si>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</si>
  <si>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</si>
  <si>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</si>
  <si>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</si>
  <si>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</si>
  <si>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</si>
  <si>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</si>
  <si>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</si>
  <si>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</si>
  <si>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</si>
  <si>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</si>
  <si>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</si>
  <si>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</si>
  <si>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</si>
  <si>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</si>
  <si>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</si>
  <si>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</si>
  <si>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</si>
  <si>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</si>
  <si>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</si>
  <si>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</si>
  <si>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</si>
  <si>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</si>
  <si>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</si>
  <si>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</si>
  <si>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</si>
  <si>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</si>
  <si>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</si>
  <si>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</si>
  <si>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</si>
  <si>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</si>
  <si>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</si>
  <si>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</si>
  <si>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</si>
  <si>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</si>
  <si>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</si>
  <si>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</si>
  <si>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</si>
  <si>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</si>
  <si>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</si>
  <si>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</si>
  <si>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</si>
  <si>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</si>
  <si>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</si>
  <si>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</si>
  <si>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</si>
  <si>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</si>
  <si>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</si>
  <si>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</si>
  <si>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</si>
  <si>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</si>
  <si>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</si>
  <si>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</si>
  <si>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</si>
  <si>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</si>
  <si>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</si>
  <si>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</si>
  <si>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</si>
  <si>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</si>
  <si>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</si>
  <si>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</si>
  <si>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</si>
  <si>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</si>
  <si>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</si>
  <si>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</si>
  <si>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</si>
  <si>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</si>
  <si>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</si>
  <si>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</si>
  <si>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</si>
  <si>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</si>
  <si>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</si>
  <si>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</si>
  <si>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</si>
  <si>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</si>
  <si>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</si>
  <si>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</si>
  <si>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</si>
  <si>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</si>
  <si>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</si>
  <si>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</si>
  <si>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</si>
  <si>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</si>
  <si>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</si>
  <si>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</si>
  <si>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</si>
  <si>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</si>
  <si>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</si>
  <si>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</si>
  <si>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</si>
  <si>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</si>
  <si>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</si>
  <si>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</si>
  <si>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</si>
  <si>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</si>
  <si>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</si>
  <si>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</si>
  <si>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</si>
  <si>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</si>
  <si>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</si>
  <si>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</si>
  <si>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</si>
  <si>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</si>
  <si>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</si>
  <si>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</si>
  <si>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</si>
  <si>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</si>
  <si>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</si>
  <si>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</si>
  <si>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</si>
  <si>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</si>
  <si>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</si>
  <si>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</si>
  <si>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</si>
  <si>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</si>
  <si>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</si>
  <si>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</si>
  <si>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</si>
  <si>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</si>
  <si>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</si>
  <si>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</si>
  <si>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</si>
  <si>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</si>
  <si>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</si>
  <si>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</si>
  <si>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</si>
  <si>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</si>
  <si>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</si>
  <si>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</si>
  <si>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</si>
  <si>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</si>
  <si>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</si>
  <si>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</si>
  <si>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</si>
  <si>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</si>
  <si>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</si>
  <si>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</si>
  <si>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</si>
  <si>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</si>
  <si>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</si>
  <si>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</si>
  <si>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</si>
  <si>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</si>
  <si>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</si>
  <si>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</si>
  <si>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</si>
  <si>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</si>
  <si>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</si>
  <si>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</si>
  <si>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</si>
  <si>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</si>
  <si>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</si>
  <si>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</si>
  <si>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</si>
  <si>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</si>
  <si>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</si>
  <si>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</si>
  <si>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</si>
  <si>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</si>
  <si>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</si>
  <si>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</si>
  <si>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</si>
  <si>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</si>
  <si>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</si>
  <si>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</si>
  <si>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</si>
  <si>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</si>
  <si>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</si>
  <si>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</si>
  <si>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</si>
  <si>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</si>
  <si>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</si>
  <si>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</si>
  <si>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</si>
  <si>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</si>
  <si>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</si>
  <si>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</si>
  <si>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</si>
  <si>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</si>
  <si>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</si>
  <si>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</si>
  <si>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</si>
  <si>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</si>
  <si>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</si>
  <si>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</si>
  <si>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</si>
  <si>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</si>
  <si>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</si>
  <si>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</si>
  <si>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</si>
  <si>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</si>
  <si>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</si>
  <si>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</si>
  <si>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</si>
  <si>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</si>
  <si>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</si>
  <si>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</si>
  <si>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</si>
  <si>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</si>
  <si>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</si>
  <si>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</si>
  <si>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</si>
  <si>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</si>
  <si>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</si>
  <si>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</si>
  <si>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</si>
  <si>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</si>
  <si>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</si>
  <si>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</si>
  <si>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</si>
  <si>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</si>
  <si>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</si>
  <si>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</si>
  <si>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</si>
  <si>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</si>
  <si>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</si>
  <si>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</si>
  <si>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</si>
  <si>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</si>
  <si>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</si>
  <si>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</si>
  <si>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</si>
  <si>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</si>
  <si>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</si>
  <si>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</si>
  <si>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</si>
  <si>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</si>
  <si>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</si>
  <si>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</si>
  <si>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</si>
  <si>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</si>
  <si>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</si>
  <si>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</si>
  <si>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</si>
  <si>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</si>
  <si>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</si>
  <si>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</si>
  <si>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</si>
  <si>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</si>
  <si>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</si>
  <si>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</si>
  <si>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</si>
  <si>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</si>
  <si>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</si>
  <si>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</si>
  <si>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</si>
  <si>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</si>
  <si>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</si>
  <si>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</si>
  <si>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</si>
  <si>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</si>
  <si>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</si>
  <si>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</si>
  <si>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</si>
  <si>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</si>
  <si>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</si>
  <si>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</si>
  <si>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</si>
  <si>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</si>
  <si>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</si>
  <si>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</si>
  <si>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</si>
  <si>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</si>
  <si>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</si>
  <si>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</si>
  <si>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</si>
  <si>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</si>
  <si>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</si>
  <si>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</si>
  <si>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</si>
  <si>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</si>
  <si>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</si>
  <si>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</si>
  <si>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</si>
  <si>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</si>
  <si>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</si>
  <si>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</si>
  <si>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</si>
  <si>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</si>
  <si>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</si>
  <si>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</si>
  <si>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</si>
  <si>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</si>
  <si>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</si>
  <si>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</si>
  <si>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</si>
  <si>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</si>
  <si>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</si>
  <si>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</si>
  <si>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</si>
  <si>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</si>
  <si>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</si>
  <si>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</si>
  <si>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</si>
  <si>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</si>
  <si>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</si>
  <si>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</si>
  <si>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</si>
  <si>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</si>
  <si>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</si>
  <si>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</si>
  <si>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</si>
  <si>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</si>
  <si>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</si>
  <si>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</si>
  <si>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</si>
  <si>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</si>
  <si>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</si>
  <si>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</si>
  <si>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</si>
  <si>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</si>
  <si>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</si>
  <si>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</si>
  <si>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</si>
  <si>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</si>
  <si>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</si>
  <si>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</si>
  <si>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</si>
  <si>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</si>
  <si>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</si>
  <si>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</si>
  <si>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</si>
  <si>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</si>
  <si>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</si>
  <si>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</si>
  <si>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</si>
  <si>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</si>
  <si>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</si>
  <si>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</si>
  <si>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</si>
  <si>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</si>
  <si>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</si>
  <si>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</si>
  <si>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</si>
  <si>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</si>
  <si>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</si>
  <si>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</si>
  <si>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</si>
  <si>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</si>
  <si>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</si>
  <si>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</si>
  <si>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</si>
  <si>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</si>
  <si>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</si>
  <si>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</si>
  <si>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</si>
  <si>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</si>
  <si>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</si>
  <si>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</si>
  <si>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</si>
  <si>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</si>
  <si>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</si>
  <si>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</si>
  <si>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</si>
  <si>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</si>
  <si>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</si>
  <si>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</si>
  <si>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</si>
  <si>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</si>
  <si>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</si>
  <si>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</si>
  <si>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</si>
  <si>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</si>
  <si>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</si>
  <si>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</si>
  <si>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</si>
  <si>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</si>
  <si>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</si>
  <si>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</si>
  <si>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</si>
  <si>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</si>
  <si>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</si>
  <si>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</si>
  <si>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</si>
  <si>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</si>
  <si>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</si>
  <si>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</si>
  <si>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</si>
  <si>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</si>
  <si>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</si>
  <si>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</si>
  <si>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</si>
  <si>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</si>
  <si>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</si>
  <si>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</si>
  <si>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</si>
  <si>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</si>
  <si>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</si>
  <si>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</si>
  <si>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</si>
  <si>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</si>
  <si>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</si>
  <si>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</si>
  <si>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</si>
  <si>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</si>
  <si>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</si>
  <si>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</si>
  <si>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</si>
  <si>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</si>
  <si>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</si>
  <si>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</si>
  <si>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</si>
  <si>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</si>
  <si>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</si>
  <si>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</si>
  <si>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</si>
  <si>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</si>
  <si>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</si>
  <si>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</si>
  <si>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</si>
  <si>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</si>
  <si>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</si>
  <si>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</si>
  <si>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</si>
  <si>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</si>
  <si>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</si>
  <si>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</si>
  <si>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</si>
  <si>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</si>
  <si>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</si>
  <si>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</si>
  <si>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</si>
  <si>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</si>
  <si>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</si>
  <si>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</si>
  <si>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</si>
  <si>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</si>
  <si>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</si>
  <si>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</si>
  <si>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</si>
  <si>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</si>
  <si>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</si>
  <si>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</si>
  <si>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</si>
  <si>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</si>
  <si>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</si>
  <si>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</si>
  <si>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</si>
  <si>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</si>
  <si>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</si>
  <si>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</si>
  <si>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</si>
  <si>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</si>
  <si>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</si>
  <si>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</si>
  <si>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</si>
  <si>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</si>
  <si>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</si>
  <si>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</si>
  <si>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</si>
  <si>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</si>
  <si>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</si>
  <si>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</si>
  <si>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</si>
  <si>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</si>
  <si>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</si>
  <si>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</si>
  <si>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</si>
  <si>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</si>
  <si>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</si>
  <si>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</si>
  <si>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</si>
  <si>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</si>
  <si>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</si>
  <si>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</si>
  <si>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</si>
  <si>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</si>
  <si>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</si>
  <si>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</si>
  <si>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</si>
  <si>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</si>
  <si>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</si>
  <si>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</si>
  <si>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</si>
  <si>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</si>
  <si>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</si>
  <si>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</si>
  <si>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</si>
  <si>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</si>
  <si>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</si>
  <si>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</si>
  <si>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</si>
  <si>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</si>
  <si>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</si>
  <si>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</si>
  <si>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</si>
  <si>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</si>
  <si>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</si>
  <si>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</si>
  <si>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</si>
  <si>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</si>
  <si>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</si>
  <si>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</si>
  <si>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</si>
  <si>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</si>
  <si>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</si>
  <si>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</si>
  <si>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</si>
  <si>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</si>
  <si>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</si>
  <si>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</si>
  <si>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</si>
  <si>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</si>
  <si>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</si>
  <si>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</si>
  <si>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</si>
  <si>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</si>
  <si>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</si>
  <si>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</si>
  <si>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</si>
  <si>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</si>
  <si>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</si>
  <si>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</si>
  <si>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</si>
  <si>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</si>
  <si>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</si>
  <si>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</si>
  <si>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</si>
  <si>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</si>
  <si>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</si>
  <si>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</si>
  <si>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</si>
  <si>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</si>
  <si>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</si>
  <si>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</si>
  <si>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</si>
  <si>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</si>
  <si>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</si>
  <si>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</si>
  <si>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</si>
  <si>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</si>
  <si>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</si>
  <si>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</si>
  <si>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</si>
  <si>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</si>
  <si>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</si>
  <si>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</si>
  <si>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</si>
  <si>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</si>
  <si>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</si>
  <si>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</si>
  <si>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</si>
  <si>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</si>
  <si>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</si>
  <si>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</si>
  <si>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</si>
  <si>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</si>
  <si>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</si>
  <si>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</si>
  <si>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</si>
  <si>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</si>
  <si>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</si>
  <si>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</si>
  <si>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</si>
  <si>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</si>
  <si>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</si>
  <si>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</si>
  <si>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</si>
  <si>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</si>
  <si>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</si>
  <si>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</si>
  <si>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</si>
  <si>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</si>
  <si>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</si>
  <si>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</si>
  <si>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</si>
  <si>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</si>
  <si>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</si>
  <si>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</si>
  <si>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</si>
  <si>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</si>
  <si>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</si>
  <si>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</si>
  <si>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</si>
  <si>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</si>
  <si>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</si>
  <si>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</si>
  <si>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</si>
  <si>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</si>
  <si>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</si>
  <si>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</si>
  <si>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</si>
  <si>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</si>
  <si>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</si>
  <si>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</si>
  <si>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</si>
  <si>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</si>
  <si>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</si>
  <si>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</si>
  <si>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</si>
  <si>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</si>
  <si>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</si>
  <si>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</si>
  <si>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</si>
  <si>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</si>
  <si>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</si>
  <si>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</si>
  <si>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</si>
  <si>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</si>
  <si>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</si>
  <si>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</si>
  <si>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</si>
  <si>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</si>
  <si>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</si>
  <si>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</si>
  <si>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</si>
  <si>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</si>
  <si>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</si>
  <si>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</si>
  <si>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</si>
  <si>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</si>
  <si>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</si>
  <si>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</si>
  <si>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</si>
  <si>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</si>
  <si>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</si>
  <si>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</si>
  <si>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</si>
  <si>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</si>
  <si>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</si>
  <si>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</si>
  <si>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</si>
  <si>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</si>
  <si>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</si>
  <si>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</si>
  <si>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</si>
  <si>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</si>
  <si>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</si>
  <si>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</si>
  <si>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</si>
  <si>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</si>
  <si>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</si>
  <si>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</si>
  <si>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</si>
  <si>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</si>
  <si>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</si>
  <si>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</si>
  <si>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</si>
  <si>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</si>
  <si>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</si>
  <si>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</si>
  <si>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</si>
  <si>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</si>
  <si>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</si>
  <si>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</si>
  <si>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</si>
  <si>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</si>
  <si>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</si>
  <si>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</si>
  <si>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</si>
  <si>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</si>
  <si>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</si>
  <si>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</si>
  <si>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</si>
  <si>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</si>
  <si>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</si>
  <si>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</si>
  <si>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</si>
  <si>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</si>
  <si>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</si>
  <si>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</si>
  <si>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</si>
  <si>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</si>
  <si>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</si>
  <si>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</si>
  <si>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</si>
  <si>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</si>
  <si>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</si>
  <si>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</si>
  <si>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</si>
  <si>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</si>
  <si>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</si>
  <si>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</si>
  <si>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</si>
  <si>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</si>
  <si>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</si>
  <si>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</si>
  <si>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</si>
  <si>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</si>
  <si>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</si>
  <si>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</si>
  <si>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</si>
  <si>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</si>
  <si>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</si>
  <si>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</si>
  <si>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</si>
  <si>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</si>
  <si>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</si>
  <si>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</si>
  <si>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</si>
  <si>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</si>
  <si>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</si>
  <si>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</si>
  <si>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</si>
  <si>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</si>
  <si>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</si>
  <si>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</si>
  <si>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</si>
  <si>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</si>
  <si>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</si>
  <si>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</si>
  <si>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</si>
  <si>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</si>
  <si>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</si>
  <si>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</si>
  <si>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</si>
  <si>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</si>
  <si>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</si>
  <si>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</si>
  <si>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</si>
  <si>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</si>
  <si>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</si>
  <si>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</si>
  <si>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</si>
  <si>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</si>
  <si>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</si>
  <si>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</si>
  <si>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</si>
  <si>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</si>
  <si>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</si>
  <si>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</si>
  <si>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</si>
  <si>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</si>
  <si>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</si>
  <si>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</si>
  <si>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</si>
  <si>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</si>
  <si>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</si>
  <si>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</si>
  <si>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</si>
  <si>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</si>
  <si>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</si>
  <si>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</si>
  <si>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</si>
  <si>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</si>
  <si>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</si>
  <si>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</si>
  <si>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</si>
  <si>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</si>
  <si>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</si>
  <si>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</si>
  <si>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</si>
  <si>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</si>
  <si>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</si>
  <si>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</si>
  <si>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</si>
  <si>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</si>
  <si>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</si>
  <si>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</si>
  <si>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</si>
  <si>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</si>
  <si>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</si>
  <si>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</si>
  <si>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</si>
  <si>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</si>
  <si>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</si>
  <si>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</si>
  <si>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</si>
  <si>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</si>
  <si>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</si>
  <si>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</si>
  <si>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</si>
  <si>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</si>
  <si>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</si>
  <si>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</si>
  <si>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</si>
  <si>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</si>
  <si>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</si>
  <si>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</si>
  <si>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</si>
  <si>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</si>
  <si>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</si>
  <si>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</si>
  <si>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</si>
  <si>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</si>
  <si>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</si>
  <si>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</si>
  <si>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</si>
  <si>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</si>
  <si>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</si>
  <si>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</si>
  <si>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</si>
  <si>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</si>
  <si>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</si>
  <si>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</si>
  <si>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</si>
  <si>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</si>
  <si>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</si>
  <si>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</si>
  <si>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</si>
  <si>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</si>
  <si>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</si>
  <si>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</si>
  <si>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</si>
  <si>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</si>
  <si>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</si>
  <si>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</si>
  <si>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</si>
  <si>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</si>
  <si>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</si>
  <si>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</si>
  <si>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</si>
  <si>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</si>
  <si>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</si>
  <si>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</si>
  <si>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</si>
  <si>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</si>
  <si>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</si>
  <si>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</si>
  <si>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</si>
  <si>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</si>
  <si>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</si>
  <si>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</si>
  <si>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</si>
  <si>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</si>
  <si>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</si>
  <si>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</si>
  <si>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</si>
  <si>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</si>
  <si>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</si>
  <si>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</si>
  <si>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</si>
  <si>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</si>
  <si>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</si>
  <si>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</si>
  <si>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</si>
  <si>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</si>
  <si>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</si>
  <si>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</si>
  <si>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</si>
  <si>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</si>
  <si>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</si>
  <si>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</si>
  <si>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</si>
  <si>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</si>
  <si>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</si>
  <si>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</si>
  <si>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</si>
  <si>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</si>
  <si>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</si>
  <si>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</si>
  <si>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</si>
  <si>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</si>
  <si>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</si>
  <si>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</si>
  <si>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</si>
  <si>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</si>
  <si>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</si>
  <si>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</si>
  <si>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</si>
  <si>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</si>
  <si>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</si>
  <si>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</si>
  <si>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</si>
  <si>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</si>
  <si>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</si>
  <si>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</si>
  <si>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</si>
  <si>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</si>
  <si>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</si>
  <si>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</si>
  <si>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</si>
  <si>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</si>
  <si>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</si>
  <si>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</si>
  <si>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</si>
  <si>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</si>
  <si>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</si>
  <si>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</si>
  <si>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</si>
  <si>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</si>
  <si>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</si>
  <si>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</si>
  <si>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</si>
  <si>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</si>
  <si>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</si>
  <si>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</si>
  <si>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</si>
  <si>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</si>
  <si>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</si>
  <si>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</si>
  <si>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</si>
  <si>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</si>
  <si>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</si>
  <si>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</si>
  <si>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</si>
  <si>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</si>
  <si>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</si>
  <si>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</si>
  <si>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</si>
  <si>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</si>
  <si>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</si>
  <si>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</si>
  <si>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</si>
  <si>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</si>
  <si>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</si>
  <si>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</si>
  <si>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</si>
  <si>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</si>
  <si>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</si>
  <si>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</si>
  <si>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</si>
  <si>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</si>
  <si>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</si>
  <si>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</si>
  <si>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</si>
  <si>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</si>
  <si>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</si>
  <si>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</si>
  <si>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</si>
  <si>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</si>
  <si>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</si>
  <si>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</si>
  <si>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</si>
  <si>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</si>
  <si>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</si>
  <si>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</si>
  <si>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</si>
  <si>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</si>
  <si>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</si>
  <si>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</si>
  <si>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</si>
  <si>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</si>
  <si>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</si>
  <si>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</si>
  <si>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</si>
  <si>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</si>
  <si>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</si>
  <si>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</si>
  <si>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</si>
  <si>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</si>
  <si>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</si>
  <si>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</si>
  <si>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</si>
  <si>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</si>
  <si>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</si>
  <si>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</si>
  <si>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</si>
  <si>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</si>
  <si>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</si>
  <si>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</si>
  <si>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</si>
  <si>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</si>
  <si>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</si>
  <si>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</si>
  <si>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</si>
  <si>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</si>
  <si>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</si>
  <si>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</si>
  <si>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</si>
  <si>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</si>
  <si>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</si>
  <si>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</si>
  <si>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</si>
  <si>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</si>
  <si>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</si>
  <si>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</si>
  <si>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</si>
  <si>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</si>
  <si>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</si>
  <si>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</si>
  <si>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</si>
  <si>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</si>
  <si>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</si>
  <si>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</si>
  <si>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</si>
  <si>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</si>
  <si>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</si>
  <si>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</si>
  <si>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</si>
  <si>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</si>
  <si>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</si>
  <si>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</si>
  <si>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</si>
  <si>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</si>
  <si>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</si>
  <si>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</si>
  <si>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</si>
  <si>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</si>
  <si>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</si>
  <si>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</si>
  <si>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</si>
  <si>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</si>
  <si>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</si>
  <si>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</si>
  <si>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</si>
  <si>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</si>
  <si>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</si>
  <si>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</si>
  <si>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</si>
  <si>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</si>
  <si>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</si>
  <si>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</si>
  <si>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</si>
  <si>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</si>
  <si>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</si>
  <si>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</si>
  <si>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</si>
  <si>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</si>
  <si>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</si>
  <si>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</si>
  <si>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</si>
  <si>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</si>
  <si>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</si>
  <si>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</si>
  <si>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</si>
  <si>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</si>
  <si>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</si>
  <si>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</si>
  <si>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</si>
  <si>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</si>
  <si>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</si>
  <si>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</si>
  <si>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</si>
  <si>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</si>
  <si>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</si>
  <si>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</si>
  <si>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</si>
  <si>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</si>
  <si>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</si>
  <si>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</si>
  <si>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</si>
  <si>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</si>
  <si>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</si>
  <si>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</si>
  <si>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</si>
  <si>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</si>
  <si>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</si>
  <si>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</si>
  <si>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</si>
  <si>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</si>
  <si>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</si>
  <si>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</si>
  <si>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</si>
  <si>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</si>
  <si>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</si>
  <si>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</si>
  <si>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</si>
  <si>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</si>
  <si>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</si>
  <si>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</si>
  <si>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</si>
  <si>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</si>
  <si>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</si>
  <si>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</si>
  <si>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</si>
  <si>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</si>
  <si>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</si>
  <si>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</si>
  <si>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</si>
  <si>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</si>
  <si>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</si>
  <si>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</si>
  <si>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</si>
  <si>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</si>
  <si>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</si>
  <si>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</si>
  <si>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</si>
  <si>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</si>
  <si>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</si>
  <si>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</si>
  <si>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</si>
  <si>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</si>
  <si>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</si>
  <si>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</si>
  <si>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</si>
  <si>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</si>
  <si>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</si>
  <si>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</si>
  <si>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</si>
  <si>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</si>
  <si>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</si>
  <si>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</si>
  <si>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</si>
  <si>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</si>
  <si>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</si>
  <si>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</si>
  <si>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</si>
  <si>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</si>
  <si>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</si>
  <si>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</si>
  <si>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</si>
  <si>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</si>
  <si>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</si>
  <si>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</si>
  <si>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</si>
  <si>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</si>
  <si>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</si>
  <si>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</si>
  <si>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</si>
  <si>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</si>
  <si>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</si>
  <si>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</si>
  <si>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</si>
  <si>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</si>
  <si>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</si>
  <si>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</si>
  <si>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</si>
  <si>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</si>
  <si>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</si>
  <si>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</si>
  <si>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</si>
  <si>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</si>
  <si>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</si>
  <si>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</si>
  <si>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</si>
  <si>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</si>
  <si>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</si>
  <si>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</si>
  <si>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</si>
  <si>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</si>
  <si>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</si>
  <si>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</si>
  <si>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</si>
  <si>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</si>
  <si>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</si>
  <si>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</si>
  <si>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</si>
  <si>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</si>
  <si>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</si>
  <si>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</si>
  <si>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</si>
  <si>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</si>
  <si>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</si>
  <si>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</si>
  <si>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</si>
  <si>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</si>
  <si>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</si>
  <si>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</si>
  <si>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</si>
  <si>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</si>
  <si>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</si>
  <si>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</si>
  <si>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</si>
  <si>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</si>
  <si>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</si>
  <si>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</si>
  <si>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</si>
  <si>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</si>
  <si>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</si>
  <si>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</si>
  <si>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</si>
  <si>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</si>
  <si>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</si>
  <si>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</si>
  <si>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</si>
  <si>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</si>
  <si>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</si>
  <si>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</si>
  <si>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</si>
  <si>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</si>
  <si>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</si>
  <si>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</si>
  <si>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</si>
  <si>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</si>
  <si>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</si>
  <si>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</si>
  <si>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</si>
  <si>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</si>
  <si>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</si>
  <si>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</si>
  <si>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</si>
  <si>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</si>
  <si>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</si>
  <si>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</si>
  <si>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</si>
  <si>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</si>
  <si>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</si>
  <si>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</si>
  <si>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</si>
  <si>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</si>
  <si>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</si>
  <si>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</si>
  <si>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</si>
  <si>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</si>
  <si>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</si>
  <si>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</si>
  <si>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</si>
  <si>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</si>
  <si>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</si>
  <si>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</si>
  <si>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</si>
  <si>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</si>
  <si>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</si>
  <si>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</si>
  <si>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</si>
  <si>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</si>
  <si>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</si>
  <si>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</si>
  <si>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</si>
  <si>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</si>
  <si>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</si>
  <si>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</si>
  <si>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</si>
  <si>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</si>
  <si>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</si>
  <si>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</si>
  <si>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</si>
  <si>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</si>
  <si>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</si>
  <si>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</si>
  <si>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</si>
  <si>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</si>
  <si>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</si>
  <si>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</si>
  <si>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</si>
  <si>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</si>
  <si>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</si>
  <si>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</si>
  <si>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</si>
  <si>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</si>
  <si>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</si>
  <si>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</si>
  <si>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</si>
  <si>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</si>
  <si>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</si>
  <si>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</si>
  <si>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</si>
  <si>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</si>
  <si>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</si>
  <si>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</si>
  <si>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</si>
  <si>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</si>
  <si>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</si>
  <si>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</si>
  <si>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</si>
  <si>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</si>
  <si>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</si>
  <si>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</si>
  <si>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</si>
  <si>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</si>
  <si>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</si>
  <si>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</si>
  <si>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</si>
  <si>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</si>
  <si>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</si>
  <si>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</si>
  <si>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</si>
  <si>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</si>
  <si>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</si>
  <si>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</si>
  <si>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</si>
  <si>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</si>
  <si>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</si>
  <si>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</si>
  <si>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</si>
  <si>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</si>
  <si>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</si>
  <si>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</si>
  <si>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</si>
  <si>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</si>
  <si>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</si>
  <si>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</si>
  <si>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</si>
  <si>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</si>
  <si>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</si>
  <si>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</si>
  <si>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</si>
  <si>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</si>
  <si>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</si>
  <si>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</si>
  <si>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</si>
  <si>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</si>
  <si>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</si>
  <si>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</si>
  <si>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</si>
  <si>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</si>
  <si>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</si>
  <si>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</si>
  <si>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</si>
  <si>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</si>
  <si>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</si>
  <si>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</si>
  <si>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</si>
  <si>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</si>
  <si>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</si>
  <si>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</si>
  <si>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</si>
  <si>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</si>
  <si>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</si>
  <si>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</si>
  <si>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</si>
  <si>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</si>
  <si>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</si>
  <si>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</si>
  <si>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</si>
  <si>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</si>
  <si>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</si>
  <si>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</si>
  <si>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</si>
  <si>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</si>
  <si>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</si>
  <si>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</si>
  <si>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</si>
  <si>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</si>
  <si>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</si>
  <si>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</si>
  <si>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</si>
  <si>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</si>
  <si>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</si>
  <si>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</si>
  <si>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</si>
  <si>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</si>
  <si>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</si>
  <si>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</si>
  <si>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</si>
  <si>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</si>
  <si>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</si>
  <si>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</si>
  <si>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</si>
  <si>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</si>
  <si>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</si>
  <si>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</si>
  <si>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</si>
  <si>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</si>
  <si>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</si>
  <si>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</si>
  <si>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</si>
  <si>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</si>
  <si>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</si>
  <si>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</si>
  <si>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</si>
  <si>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</si>
  <si>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</si>
  <si>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</si>
  <si>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</si>
  <si>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</si>
  <si>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</si>
  <si>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</si>
  <si>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</si>
  <si>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</si>
  <si>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</si>
  <si>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</si>
  <si>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</si>
  <si>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</si>
  <si>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</si>
  <si>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</si>
  <si>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</si>
  <si>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</si>
  <si>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</si>
  <si>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</si>
  <si>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</si>
  <si>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</si>
  <si>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</si>
  <si>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</si>
  <si>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</si>
  <si>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</si>
  <si>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</si>
  <si>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</si>
  <si>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</si>
  <si>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</si>
  <si>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</si>
  <si>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</si>
  <si>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</si>
  <si>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</si>
  <si>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</si>
  <si>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</si>
  <si>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</si>
  <si>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</si>
  <si>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</si>
  <si>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</si>
  <si>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</si>
  <si>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</si>
  <si>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</si>
  <si>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</si>
  <si>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</si>
  <si>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</si>
  <si>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</si>
  <si>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</si>
  <si>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</si>
  <si>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</si>
  <si>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</si>
  <si>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</si>
  <si>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</si>
  <si>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</si>
  <si>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</si>
  <si>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</si>
  <si>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</si>
  <si>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</si>
  <si>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</si>
  <si>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</si>
  <si>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</si>
  <si>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</si>
  <si>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</si>
  <si>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</si>
  <si>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</si>
  <si>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</si>
  <si>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</si>
  <si>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</si>
  <si>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</si>
  <si>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</si>
  <si>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</si>
  <si>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</si>
  <si>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</si>
  <si>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</si>
  <si>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</si>
  <si>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</si>
  <si>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</si>
  <si>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</si>
  <si>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</si>
  <si>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</si>
  <si>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</si>
  <si>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</si>
  <si>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</si>
  <si>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</si>
  <si>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</si>
  <si>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</si>
  <si>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</si>
  <si>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</si>
  <si>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</si>
  <si>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</si>
  <si>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</si>
  <si>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</si>
  <si>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</si>
  <si>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</si>
  <si>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</si>
  <si>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</si>
  <si>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</si>
  <si>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</si>
  <si>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</si>
  <si>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</si>
  <si>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</si>
  <si>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</si>
  <si>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</si>
  <si>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</si>
  <si>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</si>
  <si>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</si>
  <si>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</si>
  <si>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</si>
  <si>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</si>
  <si>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</si>
  <si>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</si>
  <si>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</si>
  <si>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</si>
  <si>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</si>
  <si>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</si>
  <si>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</si>
  <si>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</si>
  <si>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</si>
  <si>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</si>
  <si>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</si>
  <si>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</si>
  <si>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</si>
  <si>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</si>
  <si>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</si>
  <si>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</si>
  <si>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</si>
  <si>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</si>
  <si>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</si>
  <si>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</si>
  <si>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</si>
  <si>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</si>
  <si>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</si>
  <si>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</si>
  <si>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</si>
  <si>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</si>
  <si>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</si>
  <si>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</si>
  <si>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</si>
  <si>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</si>
  <si>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</si>
  <si>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</si>
  <si>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</si>
  <si>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</si>
  <si>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</si>
  <si>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</si>
  <si>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</si>
  <si>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</si>
  <si>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</si>
  <si>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</si>
  <si>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</si>
  <si>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</si>
  <si>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</si>
  <si>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</si>
  <si>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</si>
  <si>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</si>
  <si>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</si>
  <si>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</si>
  <si>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</si>
  <si>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</si>
  <si>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</si>
  <si>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</si>
  <si>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</si>
  <si>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</si>
  <si>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</si>
  <si>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</si>
  <si>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</si>
  <si>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</si>
  <si>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</si>
  <si>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</si>
  <si>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</si>
  <si>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</si>
  <si>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</si>
  <si>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</si>
  <si>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</si>
  <si>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</si>
  <si>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</si>
  <si>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</si>
  <si>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</si>
  <si>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</si>
  <si>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</si>
  <si>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</si>
  <si>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</si>
  <si>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</si>
  <si>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</si>
  <si>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</si>
  <si>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</si>
  <si>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</si>
  <si>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</si>
  <si>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</si>
  <si>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</si>
  <si>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</si>
  <si>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</si>
  <si>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</si>
  <si>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</si>
  <si>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</si>
  <si>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</si>
  <si>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</si>
  <si>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</si>
  <si>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</si>
  <si>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</si>
  <si>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</si>
  <si>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</si>
  <si>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</si>
  <si>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</si>
  <si>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</si>
  <si>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</si>
  <si>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</si>
  <si>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</si>
  <si>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</si>
  <si>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</si>
  <si>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</si>
  <si>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</si>
  <si>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</si>
  <si>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</si>
  <si>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</si>
  <si>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</si>
  <si>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</si>
  <si>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</si>
  <si>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</si>
  <si>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</si>
  <si>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</si>
  <si>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</si>
  <si>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</si>
  <si>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</si>
  <si>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</si>
  <si>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</si>
  <si>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</si>
  <si>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</si>
  <si>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</si>
  <si>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</si>
  <si>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</si>
  <si>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</si>
  <si>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</si>
  <si>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</si>
  <si>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</si>
  <si>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</si>
  <si>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</si>
  <si>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</si>
  <si>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</si>
  <si>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</si>
  <si>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</si>
  <si>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</si>
  <si>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</si>
  <si>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</si>
  <si>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</si>
  <si>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</si>
  <si>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</si>
  <si>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</si>
  <si>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</si>
  <si>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</si>
  <si>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</si>
  <si>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</si>
  <si>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</si>
  <si>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</si>
  <si>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</si>
  <si>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</si>
  <si>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</si>
  <si>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</si>
  <si>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</si>
  <si>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</si>
  <si>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</si>
  <si>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</si>
  <si>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</si>
  <si>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</si>
  <si>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</si>
  <si>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</si>
  <si>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</si>
  <si>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</si>
  <si>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</si>
  <si>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</si>
  <si>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</si>
  <si>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</si>
  <si>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</si>
  <si>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</si>
  <si>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</si>
  <si>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</si>
  <si>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</si>
  <si>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</si>
  <si>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</si>
  <si>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</si>
  <si>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</si>
  <si>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</si>
  <si>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</si>
  <si>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</si>
  <si>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</si>
  <si>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</si>
  <si>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</si>
  <si>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</si>
  <si>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</si>
  <si>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</si>
  <si>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</si>
  <si>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</si>
  <si>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</si>
  <si>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</si>
  <si>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</si>
  <si>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</si>
  <si>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</si>
  <si>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</si>
  <si>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</si>
  <si>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</si>
  <si>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</si>
  <si>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</si>
  <si>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</si>
  <si>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</si>
  <si>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</si>
  <si>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</si>
  <si>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</si>
  <si>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</si>
  <si>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</si>
  <si>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</si>
  <si>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</si>
  <si>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</si>
  <si>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</si>
  <si>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</si>
  <si>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</si>
  <si>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</si>
  <si>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</si>
  <si>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</si>
  <si>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</si>
  <si>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</si>
  <si>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</si>
  <si>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</si>
  <si>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</si>
  <si>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</si>
  <si>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</si>
  <si>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</si>
  <si>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</si>
  <si>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</si>
  <si>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</si>
  <si>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</si>
  <si>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</si>
  <si>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</si>
  <si>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</si>
  <si>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</si>
  <si>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</si>
  <si>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</si>
  <si>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</si>
  <si>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</si>
  <si>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</si>
  <si>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</si>
  <si>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</si>
  <si>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</si>
  <si>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</si>
  <si>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</si>
  <si>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</si>
  <si>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</si>
  <si>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</si>
  <si>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</si>
  <si>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</si>
  <si>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</si>
  <si>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</si>
  <si>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</si>
  <si>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</si>
  <si>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</si>
  <si>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</si>
  <si>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</si>
  <si>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</si>
  <si>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</si>
  <si>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</si>
  <si>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</si>
  <si>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</si>
  <si>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</si>
  <si>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</si>
  <si>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</si>
  <si>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</si>
  <si>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</si>
  <si>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</si>
  <si>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</si>
  <si>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</si>
  <si>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</si>
  <si>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</si>
  <si>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</si>
  <si>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</si>
  <si>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</si>
  <si>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</si>
  <si>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</si>
  <si>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</si>
  <si>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</si>
  <si>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</si>
  <si>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</si>
  <si>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</si>
  <si>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</si>
  <si>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</si>
  <si>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</si>
  <si>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</si>
  <si>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</si>
  <si>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</si>
  <si>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</si>
  <si>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</si>
  <si>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</si>
  <si>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</si>
  <si>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</si>
  <si>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</si>
  <si>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</si>
  <si>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</si>
  <si>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</si>
  <si>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</si>
  <si>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</si>
  <si>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</si>
  <si>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</si>
  <si>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</si>
  <si>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</si>
  <si>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</si>
  <si>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</si>
  <si>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</si>
  <si>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</si>
  <si>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</si>
  <si>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</si>
  <si>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</si>
  <si>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</si>
  <si>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</si>
  <si>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</si>
  <si>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</si>
  <si>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</si>
  <si>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</si>
  <si>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</si>
  <si>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</si>
  <si>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</si>
  <si>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</si>
  <si>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</si>
  <si>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</si>
  <si>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</si>
  <si>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</si>
  <si>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</si>
  <si>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</si>
  <si>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</si>
  <si>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</si>
  <si>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</si>
  <si>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</si>
  <si>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</si>
  <si>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</si>
  <si>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</si>
  <si>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</si>
  <si>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</si>
  <si>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</si>
  <si>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</si>
  <si>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</si>
  <si>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</si>
  <si>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</si>
  <si>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</si>
  <si>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</si>
  <si>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</si>
  <si>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</si>
  <si>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</si>
  <si>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</si>
  <si>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</si>
  <si>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</si>
  <si>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</si>
  <si>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</si>
  <si>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</si>
  <si>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</si>
  <si>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</si>
  <si>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</si>
  <si>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</si>
  <si>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</si>
  <si>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</si>
  <si>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</si>
  <si>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</si>
  <si>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</si>
  <si>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</si>
  <si>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</si>
  <si>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</si>
  <si>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</si>
  <si>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</si>
  <si>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</si>
  <si>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</si>
  <si>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</si>
  <si>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</si>
  <si>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</si>
  <si>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</si>
  <si>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</si>
  <si>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</si>
  <si>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</si>
  <si>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</si>
  <si>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</si>
  <si>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</si>
  <si>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</si>
  <si>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</si>
  <si>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</si>
  <si>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</si>
  <si>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</si>
  <si>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</si>
  <si>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</si>
  <si>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</si>
  <si>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</si>
  <si>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</si>
  <si>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</si>
  <si>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</si>
  <si>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</si>
  <si>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</si>
  <si>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</si>
  <si>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</si>
  <si>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</si>
  <si>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</si>
  <si>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</si>
  <si>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</si>
  <si>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</si>
  <si>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</si>
  <si>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</si>
  <si>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</si>
  <si>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</si>
  <si>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</si>
  <si>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</si>
  <si>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</si>
  <si>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</si>
  <si>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</si>
  <si>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</si>
  <si>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</si>
  <si>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</si>
  <si>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</si>
  <si>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</si>
  <si>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</si>
  <si>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</si>
  <si>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</si>
  <si>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</si>
  <si>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</si>
  <si>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</si>
  <si>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</si>
  <si>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</si>
  <si>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</si>
  <si>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</si>
  <si>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</si>
  <si>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</si>
  <si>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</si>
  <si>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</si>
  <si>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</si>
  <si>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</si>
  <si>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</si>
  <si>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</si>
  <si>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</si>
  <si>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</si>
  <si>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</si>
  <si>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</si>
  <si>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</si>
  <si>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</si>
  <si>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</si>
  <si>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</si>
  <si>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</si>
  <si>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</si>
  <si>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</si>
  <si>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</si>
  <si>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</si>
  <si>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3"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</si>
  <si>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</si>
  <si>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</si>
  <si>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</si>
  <si>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</si>
  <si>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</si>
  <si>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</si>
  <si>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</si>
  <si>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</si>
  <si>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</si>
  <si>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</si>
  <si>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</si>
  <si>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</si>
  <si>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</si>
  <si>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</si>
  <si>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</si>
  <si>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</si>
  <si>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</si>
  <si>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</si>
  <si>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</si>
  <si>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</si>
  <si>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</si>
  <si>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</si>
  <si>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</si>
  <si>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</si>
  <si>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</si>
  <si>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</si>
  <si>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</si>
  <si>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</si>
  <si>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</si>
  <si>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</si>
  <si>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</si>
  <si>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</si>
  <si>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</si>
  <si>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</si>
  <si>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</si>
  <si>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</si>
  <si>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</si>
  <si>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</si>
  <si>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</si>
  <si>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</si>
  <si>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</si>
  <si>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</si>
  <si>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</si>
  <si>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</si>
  <si>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</si>
  <si>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</si>
  <si>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</si>
  <si>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</si>
  <si>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</si>
  <si>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</si>
  <si>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</si>
  <si>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</si>
  <si>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</si>
  <si>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</si>
  <si>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</si>
  <si>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</si>
  <si>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</si>
  <si>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</si>
  <si>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</si>
  <si>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</si>
  <si>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</si>
  <si>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</si>
  <si>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</si>
  <si>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</si>
  <si>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</si>
  <si>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</si>
  <si>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</si>
  <si>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</si>
  <si>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</si>
  <si>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</si>
  <si>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</si>
  <si>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</si>
  <si>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</si>
  <si>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</si>
  <si>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</si>
  <si>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</si>
  <si>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</si>
  <si>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</si>
  <si>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</si>
  <si>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3" type="noConversion"/>
  </si>
  <si>
    <t>单价</t>
    <phoneticPr fontId="143" type="noConversion"/>
  </si>
  <si>
    <t>是</t>
  </si>
  <si>
    <t>3-2008</t>
    <phoneticPr fontId="3" type="noConversion"/>
  </si>
  <si>
    <t>地上</t>
  </si>
  <si>
    <t>3-2008</t>
    <phoneticPr fontId="7" type="noConversion"/>
  </si>
  <si>
    <t>直线成新度</t>
    <phoneticPr fontId="3" type="noConversion"/>
  </si>
  <si>
    <t>观察成新度</t>
    <phoneticPr fontId="3" type="noConversion"/>
  </si>
  <si>
    <t>钢混</t>
  </si>
  <si>
    <t>非生产用房</t>
  </si>
  <si>
    <t>押一</t>
  </si>
  <si>
    <t>按租金收入计税</t>
  </si>
  <si>
    <t>售价</t>
  </si>
  <si>
    <t>天元港中心</t>
    <phoneticPr fontId="3" type="noConversion"/>
  </si>
  <si>
    <t>佳程广场</t>
    <phoneticPr fontId="3" type="noConversion"/>
  </si>
  <si>
    <t>南银大厦</t>
    <phoneticPr fontId="3" type="noConversion"/>
  </si>
  <si>
    <t>正常</t>
    <phoneticPr fontId="32" type="noConversion"/>
  </si>
  <si>
    <t>办公</t>
    <phoneticPr fontId="32" type="noConversion"/>
  </si>
  <si>
    <t>较好</t>
    <phoneticPr fontId="32" type="noConversion"/>
  </si>
  <si>
    <t>七通</t>
    <phoneticPr fontId="32" type="noConversion"/>
  </si>
  <si>
    <t>中区</t>
    <phoneticPr fontId="32" type="noConversion"/>
  </si>
  <si>
    <t>高区</t>
    <phoneticPr fontId="32" type="noConversion"/>
  </si>
  <si>
    <t>低区</t>
    <phoneticPr fontId="32"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</si>
  <si>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</si>
  <si>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</si>
  <si>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</si>
  <si>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</si>
  <si>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</si>
  <si>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</si>
  <si>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典型户型修正</t>
    <phoneticPr fontId="16" type="noConversion"/>
  </si>
  <si>
    <t>情况4</t>
  </si>
  <si>
    <t>转让取得</t>
  </si>
  <si>
    <t>非个人房产</t>
  </si>
  <si>
    <t>2016年5月1日前购买</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</si>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</sst>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5" fillId="0" borderId="81" xfId="0" applyFont="1" applyBorder="1" applyAlignment="1">
      <alignment horizontal="center" vertical="center"/>
    </xf>
    <xf numFmtId="0" fontId="99" fillId="0" borderId="0" xfId="0" applyFont="1">
      <alignment vertical="center"/>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0" fillId="5" borderId="0" xfId="0" applyFill="1">
      <alignment vertical="center"/>
    </xf>
    <xf numFmtId="0" fontId="0" fillId="9" borderId="0" xfId="0" applyFill="1">
      <alignment vertical="center"/>
    </xf>
    <xf numFmtId="0" fontId="0" fillId="17"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27" xfId="0" applyFont="1" applyBorder="1" applyAlignment="1">
      <alignment horizontal="center" vertical="center"/>
    </xf>
    <xf numFmtId="0" fontId="255" fillId="0" borderId="80" xfId="0" applyFont="1" applyBorder="1" applyAlignment="1">
      <alignment horizontal="center" vertical="center"/>
    </xf>
    <xf numFmtId="0" fontId="255"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估价对象为北京市出让国有建设用地使用权及在建建筑物房地产，为所有。根据《国有土地使用证》[]，估价对象（分摊）出让国有建设用地使用权面积为21.35平方米，建筑面积为440.53平方米。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21.35平方米，规划建筑面积为440.53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164824</v>
      </c>
    </row>
    <row r="21" spans="1:2" s="1592" customFormat="1">
      <c r="A21" s="1590" t="s">
        <v>1230</v>
      </c>
      <c r="B21" s="1591">
        <f ca="1">'预评函-2'!D7</f>
        <v>3741493</v>
      </c>
    </row>
    <row r="22" spans="1:2" s="1592" customFormat="1">
      <c r="A22" s="1590" t="s">
        <v>1231</v>
      </c>
      <c r="B22" s="1591" t="str">
        <f ca="1">'预评函-2'!D6</f>
        <v>壹拾陆亿肆仟捌佰贰拾肆万元整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164824</v>
      </c>
    </row>
    <row r="31" spans="1:2" s="1592" customFormat="1">
      <c r="A31" s="1590" t="s">
        <v>1269</v>
      </c>
      <c r="B31" s="1591">
        <f ca="1">'预评函-2'!D15</f>
        <v>3741493</v>
      </c>
    </row>
    <row r="32" spans="1:2" s="1592" customFormat="1">
      <c r="A32" s="1590" t="s">
        <v>1236</v>
      </c>
      <c r="B32" s="1591" t="str">
        <f ca="1">'预评函-2'!D14</f>
        <v>壹拾陆亿肆仟捌佰贰拾肆万元整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440.53</v>
      </c>
    </row>
    <row r="44" spans="1:2" s="1592" customFormat="1">
      <c r="A44" s="1590" t="s">
        <v>1268</v>
      </c>
      <c r="B44" s="1591" t="str">
        <f>'预评函-3'!C2</f>
        <v>(分摊)土地面积</v>
      </c>
    </row>
    <row r="45" spans="1:2" s="1592" customFormat="1">
      <c r="A45" s="1590" t="s">
        <v>1240</v>
      </c>
      <c r="B45" s="1591">
        <f>'预评函-3'!C4</f>
        <v>21.35</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3188</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0" t="s">
        <v>860</v>
      </c>
      <c r="C54" s="2017" t="s">
        <v>1276</v>
      </c>
    </row>
    <row r="55" spans="1:4">
      <c r="A55" s="3041"/>
      <c r="B55" s="2020" t="s">
        <v>861</v>
      </c>
      <c r="C55" s="2017" t="s">
        <v>1277</v>
      </c>
    </row>
    <row r="56" spans="1:4">
      <c r="A56" s="3041"/>
      <c r="B56" s="2020" t="s">
        <v>862</v>
      </c>
      <c r="C56" s="2017" t="s">
        <v>1281</v>
      </c>
    </row>
    <row r="57" spans="1:4">
      <c r="A57" s="304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3" sqref="G2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3"/>
      <c r="D1" s="3043"/>
      <c r="E1" s="3043"/>
      <c r="F1" s="3043"/>
      <c r="G1" s="3043"/>
      <c r="H1" s="3043"/>
      <c r="I1" s="304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5"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46"/>
      <c r="E9" s="2057"/>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2"/>
      <c r="C16" s="3053"/>
      <c r="D16" s="3054"/>
      <c r="E16" s="2084" t="s">
        <v>1796</v>
      </c>
      <c r="F16" s="3055"/>
      <c r="G16" s="3056"/>
      <c r="H16" s="3056"/>
      <c r="I16" s="3057"/>
      <c r="J16" s="2027"/>
      <c r="K16" s="2081"/>
      <c r="L16" s="2082"/>
      <c r="M16" s="2082"/>
      <c r="N16" s="2083"/>
      <c r="O16" s="2082"/>
      <c r="P16" s="2083"/>
      <c r="Q16" s="2027"/>
      <c r="R16" s="2027"/>
    </row>
    <row r="17" spans="1:22" ht="18" customHeight="1">
      <c r="A17" s="2085" t="s">
        <v>1797</v>
      </c>
      <c r="B17" s="2033" t="s">
        <v>1798</v>
      </c>
      <c r="C17" s="1054">
        <f>'数据-汇总表'!E3</f>
        <v>440.53</v>
      </c>
      <c r="D17" s="2086" t="s">
        <v>1799</v>
      </c>
      <c r="E17" s="3058" t="s">
        <v>1800</v>
      </c>
      <c r="F17" s="3059"/>
      <c r="G17" s="3059"/>
      <c r="H17" s="3059"/>
      <c r="I17" s="3060"/>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21.35</v>
      </c>
      <c r="D18" s="2089" t="s">
        <v>1799</v>
      </c>
      <c r="E18" s="3061" t="s">
        <v>1803</v>
      </c>
      <c r="F18" s="3062"/>
      <c r="G18" s="3062"/>
      <c r="H18" s="3062"/>
      <c r="I18" s="3063"/>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8" t="s">
        <v>1808</v>
      </c>
      <c r="C20" s="3049"/>
      <c r="D20" s="3050" t="s">
        <v>1809</v>
      </c>
      <c r="E20" s="3051"/>
      <c r="F20" s="2096" t="s">
        <v>1810</v>
      </c>
      <c r="G20" s="2040"/>
      <c r="H20" s="2040"/>
      <c r="I20" s="2040"/>
      <c r="J20" s="2040"/>
      <c r="K20" s="304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5"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5"/>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5"/>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6"/>
      <c r="B30" s="2033" t="s">
        <v>1827</v>
      </c>
      <c r="C30" s="3067"/>
      <c r="D30" s="306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9"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4" t="s">
        <v>1837</v>
      </c>
      <c r="T34" s="2133" t="str">
        <f>NUMBERSTRING(7-K34,1)&amp;"通"</f>
        <v>七通</v>
      </c>
      <c r="U34" s="2027"/>
      <c r="V34" s="2027"/>
    </row>
    <row r="35" spans="1:22" ht="18" customHeight="1">
      <c r="A35" s="2134"/>
      <c r="B35" s="3071" t="s">
        <v>1838</v>
      </c>
      <c r="C35" s="3071"/>
      <c r="D35" s="3071"/>
      <c r="E35" s="3071"/>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4"/>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I13/Sheet2!G82*Sheet2!H85</f>
        <v>21.34906648309715</v>
      </c>
      <c r="B3" s="14">
        <f>IF(C3="否",G5-AT5,G5)</f>
        <v>440.53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440.53</v>
      </c>
      <c r="H5" s="16">
        <f t="shared" ref="H5:AT5" si="0">SUM(H13:H656)</f>
        <v>440.53</v>
      </c>
      <c r="I5" s="16">
        <f t="shared" si="0"/>
        <v>440.53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440.53</v>
      </c>
      <c r="BA5" s="18">
        <f t="shared" si="1"/>
        <v>440.53</v>
      </c>
      <c r="BB5" s="18">
        <f t="shared" si="1"/>
        <v>440.53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21.35</v>
      </c>
      <c r="F6" s="16" t="s">
        <v>1</v>
      </c>
      <c r="G6" s="16" t="s">
        <v>2</v>
      </c>
      <c r="H6" s="20">
        <f>SUMIF(I$12:AB$12,"总值",I6:AB6)</f>
        <v>21.35</v>
      </c>
      <c r="I6" s="16">
        <f t="shared" ref="I6:AB6" si="2">ROUND($A$3*I5/$B$3,2)</f>
        <v>21.35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21.35</v>
      </c>
      <c r="AZ6" s="16" t="s">
        <v>3</v>
      </c>
      <c r="BA6" s="16">
        <f>ROUND($AY$6*BA5/$AZ$5,2)</f>
        <v>21.35</v>
      </c>
      <c r="BB6" s="16">
        <f>ROUND($AY$6*BB5/$AZ$5,2)</f>
        <v>21.35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
        <v>3162</v>
      </c>
      <c r="D13" s="2212" t="s">
        <v>3161</v>
      </c>
      <c r="E13" s="16">
        <f>IF($C$3="是",ROUND($A$3*G13/$B$3,2),ROUND($A$3*(G13-AT13)/$B$3,2))</f>
        <v>21.35</v>
      </c>
      <c r="F13" s="32"/>
      <c r="G13" s="33">
        <f>H13+AC13+AT13</f>
        <v>440.53</v>
      </c>
      <c r="H13" s="20">
        <f>SUMIF(I$12:AB$12,"总值",I13:AB13)</f>
        <v>440.53</v>
      </c>
      <c r="I13" s="2213">
        <v>440.53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3-2008</v>
      </c>
      <c r="AY13" s="1805">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abSelected="1" topLeftCell="C67" workbookViewId="0">
      <selection activeCell="E95" sqref="E95"/>
    </sheetView>
  </sheetViews>
  <sheetFormatPr defaultRowHeight="13.5"/>
  <cols>
    <col min="1" max="1" width="27.625" customWidth="1"/>
    <col min="2" max="2" width="16" customWidth="1"/>
    <col min="3" max="3" width="11.75" customWidth="1"/>
    <col min="4" max="4" width="10.125" customWidth="1"/>
    <col min="9" max="9" width="12.875" customWidth="1"/>
  </cols>
  <sheetData>
    <row r="1" spans="1:14" ht="14.25" thickBot="1">
      <c r="A1" s="2971" t="s">
        <v>3065</v>
      </c>
      <c r="B1" s="2972" t="s">
        <v>3066</v>
      </c>
      <c r="C1" s="2972" t="s">
        <v>3067</v>
      </c>
      <c r="D1" s="2972" t="s">
        <v>3068</v>
      </c>
      <c r="E1" s="2972" t="s">
        <v>3069</v>
      </c>
      <c r="F1" s="2972" t="s">
        <v>3070</v>
      </c>
      <c r="G1" s="2972" t="s">
        <v>3071</v>
      </c>
      <c r="H1" s="2972" t="s">
        <v>3072</v>
      </c>
      <c r="I1" s="2972" t="s">
        <v>3073</v>
      </c>
    </row>
    <row r="2" spans="1:14" ht="14.25" thickBot="1">
      <c r="A2" s="3074" t="s">
        <v>3074</v>
      </c>
      <c r="B2" s="3077" t="s">
        <v>3075</v>
      </c>
      <c r="C2" s="3080" t="s">
        <v>3076</v>
      </c>
      <c r="D2" s="2973" t="s">
        <v>3077</v>
      </c>
      <c r="E2" s="3077" t="s">
        <v>3078</v>
      </c>
      <c r="F2" s="2974">
        <v>5</v>
      </c>
      <c r="G2" s="2973">
        <v>683.76</v>
      </c>
      <c r="H2" s="3074" t="s">
        <v>3079</v>
      </c>
      <c r="I2" s="3074" t="s">
        <v>3079</v>
      </c>
    </row>
    <row r="3" spans="1:14" ht="14.25" thickBot="1">
      <c r="A3" s="3075"/>
      <c r="B3" s="3078"/>
      <c r="C3" s="3081"/>
      <c r="D3" s="2973" t="s">
        <v>3080</v>
      </c>
      <c r="E3" s="3078"/>
      <c r="F3" s="2974">
        <v>5</v>
      </c>
      <c r="G3" s="2973">
        <v>189.28</v>
      </c>
      <c r="H3" s="3075"/>
      <c r="I3" s="3075"/>
    </row>
    <row r="4" spans="1:14" ht="14.25" thickBot="1">
      <c r="A4" s="3075"/>
      <c r="B4" s="3078"/>
      <c r="C4" s="3081"/>
      <c r="D4" s="2973" t="s">
        <v>3081</v>
      </c>
      <c r="E4" s="3078"/>
      <c r="F4" s="2974">
        <v>5</v>
      </c>
      <c r="G4" s="2973">
        <v>189.28</v>
      </c>
      <c r="H4" s="3075"/>
      <c r="I4" s="3075"/>
    </row>
    <row r="5" spans="1:14" ht="14.25" thickBot="1">
      <c r="A5" s="3075"/>
      <c r="B5" s="3078"/>
      <c r="C5" s="3081"/>
      <c r="D5" s="2973" t="s">
        <v>3082</v>
      </c>
      <c r="E5" s="3078"/>
      <c r="F5" s="2974">
        <v>5</v>
      </c>
      <c r="G5" s="2973">
        <v>540.91999999999996</v>
      </c>
      <c r="H5" s="3075"/>
      <c r="I5" s="3075"/>
      <c r="M5">
        <v>1</v>
      </c>
      <c r="N5" s="2995">
        <v>1</v>
      </c>
    </row>
    <row r="6" spans="1:14" ht="14.25" thickBot="1">
      <c r="A6" s="3075"/>
      <c r="B6" s="3078"/>
      <c r="C6" s="3081"/>
      <c r="D6" s="2973" t="s">
        <v>3083</v>
      </c>
      <c r="E6" s="3078"/>
      <c r="F6" s="2974">
        <v>5</v>
      </c>
      <c r="G6" s="2973">
        <v>564.35</v>
      </c>
      <c r="H6" s="3075"/>
      <c r="I6" s="3075"/>
      <c r="M6">
        <v>2</v>
      </c>
      <c r="N6" s="2995">
        <v>2</v>
      </c>
    </row>
    <row r="7" spans="1:14" ht="14.25" thickBot="1">
      <c r="A7" s="3075"/>
      <c r="B7" s="3078"/>
      <c r="C7" s="3081"/>
      <c r="D7" s="2973" t="s">
        <v>3084</v>
      </c>
      <c r="E7" s="3078"/>
      <c r="F7" s="2974">
        <v>5</v>
      </c>
      <c r="G7" s="2973">
        <v>189.28</v>
      </c>
      <c r="H7" s="3075"/>
      <c r="I7" s="3075"/>
      <c r="M7">
        <v>3</v>
      </c>
      <c r="N7" s="2995">
        <v>3</v>
      </c>
    </row>
    <row r="8" spans="1:14" ht="14.25" thickBot="1">
      <c r="A8" s="3075"/>
      <c r="B8" s="3078"/>
      <c r="C8" s="3081"/>
      <c r="D8" s="2973" t="s">
        <v>3085</v>
      </c>
      <c r="E8" s="3078"/>
      <c r="F8" s="2974">
        <v>5</v>
      </c>
      <c r="G8" s="2973">
        <v>440.53</v>
      </c>
      <c r="H8" s="3075"/>
      <c r="I8" s="3075"/>
      <c r="M8">
        <v>4</v>
      </c>
      <c r="N8" s="2995">
        <v>5</v>
      </c>
    </row>
    <row r="9" spans="1:14" ht="14.25" thickBot="1">
      <c r="A9" s="3075"/>
      <c r="B9" s="3078"/>
      <c r="C9" s="3081"/>
      <c r="D9" s="2973" t="s">
        <v>3086</v>
      </c>
      <c r="E9" s="3078"/>
      <c r="F9" s="2974">
        <v>5</v>
      </c>
      <c r="G9" s="2973">
        <v>432.37</v>
      </c>
      <c r="H9" s="3075"/>
      <c r="I9" s="3075"/>
      <c r="M9">
        <v>5</v>
      </c>
      <c r="N9" s="2995">
        <v>6</v>
      </c>
    </row>
    <row r="10" spans="1:14" ht="14.25" thickBot="1">
      <c r="A10" s="3075"/>
      <c r="B10" s="3078"/>
      <c r="C10" s="3081"/>
      <c r="D10" s="2973" t="s">
        <v>3087</v>
      </c>
      <c r="E10" s="3078"/>
      <c r="F10" s="2974">
        <v>6</v>
      </c>
      <c r="G10" s="2973">
        <v>683.76</v>
      </c>
      <c r="H10" s="3075"/>
      <c r="I10" s="3075"/>
      <c r="M10">
        <v>6</v>
      </c>
      <c r="N10" s="2995">
        <v>7</v>
      </c>
    </row>
    <row r="11" spans="1:14" ht="14.25" thickBot="1">
      <c r="A11" s="3075"/>
      <c r="B11" s="3078"/>
      <c r="C11" s="3081"/>
      <c r="D11" s="2973" t="s">
        <v>3088</v>
      </c>
      <c r="E11" s="3078"/>
      <c r="F11" s="2974">
        <v>6</v>
      </c>
      <c r="G11" s="2973">
        <v>189.28</v>
      </c>
      <c r="H11" s="3075"/>
      <c r="I11" s="3075"/>
      <c r="M11">
        <v>7</v>
      </c>
      <c r="N11" s="2995">
        <v>8</v>
      </c>
    </row>
    <row r="12" spans="1:14" ht="14.25" thickBot="1">
      <c r="A12" s="3075"/>
      <c r="B12" s="3078"/>
      <c r="C12" s="3081"/>
      <c r="D12" s="2973" t="s">
        <v>3089</v>
      </c>
      <c r="E12" s="3078"/>
      <c r="F12" s="2974">
        <v>6</v>
      </c>
      <c r="G12" s="2973">
        <v>189.28</v>
      </c>
      <c r="H12" s="3075"/>
      <c r="I12" s="3075"/>
      <c r="M12">
        <v>8</v>
      </c>
      <c r="N12" s="2995">
        <v>9</v>
      </c>
    </row>
    <row r="13" spans="1:14" ht="14.25" thickBot="1">
      <c r="A13" s="3075"/>
      <c r="B13" s="3078"/>
      <c r="C13" s="3081"/>
      <c r="D13" s="2973" t="s">
        <v>3090</v>
      </c>
      <c r="E13" s="3078"/>
      <c r="F13" s="2974">
        <v>6</v>
      </c>
      <c r="G13" s="2973">
        <v>540.91999999999996</v>
      </c>
      <c r="H13" s="3075"/>
      <c r="I13" s="3075"/>
      <c r="M13">
        <v>9</v>
      </c>
      <c r="N13" s="2995">
        <v>10</v>
      </c>
    </row>
    <row r="14" spans="1:14" ht="14.25" thickBot="1">
      <c r="A14" s="3075"/>
      <c r="B14" s="3078"/>
      <c r="C14" s="3081"/>
      <c r="D14" s="2973" t="s">
        <v>3091</v>
      </c>
      <c r="E14" s="3078"/>
      <c r="F14" s="2974">
        <v>6</v>
      </c>
      <c r="G14" s="2973">
        <v>564.35</v>
      </c>
      <c r="H14" s="3075"/>
      <c r="I14" s="3075"/>
      <c r="M14">
        <v>10</v>
      </c>
      <c r="N14" s="2995">
        <v>11</v>
      </c>
    </row>
    <row r="15" spans="1:14" ht="14.25" thickBot="1">
      <c r="A15" s="3075"/>
      <c r="B15" s="3078"/>
      <c r="C15" s="3081"/>
      <c r="D15" s="2973" t="s">
        <v>3092</v>
      </c>
      <c r="E15" s="3078"/>
      <c r="F15" s="2974">
        <v>6</v>
      </c>
      <c r="G15" s="2973">
        <v>189.28</v>
      </c>
      <c r="H15" s="3075"/>
      <c r="I15" s="3075"/>
      <c r="M15">
        <v>11</v>
      </c>
      <c r="N15" s="2997">
        <v>12</v>
      </c>
    </row>
    <row r="16" spans="1:14" ht="14.25" thickBot="1">
      <c r="A16" s="3075"/>
      <c r="B16" s="3078"/>
      <c r="C16" s="3081"/>
      <c r="D16" s="2973" t="s">
        <v>3093</v>
      </c>
      <c r="E16" s="3078"/>
      <c r="F16" s="2974">
        <v>6</v>
      </c>
      <c r="G16" s="2973">
        <v>440.53</v>
      </c>
      <c r="H16" s="3075"/>
      <c r="I16" s="3075"/>
      <c r="M16">
        <v>12</v>
      </c>
      <c r="N16" s="2997">
        <v>15</v>
      </c>
    </row>
    <row r="17" spans="1:14" ht="14.25" thickBot="1">
      <c r="A17" s="3075"/>
      <c r="B17" s="3078"/>
      <c r="C17" s="3081"/>
      <c r="D17" s="2973" t="s">
        <v>3094</v>
      </c>
      <c r="E17" s="3078"/>
      <c r="F17" s="2974">
        <v>6</v>
      </c>
      <c r="G17" s="2973">
        <v>432.37</v>
      </c>
      <c r="H17" s="3075"/>
      <c r="I17" s="3075"/>
      <c r="M17">
        <v>13</v>
      </c>
      <c r="N17" s="2997">
        <v>16</v>
      </c>
    </row>
    <row r="18" spans="1:14" ht="14.25" thickBot="1">
      <c r="A18" s="3075"/>
      <c r="B18" s="3078"/>
      <c r="C18" s="3081"/>
      <c r="D18" s="2973" t="s">
        <v>3095</v>
      </c>
      <c r="E18" s="3078"/>
      <c r="F18" s="2974">
        <v>9</v>
      </c>
      <c r="G18" s="2973">
        <v>683.76</v>
      </c>
      <c r="H18" s="3075"/>
      <c r="I18" s="3075"/>
      <c r="M18">
        <v>14</v>
      </c>
      <c r="N18" s="2997">
        <v>17</v>
      </c>
    </row>
    <row r="19" spans="1:14" ht="14.25" thickBot="1">
      <c r="A19" s="3075"/>
      <c r="B19" s="3078"/>
      <c r="C19" s="3081"/>
      <c r="D19" s="2973" t="s">
        <v>3096</v>
      </c>
      <c r="E19" s="3078"/>
      <c r="F19" s="2974">
        <v>9</v>
      </c>
      <c r="G19" s="2973">
        <v>189.28</v>
      </c>
      <c r="H19" s="3075"/>
      <c r="I19" s="3075"/>
      <c r="M19">
        <v>15</v>
      </c>
      <c r="N19" s="2997">
        <v>18</v>
      </c>
    </row>
    <row r="20" spans="1:14" ht="14.25" thickBot="1">
      <c r="A20" s="3075"/>
      <c r="B20" s="3078"/>
      <c r="C20" s="3081"/>
      <c r="D20" s="2973" t="s">
        <v>3097</v>
      </c>
      <c r="E20" s="3078"/>
      <c r="F20" s="2974">
        <v>9</v>
      </c>
      <c r="G20" s="2973">
        <v>189.28</v>
      </c>
      <c r="H20" s="3075"/>
      <c r="I20" s="3075"/>
      <c r="M20">
        <v>16</v>
      </c>
      <c r="N20" s="2997">
        <v>19</v>
      </c>
    </row>
    <row r="21" spans="1:14" ht="14.25" thickBot="1">
      <c r="A21" s="3075"/>
      <c r="B21" s="3078"/>
      <c r="C21" s="3081"/>
      <c r="D21" s="2973" t="s">
        <v>3098</v>
      </c>
      <c r="E21" s="3078"/>
      <c r="F21" s="2974">
        <v>9</v>
      </c>
      <c r="G21" s="2973">
        <v>540.91999999999996</v>
      </c>
      <c r="H21" s="3075"/>
      <c r="I21" s="3075"/>
      <c r="M21">
        <v>17</v>
      </c>
      <c r="N21" s="2997">
        <v>20</v>
      </c>
    </row>
    <row r="22" spans="1:14" ht="14.25" thickBot="1">
      <c r="A22" s="3075"/>
      <c r="B22" s="3078"/>
      <c r="C22" s="3081"/>
      <c r="D22" s="2973" t="s">
        <v>3099</v>
      </c>
      <c r="E22" s="3078"/>
      <c r="F22" s="2974">
        <v>9</v>
      </c>
      <c r="G22" s="2973">
        <v>564.35</v>
      </c>
      <c r="H22" s="3075"/>
      <c r="I22" s="3075"/>
      <c r="M22">
        <v>18</v>
      </c>
      <c r="N22" s="2997">
        <v>21</v>
      </c>
    </row>
    <row r="23" spans="1:14" ht="14.25" thickBot="1">
      <c r="A23" s="3075"/>
      <c r="B23" s="3078"/>
      <c r="C23" s="3081"/>
      <c r="D23" s="2973" t="s">
        <v>3100</v>
      </c>
      <c r="E23" s="3078"/>
      <c r="F23" s="2974">
        <v>9</v>
      </c>
      <c r="G23" s="2973">
        <v>189.28</v>
      </c>
      <c r="H23" s="3075"/>
      <c r="I23" s="3075"/>
      <c r="M23">
        <v>19</v>
      </c>
      <c r="N23" s="2997">
        <v>22</v>
      </c>
    </row>
    <row r="24" spans="1:14" ht="14.25" thickBot="1">
      <c r="A24" s="3075"/>
      <c r="B24" s="3078"/>
      <c r="C24" s="3081"/>
      <c r="D24" s="2973" t="s">
        <v>3101</v>
      </c>
      <c r="E24" s="3078"/>
      <c r="F24" s="2974">
        <v>9</v>
      </c>
      <c r="G24" s="2973">
        <v>440.53</v>
      </c>
      <c r="H24" s="3075"/>
      <c r="I24" s="3075"/>
      <c r="M24">
        <v>20</v>
      </c>
      <c r="N24" s="2997">
        <v>23</v>
      </c>
    </row>
    <row r="25" spans="1:14" ht="14.25" thickBot="1">
      <c r="A25" s="3075"/>
      <c r="B25" s="3078"/>
      <c r="C25" s="3081"/>
      <c r="D25" s="2973" t="s">
        <v>3102</v>
      </c>
      <c r="E25" s="3078"/>
      <c r="F25" s="2974">
        <v>9</v>
      </c>
      <c r="G25" s="2973">
        <v>432.37</v>
      </c>
      <c r="H25" s="3075"/>
      <c r="I25" s="3075"/>
      <c r="M25">
        <v>21</v>
      </c>
      <c r="N25" s="2996">
        <v>25</v>
      </c>
    </row>
    <row r="26" spans="1:14" ht="14.25" thickBot="1">
      <c r="A26" s="3075"/>
      <c r="B26" s="3078"/>
      <c r="C26" s="3081"/>
      <c r="D26" s="2973" t="s">
        <v>3103</v>
      </c>
      <c r="E26" s="3078"/>
      <c r="F26" s="2974">
        <v>10</v>
      </c>
      <c r="G26" s="2973">
        <v>683.76</v>
      </c>
      <c r="H26" s="3075"/>
      <c r="I26" s="3075"/>
      <c r="M26">
        <v>22</v>
      </c>
      <c r="N26" s="2996">
        <v>26</v>
      </c>
    </row>
    <row r="27" spans="1:14" ht="14.25" thickBot="1">
      <c r="A27" s="3075"/>
      <c r="B27" s="3078"/>
      <c r="C27" s="3081"/>
      <c r="D27" s="2973" t="s">
        <v>3104</v>
      </c>
      <c r="E27" s="3078"/>
      <c r="F27" s="2974">
        <v>10</v>
      </c>
      <c r="G27" s="2973">
        <v>189.28</v>
      </c>
      <c r="H27" s="3075"/>
      <c r="I27" s="3075"/>
      <c r="M27">
        <v>23</v>
      </c>
      <c r="N27" s="2996">
        <v>27</v>
      </c>
    </row>
    <row r="28" spans="1:14" ht="14.25" thickBot="1">
      <c r="A28" s="3075"/>
      <c r="B28" s="3078"/>
      <c r="C28" s="3081"/>
      <c r="D28" s="2973" t="s">
        <v>3105</v>
      </c>
      <c r="E28" s="3078"/>
      <c r="F28" s="2974">
        <v>10</v>
      </c>
      <c r="G28" s="2973">
        <v>189.28</v>
      </c>
      <c r="H28" s="3075"/>
      <c r="I28" s="3075"/>
      <c r="M28">
        <v>24</v>
      </c>
      <c r="N28" s="2996">
        <v>28</v>
      </c>
    </row>
    <row r="29" spans="1:14" ht="14.25" thickBot="1">
      <c r="A29" s="3075"/>
      <c r="B29" s="3078"/>
      <c r="C29" s="3081"/>
      <c r="D29" s="2973" t="s">
        <v>3106</v>
      </c>
      <c r="E29" s="3078"/>
      <c r="F29" s="2974">
        <v>10</v>
      </c>
      <c r="G29" s="2973">
        <v>540.91999999999996</v>
      </c>
      <c r="H29" s="3075"/>
      <c r="I29" s="3075"/>
      <c r="M29">
        <v>25</v>
      </c>
      <c r="N29" s="2996">
        <v>29</v>
      </c>
    </row>
    <row r="30" spans="1:14" ht="14.25" thickBot="1">
      <c r="A30" s="3075"/>
      <c r="B30" s="3078"/>
      <c r="C30" s="3081"/>
      <c r="D30" s="2973" t="s">
        <v>3107</v>
      </c>
      <c r="E30" s="3078"/>
      <c r="F30" s="2974">
        <v>10</v>
      </c>
      <c r="G30" s="2973">
        <v>564.35</v>
      </c>
      <c r="H30" s="3075"/>
      <c r="I30" s="3075"/>
      <c r="M30">
        <v>26</v>
      </c>
      <c r="N30" s="2996">
        <v>30</v>
      </c>
    </row>
    <row r="31" spans="1:14" ht="14.25" thickBot="1">
      <c r="A31" s="3075"/>
      <c r="B31" s="3078"/>
      <c r="C31" s="3081"/>
      <c r="D31" s="2973" t="s">
        <v>3108</v>
      </c>
      <c r="E31" s="3078"/>
      <c r="F31" s="2974">
        <v>10</v>
      </c>
      <c r="G31" s="2973">
        <v>189.28</v>
      </c>
      <c r="H31" s="3075"/>
      <c r="I31" s="3075"/>
      <c r="M31">
        <v>27</v>
      </c>
      <c r="N31" s="2996">
        <v>31</v>
      </c>
    </row>
    <row r="32" spans="1:14" ht="14.25" thickBot="1">
      <c r="A32" s="3075"/>
      <c r="B32" s="3078"/>
      <c r="C32" s="3081"/>
      <c r="D32" s="2973" t="s">
        <v>3109</v>
      </c>
      <c r="E32" s="3078"/>
      <c r="F32" s="2974">
        <v>10</v>
      </c>
      <c r="G32" s="2973">
        <v>440.53</v>
      </c>
      <c r="H32" s="3075"/>
      <c r="I32" s="3075"/>
      <c r="M32">
        <v>28</v>
      </c>
      <c r="N32" s="2996">
        <v>32</v>
      </c>
    </row>
    <row r="33" spans="1:14" ht="14.25" thickBot="1">
      <c r="A33" s="3075"/>
      <c r="B33" s="3078"/>
      <c r="C33" s="3081"/>
      <c r="D33" s="2973" t="s">
        <v>3110</v>
      </c>
      <c r="E33" s="3078"/>
      <c r="F33" s="2974">
        <v>10</v>
      </c>
      <c r="G33" s="2973">
        <v>432.37</v>
      </c>
      <c r="H33" s="3075"/>
      <c r="I33" s="3075"/>
      <c r="M33">
        <v>29</v>
      </c>
      <c r="N33" s="2996">
        <v>33</v>
      </c>
    </row>
    <row r="34" spans="1:14" ht="14.25" thickBot="1">
      <c r="A34" s="3075"/>
      <c r="B34" s="3078"/>
      <c r="C34" s="3081"/>
      <c r="D34" s="2973" t="s">
        <v>3111</v>
      </c>
      <c r="E34" s="3078"/>
      <c r="F34" s="2974">
        <v>17</v>
      </c>
      <c r="G34" s="2973">
        <v>683.76</v>
      </c>
      <c r="H34" s="3075"/>
      <c r="I34" s="3075"/>
      <c r="M34">
        <v>30</v>
      </c>
      <c r="N34" s="2996">
        <v>35</v>
      </c>
    </row>
    <row r="35" spans="1:14" ht="14.25" thickBot="1">
      <c r="A35" s="3075"/>
      <c r="B35" s="3078"/>
      <c r="C35" s="3081"/>
      <c r="D35" s="2973" t="s">
        <v>3112</v>
      </c>
      <c r="E35" s="3078"/>
      <c r="F35" s="2974">
        <v>17</v>
      </c>
      <c r="G35" s="2973">
        <v>189.28</v>
      </c>
      <c r="H35" s="3075"/>
      <c r="I35" s="3075"/>
      <c r="M35">
        <v>31</v>
      </c>
      <c r="N35" s="2996">
        <v>36</v>
      </c>
    </row>
    <row r="36" spans="1:14" ht="14.25" thickBot="1">
      <c r="A36" s="3075"/>
      <c r="B36" s="3078"/>
      <c r="C36" s="3081"/>
      <c r="D36" s="2973" t="s">
        <v>3113</v>
      </c>
      <c r="E36" s="3078"/>
      <c r="F36" s="2974">
        <v>17</v>
      </c>
      <c r="G36" s="2973">
        <v>189.28</v>
      </c>
      <c r="H36" s="3075"/>
      <c r="I36" s="3075"/>
    </row>
    <row r="37" spans="1:14" ht="14.25" thickBot="1">
      <c r="A37" s="3075"/>
      <c r="B37" s="3078"/>
      <c r="C37" s="3081"/>
      <c r="D37" s="2973" t="s">
        <v>3114</v>
      </c>
      <c r="E37" s="3078"/>
      <c r="F37" s="2974">
        <v>17</v>
      </c>
      <c r="G37" s="2973">
        <v>534.33000000000004</v>
      </c>
      <c r="H37" s="3075"/>
      <c r="I37" s="3075"/>
    </row>
    <row r="38" spans="1:14" ht="14.25" thickBot="1">
      <c r="A38" s="3075"/>
      <c r="B38" s="3078"/>
      <c r="C38" s="3081"/>
      <c r="D38" s="2973" t="s">
        <v>3115</v>
      </c>
      <c r="E38" s="3078"/>
      <c r="F38" s="2974">
        <v>17</v>
      </c>
      <c r="G38" s="2973">
        <v>540.91999999999996</v>
      </c>
      <c r="H38" s="3075"/>
      <c r="I38" s="3075"/>
    </row>
    <row r="39" spans="1:14" ht="14.25" thickBot="1">
      <c r="A39" s="3075"/>
      <c r="B39" s="3078"/>
      <c r="C39" s="3081"/>
      <c r="D39" s="2973" t="s">
        <v>3116</v>
      </c>
      <c r="E39" s="3078"/>
      <c r="F39" s="2974">
        <v>17</v>
      </c>
      <c r="G39" s="2973">
        <v>189.28</v>
      </c>
      <c r="H39" s="3075"/>
      <c r="I39" s="3075"/>
    </row>
    <row r="40" spans="1:14" ht="14.25" thickBot="1">
      <c r="A40" s="3075"/>
      <c r="B40" s="3078"/>
      <c r="C40" s="3081"/>
      <c r="D40" s="2973" t="s">
        <v>3117</v>
      </c>
      <c r="E40" s="3078"/>
      <c r="F40" s="2974">
        <v>17</v>
      </c>
      <c r="G40" s="2973">
        <v>440.53</v>
      </c>
      <c r="H40" s="3075"/>
      <c r="I40" s="3075"/>
    </row>
    <row r="41" spans="1:14" ht="14.25" thickBot="1">
      <c r="A41" s="3075"/>
      <c r="B41" s="3078"/>
      <c r="C41" s="3081"/>
      <c r="D41" s="2973" t="s">
        <v>3118</v>
      </c>
      <c r="E41" s="3078"/>
      <c r="F41" s="2974">
        <v>17</v>
      </c>
      <c r="G41" s="2973">
        <v>432.37</v>
      </c>
      <c r="H41" s="3075"/>
      <c r="I41" s="3075"/>
    </row>
    <row r="42" spans="1:14" ht="14.25" thickBot="1">
      <c r="A42" s="3075"/>
      <c r="B42" s="3078"/>
      <c r="C42" s="3081"/>
      <c r="D42" s="2973" t="s">
        <v>3119</v>
      </c>
      <c r="E42" s="3078"/>
      <c r="F42" s="2974">
        <v>20</v>
      </c>
      <c r="G42" s="2973">
        <v>627.70000000000005</v>
      </c>
      <c r="H42" s="3075"/>
      <c r="I42" s="3075"/>
    </row>
    <row r="43" spans="1:14" ht="14.25" thickBot="1">
      <c r="A43" s="3075"/>
      <c r="B43" s="3078"/>
      <c r="C43" s="3081"/>
      <c r="D43" s="2973" t="s">
        <v>3120</v>
      </c>
      <c r="E43" s="3078"/>
      <c r="F43" s="2974">
        <v>20</v>
      </c>
      <c r="G43" s="2973">
        <v>189.28</v>
      </c>
      <c r="H43" s="3075"/>
      <c r="I43" s="3075"/>
    </row>
    <row r="44" spans="1:14" ht="14.25" thickBot="1">
      <c r="A44" s="3075"/>
      <c r="B44" s="3078"/>
      <c r="C44" s="3081"/>
      <c r="D44" s="2973" t="s">
        <v>3121</v>
      </c>
      <c r="E44" s="3078"/>
      <c r="F44" s="2974">
        <v>20</v>
      </c>
      <c r="G44" s="2973">
        <v>189.28</v>
      </c>
      <c r="H44" s="3075"/>
      <c r="I44" s="3075"/>
    </row>
    <row r="45" spans="1:14" ht="14.25" thickBot="1">
      <c r="A45" s="3075"/>
      <c r="B45" s="3078"/>
      <c r="C45" s="3081"/>
      <c r="D45" s="2973" t="s">
        <v>3122</v>
      </c>
      <c r="E45" s="3078"/>
      <c r="F45" s="2974">
        <v>20</v>
      </c>
      <c r="G45" s="2973">
        <v>633.87</v>
      </c>
      <c r="H45" s="3075"/>
      <c r="I45" s="3075"/>
    </row>
    <row r="46" spans="1:14" ht="14.25" thickBot="1">
      <c r="A46" s="3075"/>
      <c r="B46" s="3078"/>
      <c r="C46" s="3081"/>
      <c r="D46" s="2973" t="s">
        <v>3123</v>
      </c>
      <c r="E46" s="3078"/>
      <c r="F46" s="2974">
        <v>20</v>
      </c>
      <c r="G46" s="2973">
        <v>569.41999999999996</v>
      </c>
      <c r="H46" s="3075"/>
      <c r="I46" s="3075"/>
    </row>
    <row r="47" spans="1:14" ht="14.25" thickBot="1">
      <c r="A47" s="3075"/>
      <c r="B47" s="3078"/>
      <c r="C47" s="3081"/>
      <c r="D47" s="2973" t="s">
        <v>3124</v>
      </c>
      <c r="E47" s="3078"/>
      <c r="F47" s="2974">
        <v>20</v>
      </c>
      <c r="G47" s="2973">
        <v>188.16</v>
      </c>
      <c r="H47" s="3075"/>
      <c r="I47" s="3075"/>
    </row>
    <row r="48" spans="1:14" ht="14.25" thickBot="1">
      <c r="A48" s="3075"/>
      <c r="B48" s="3078"/>
      <c r="C48" s="3081"/>
      <c r="D48" s="2973" t="s">
        <v>3125</v>
      </c>
      <c r="E48" s="3078"/>
      <c r="F48" s="2974">
        <v>20</v>
      </c>
      <c r="G48" s="2973">
        <v>440.11</v>
      </c>
      <c r="H48" s="3075"/>
      <c r="I48" s="3075"/>
    </row>
    <row r="49" spans="1:9" ht="14.25" thickBot="1">
      <c r="A49" s="3075"/>
      <c r="B49" s="3078"/>
      <c r="C49" s="3081"/>
      <c r="D49" s="2973" t="s">
        <v>3126</v>
      </c>
      <c r="E49" s="3078"/>
      <c r="F49" s="2974">
        <v>20</v>
      </c>
      <c r="G49" s="2973">
        <v>354.46</v>
      </c>
      <c r="H49" s="3075"/>
      <c r="I49" s="3075"/>
    </row>
    <row r="50" spans="1:9" ht="14.25" thickBot="1">
      <c r="A50" s="3075"/>
      <c r="B50" s="3078"/>
      <c r="C50" s="3081"/>
      <c r="D50" s="2973" t="s">
        <v>3127</v>
      </c>
      <c r="E50" s="3078"/>
      <c r="F50" s="2974">
        <v>21</v>
      </c>
      <c r="G50" s="2973">
        <v>645.97</v>
      </c>
      <c r="H50" s="3075"/>
      <c r="I50" s="3075"/>
    </row>
    <row r="51" spans="1:9" ht="14.25" thickBot="1">
      <c r="A51" s="3075"/>
      <c r="B51" s="3078"/>
      <c r="C51" s="3081"/>
      <c r="D51" s="2973" t="s">
        <v>3128</v>
      </c>
      <c r="E51" s="3078"/>
      <c r="F51" s="2974">
        <v>21</v>
      </c>
      <c r="G51" s="2973">
        <v>189.28</v>
      </c>
      <c r="H51" s="3075"/>
      <c r="I51" s="3075"/>
    </row>
    <row r="52" spans="1:9" ht="14.25" thickBot="1">
      <c r="A52" s="3075"/>
      <c r="B52" s="3078"/>
      <c r="C52" s="3081"/>
      <c r="D52" s="2973" t="s">
        <v>3129</v>
      </c>
      <c r="E52" s="3078"/>
      <c r="F52" s="2974">
        <v>21</v>
      </c>
      <c r="G52" s="2973">
        <v>189.28</v>
      </c>
      <c r="H52" s="3075"/>
      <c r="I52" s="3075"/>
    </row>
    <row r="53" spans="1:9" ht="14.25" thickBot="1">
      <c r="A53" s="3075"/>
      <c r="B53" s="3078"/>
      <c r="C53" s="3081"/>
      <c r="D53" s="2973" t="s">
        <v>3130</v>
      </c>
      <c r="E53" s="3078"/>
      <c r="F53" s="2974">
        <v>21</v>
      </c>
      <c r="G53" s="2973">
        <v>633.87</v>
      </c>
      <c r="H53" s="3075"/>
      <c r="I53" s="3075"/>
    </row>
    <row r="54" spans="1:9" ht="14.25" thickBot="1">
      <c r="A54" s="3075"/>
      <c r="B54" s="3078"/>
      <c r="C54" s="3081"/>
      <c r="D54" s="2973" t="s">
        <v>3131</v>
      </c>
      <c r="E54" s="3078"/>
      <c r="F54" s="2974">
        <v>21</v>
      </c>
      <c r="G54" s="2973">
        <v>635.01</v>
      </c>
      <c r="H54" s="3075"/>
      <c r="I54" s="3075"/>
    </row>
    <row r="55" spans="1:9" ht="14.25" thickBot="1">
      <c r="A55" s="3075"/>
      <c r="B55" s="3078"/>
      <c r="C55" s="3081"/>
      <c r="D55" s="2973" t="s">
        <v>3132</v>
      </c>
      <c r="E55" s="3078"/>
      <c r="F55" s="2974">
        <v>21</v>
      </c>
      <c r="G55" s="2973">
        <v>188.16</v>
      </c>
      <c r="H55" s="3075"/>
      <c r="I55" s="3075"/>
    </row>
    <row r="56" spans="1:9" ht="14.25" thickBot="1">
      <c r="A56" s="3075"/>
      <c r="B56" s="3078"/>
      <c r="C56" s="3081"/>
      <c r="D56" s="2973" t="s">
        <v>3133</v>
      </c>
      <c r="E56" s="3078"/>
      <c r="F56" s="2974">
        <v>21</v>
      </c>
      <c r="G56" s="2973">
        <v>440.11</v>
      </c>
      <c r="H56" s="3075"/>
      <c r="I56" s="3075"/>
    </row>
    <row r="57" spans="1:9" ht="14.25" thickBot="1">
      <c r="A57" s="3075"/>
      <c r="B57" s="3078"/>
      <c r="C57" s="3081"/>
      <c r="D57" s="2973" t="s">
        <v>3134</v>
      </c>
      <c r="E57" s="3078"/>
      <c r="F57" s="2974">
        <v>21</v>
      </c>
      <c r="G57" s="2973">
        <v>375.32</v>
      </c>
      <c r="H57" s="3075"/>
      <c r="I57" s="3075"/>
    </row>
    <row r="58" spans="1:9" ht="14.25" thickBot="1">
      <c r="A58" s="3075"/>
      <c r="B58" s="3078"/>
      <c r="C58" s="3081"/>
      <c r="D58" s="2973" t="s">
        <v>3135</v>
      </c>
      <c r="E58" s="3078"/>
      <c r="F58" s="2974">
        <v>26</v>
      </c>
      <c r="G58" s="2973">
        <v>642.15</v>
      </c>
      <c r="H58" s="3075"/>
      <c r="I58" s="3075"/>
    </row>
    <row r="59" spans="1:9" ht="14.25" thickBot="1">
      <c r="A59" s="3075"/>
      <c r="B59" s="3078"/>
      <c r="C59" s="3081"/>
      <c r="D59" s="2973" t="s">
        <v>3136</v>
      </c>
      <c r="E59" s="3078"/>
      <c r="F59" s="2974">
        <v>26</v>
      </c>
      <c r="G59" s="2973">
        <v>189.28</v>
      </c>
      <c r="H59" s="3075"/>
      <c r="I59" s="3075"/>
    </row>
    <row r="60" spans="1:9" ht="14.25" thickBot="1">
      <c r="A60" s="3075"/>
      <c r="B60" s="3078"/>
      <c r="C60" s="3081"/>
      <c r="D60" s="2973" t="s">
        <v>3137</v>
      </c>
      <c r="E60" s="3078"/>
      <c r="F60" s="2974">
        <v>26</v>
      </c>
      <c r="G60" s="2973">
        <v>189.28</v>
      </c>
      <c r="H60" s="3075"/>
      <c r="I60" s="3075"/>
    </row>
    <row r="61" spans="1:9" ht="14.25" thickBot="1">
      <c r="A61" s="3075"/>
      <c r="B61" s="3078"/>
      <c r="C61" s="3081"/>
      <c r="D61" s="2973" t="s">
        <v>3138</v>
      </c>
      <c r="E61" s="3078"/>
      <c r="F61" s="2974">
        <v>26</v>
      </c>
      <c r="G61" s="2973">
        <v>633.87</v>
      </c>
      <c r="H61" s="3075"/>
      <c r="I61" s="3075"/>
    </row>
    <row r="62" spans="1:9" ht="14.25" thickBot="1">
      <c r="A62" s="3075"/>
      <c r="B62" s="3078"/>
      <c r="C62" s="3081"/>
      <c r="D62" s="2973" t="s">
        <v>3139</v>
      </c>
      <c r="E62" s="3078"/>
      <c r="F62" s="2974">
        <v>26</v>
      </c>
      <c r="G62" s="2973">
        <v>635.01</v>
      </c>
      <c r="H62" s="3075"/>
      <c r="I62" s="3075"/>
    </row>
    <row r="63" spans="1:9" ht="14.25" thickBot="1">
      <c r="A63" s="3075"/>
      <c r="B63" s="3078"/>
      <c r="C63" s="3081"/>
      <c r="D63" s="2973" t="s">
        <v>3140</v>
      </c>
      <c r="E63" s="3078"/>
      <c r="F63" s="2974">
        <v>26</v>
      </c>
      <c r="G63" s="2973">
        <v>188.16</v>
      </c>
      <c r="H63" s="3075"/>
      <c r="I63" s="3075"/>
    </row>
    <row r="64" spans="1:9" ht="14.25" thickBot="1">
      <c r="A64" s="3075"/>
      <c r="B64" s="3078"/>
      <c r="C64" s="3081"/>
      <c r="D64" s="2973" t="s">
        <v>3141</v>
      </c>
      <c r="E64" s="3078"/>
      <c r="F64" s="2974">
        <v>26</v>
      </c>
      <c r="G64" s="2973">
        <v>440.11</v>
      </c>
      <c r="H64" s="3075"/>
      <c r="I64" s="3075"/>
    </row>
    <row r="65" spans="1:9" ht="14.25" thickBot="1">
      <c r="A65" s="3075"/>
      <c r="B65" s="3078"/>
      <c r="C65" s="3081"/>
      <c r="D65" s="2973" t="s">
        <v>3142</v>
      </c>
      <c r="E65" s="3078"/>
      <c r="F65" s="2974">
        <v>26</v>
      </c>
      <c r="G65" s="2973">
        <v>375.49</v>
      </c>
      <c r="H65" s="3075"/>
      <c r="I65" s="3075"/>
    </row>
    <row r="66" spans="1:9" ht="14.25" thickBot="1">
      <c r="A66" s="3075"/>
      <c r="B66" s="3078"/>
      <c r="C66" s="3081"/>
      <c r="D66" s="2973" t="s">
        <v>3143</v>
      </c>
      <c r="E66" s="3078"/>
      <c r="F66" s="2974">
        <v>27</v>
      </c>
      <c r="G66" s="2973">
        <v>642.15</v>
      </c>
      <c r="H66" s="3075"/>
      <c r="I66" s="3075"/>
    </row>
    <row r="67" spans="1:9" ht="14.25" thickBot="1">
      <c r="A67" s="3075"/>
      <c r="B67" s="3078"/>
      <c r="C67" s="3081"/>
      <c r="D67" s="2973" t="s">
        <v>3144</v>
      </c>
      <c r="E67" s="3078"/>
      <c r="F67" s="2974">
        <v>27</v>
      </c>
      <c r="G67" s="2973">
        <v>189.28</v>
      </c>
      <c r="H67" s="3075"/>
      <c r="I67" s="3075"/>
    </row>
    <row r="68" spans="1:9" ht="14.25" thickBot="1">
      <c r="A68" s="3075"/>
      <c r="B68" s="3078"/>
      <c r="C68" s="3081"/>
      <c r="D68" s="2973" t="s">
        <v>3145</v>
      </c>
      <c r="E68" s="3078"/>
      <c r="F68" s="2974">
        <v>27</v>
      </c>
      <c r="G68" s="2973">
        <v>189.28</v>
      </c>
      <c r="H68" s="3075"/>
      <c r="I68" s="3075"/>
    </row>
    <row r="69" spans="1:9" ht="14.25" thickBot="1">
      <c r="A69" s="3075"/>
      <c r="B69" s="3078"/>
      <c r="C69" s="3081"/>
      <c r="D69" s="2973" t="s">
        <v>3146</v>
      </c>
      <c r="E69" s="3078"/>
      <c r="F69" s="2974">
        <v>27</v>
      </c>
      <c r="G69" s="2973">
        <v>633.87</v>
      </c>
      <c r="H69" s="3075"/>
      <c r="I69" s="3075"/>
    </row>
    <row r="70" spans="1:9" ht="14.25" thickBot="1">
      <c r="A70" s="3075"/>
      <c r="B70" s="3078"/>
      <c r="C70" s="3081"/>
      <c r="D70" s="2973" t="s">
        <v>3147</v>
      </c>
      <c r="E70" s="3078"/>
      <c r="F70" s="2974">
        <v>27</v>
      </c>
      <c r="G70" s="2973">
        <v>635.01</v>
      </c>
      <c r="H70" s="3075"/>
      <c r="I70" s="3075"/>
    </row>
    <row r="71" spans="1:9" ht="14.25" thickBot="1">
      <c r="A71" s="3075"/>
      <c r="B71" s="3078"/>
      <c r="C71" s="3081"/>
      <c r="D71" s="2973" t="s">
        <v>3148</v>
      </c>
      <c r="E71" s="3078"/>
      <c r="F71" s="2974">
        <v>27</v>
      </c>
      <c r="G71" s="2973">
        <v>188.16</v>
      </c>
      <c r="H71" s="3075"/>
      <c r="I71" s="3075"/>
    </row>
    <row r="72" spans="1:9" ht="14.25" thickBot="1">
      <c r="A72" s="3075"/>
      <c r="B72" s="3078"/>
      <c r="C72" s="3081"/>
      <c r="D72" s="2973" t="s">
        <v>3149</v>
      </c>
      <c r="E72" s="3078"/>
      <c r="F72" s="2974">
        <v>27</v>
      </c>
      <c r="G72" s="2973">
        <v>440.11</v>
      </c>
      <c r="H72" s="3075"/>
      <c r="I72" s="3075"/>
    </row>
    <row r="73" spans="1:9" ht="14.25" thickBot="1">
      <c r="A73" s="3075"/>
      <c r="B73" s="3078"/>
      <c r="C73" s="3081"/>
      <c r="D73" s="2973" t="s">
        <v>3150</v>
      </c>
      <c r="E73" s="3078"/>
      <c r="F73" s="2974">
        <v>27</v>
      </c>
      <c r="G73" s="2973">
        <v>373.44</v>
      </c>
      <c r="H73" s="3075"/>
      <c r="I73" s="3075"/>
    </row>
    <row r="74" spans="1:9" ht="14.25" thickBot="1">
      <c r="A74" s="3075"/>
      <c r="B74" s="3078"/>
      <c r="C74" s="3081"/>
      <c r="D74" s="2973" t="s">
        <v>3151</v>
      </c>
      <c r="E74" s="3078"/>
      <c r="F74" s="2974">
        <v>30</v>
      </c>
      <c r="G74" s="2973">
        <v>640.97</v>
      </c>
      <c r="H74" s="3075"/>
      <c r="I74" s="3075"/>
    </row>
    <row r="75" spans="1:9" ht="14.25" thickBot="1">
      <c r="A75" s="3075"/>
      <c r="B75" s="3078"/>
      <c r="C75" s="3081"/>
      <c r="D75" s="2973" t="s">
        <v>3152</v>
      </c>
      <c r="E75" s="3078"/>
      <c r="F75" s="2974">
        <v>30</v>
      </c>
      <c r="G75" s="2973">
        <v>189.28</v>
      </c>
      <c r="H75" s="3075"/>
      <c r="I75" s="3075"/>
    </row>
    <row r="76" spans="1:9" ht="14.25" thickBot="1">
      <c r="A76" s="3075"/>
      <c r="B76" s="3078"/>
      <c r="C76" s="3081"/>
      <c r="D76" s="2973" t="s">
        <v>3153</v>
      </c>
      <c r="E76" s="3078"/>
      <c r="F76" s="2974">
        <v>30</v>
      </c>
      <c r="G76" s="2973">
        <v>189.28</v>
      </c>
      <c r="H76" s="3075"/>
      <c r="I76" s="3075"/>
    </row>
    <row r="77" spans="1:9" ht="14.25" thickBot="1">
      <c r="A77" s="3075"/>
      <c r="B77" s="3078"/>
      <c r="C77" s="3081"/>
      <c r="D77" s="2973" t="s">
        <v>3154</v>
      </c>
      <c r="E77" s="3078"/>
      <c r="F77" s="2974">
        <v>30</v>
      </c>
      <c r="G77" s="2973">
        <v>633.87</v>
      </c>
      <c r="H77" s="3075"/>
      <c r="I77" s="3075"/>
    </row>
    <row r="78" spans="1:9" ht="14.25" thickBot="1">
      <c r="A78" s="3075"/>
      <c r="B78" s="3078"/>
      <c r="C78" s="3081"/>
      <c r="D78" s="2973" t="s">
        <v>3155</v>
      </c>
      <c r="E78" s="3078"/>
      <c r="F78" s="2974">
        <v>30</v>
      </c>
      <c r="G78" s="2973">
        <v>635.01</v>
      </c>
      <c r="H78" s="3075"/>
      <c r="I78" s="3075"/>
    </row>
    <row r="79" spans="1:9" ht="14.25" thickBot="1">
      <c r="A79" s="3075"/>
      <c r="B79" s="3078"/>
      <c r="C79" s="3081"/>
      <c r="D79" s="2973" t="s">
        <v>3156</v>
      </c>
      <c r="E79" s="3078"/>
      <c r="F79" s="2974">
        <v>30</v>
      </c>
      <c r="G79" s="2973">
        <v>188.16</v>
      </c>
      <c r="H79" s="3075"/>
      <c r="I79" s="3075"/>
    </row>
    <row r="80" spans="1:9" ht="14.25" thickBot="1">
      <c r="A80" s="3075"/>
      <c r="B80" s="3078"/>
      <c r="C80" s="3081"/>
      <c r="D80" s="2973" t="s">
        <v>3157</v>
      </c>
      <c r="E80" s="3078"/>
      <c r="F80" s="2974">
        <v>30</v>
      </c>
      <c r="G80" s="2973">
        <v>440.11</v>
      </c>
      <c r="H80" s="3075"/>
      <c r="I80" s="3075"/>
    </row>
    <row r="81" spans="1:12" ht="14.25" thickBot="1">
      <c r="A81" s="3075"/>
      <c r="B81" s="3079"/>
      <c r="C81" s="3082"/>
      <c r="D81" s="2973" t="s">
        <v>3158</v>
      </c>
      <c r="E81" s="3079"/>
      <c r="F81" s="2974">
        <v>30</v>
      </c>
      <c r="G81" s="2973">
        <v>372.35</v>
      </c>
      <c r="H81" s="3076"/>
      <c r="I81" s="3076"/>
    </row>
    <row r="82" spans="1:12" ht="14.25" thickBot="1">
      <c r="A82" s="2975" t="s">
        <v>37</v>
      </c>
      <c r="B82" s="3083"/>
      <c r="C82" s="3084"/>
      <c r="D82" s="3084"/>
      <c r="E82" s="3084"/>
      <c r="F82" s="3085"/>
      <c r="G82" s="3086">
        <f>SUM(G2:G81)</f>
        <v>32481.78999999999</v>
      </c>
      <c r="H82" s="3087"/>
      <c r="I82" s="3088"/>
    </row>
    <row r="85" spans="1:12">
      <c r="H85">
        <f>ROUND(G82/210005.46*10177.32,2)</f>
        <v>1574.14</v>
      </c>
      <c r="J85">
        <f>L85/K85*10000</f>
        <v>8450</v>
      </c>
      <c r="K85">
        <v>100000</v>
      </c>
      <c r="L85">
        <v>84500</v>
      </c>
    </row>
    <row r="89" spans="1:12">
      <c r="C89" s="3089" t="str">
        <f>[1]结果表!D116</f>
        <v>出让国有建设用地使用权价值</v>
      </c>
      <c r="D89" s="3089"/>
      <c r="E89" s="3089" t="str">
        <f>[1]结果表!F116</f>
        <v>在建建筑物价值</v>
      </c>
      <c r="F89" s="3089"/>
      <c r="G89" s="3089" t="str">
        <f>[1]结果表!H116</f>
        <v>房地产价值</v>
      </c>
      <c r="H89" s="3089"/>
    </row>
    <row r="90" spans="1:12">
      <c r="C90" s="2976" t="s">
        <v>3159</v>
      </c>
      <c r="D90" s="2976" t="s">
        <v>3160</v>
      </c>
      <c r="E90" s="2976" t="s">
        <v>3159</v>
      </c>
      <c r="F90" s="2976" t="s">
        <v>3160</v>
      </c>
      <c r="G90" s="2976" t="s">
        <v>3159</v>
      </c>
      <c r="H90" s="2976" t="s">
        <v>3160</v>
      </c>
    </row>
    <row r="91" spans="1:12">
      <c r="B91">
        <f>[1]系统读取表!B1</f>
        <v>32481.78999999999</v>
      </c>
      <c r="C91">
        <f ca="1">G91-E91</f>
        <v>143958</v>
      </c>
      <c r="D91">
        <f ca="1">H91-F91</f>
        <v>44320</v>
      </c>
      <c r="E91">
        <f ca="1">ROUND(F91*B91/10000,0)</f>
        <v>20866</v>
      </c>
      <c r="F91">
        <f ca="1">'结果表-基准'!G118</f>
        <v>6424</v>
      </c>
      <c r="G91">
        <f ca="1">系统读取表!B5</f>
        <v>164824</v>
      </c>
      <c r="H91">
        <f ca="1">系统读取表!C5</f>
        <v>50744</v>
      </c>
    </row>
    <row r="93" spans="1:12">
      <c r="B93">
        <f>[1]结果表!D35</f>
        <v>0.127</v>
      </c>
    </row>
    <row r="96" spans="1:12">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99" t="s">
        <v>1934</v>
      </c>
      <c r="B2" s="3099"/>
      <c r="C2" s="3099"/>
      <c r="D2" s="967" t="s">
        <v>1910</v>
      </c>
      <c r="E2" s="2226" t="s">
        <v>1911</v>
      </c>
      <c r="F2" s="1391"/>
      <c r="G2" s="2227"/>
      <c r="H2" s="2228"/>
      <c r="I2" s="2229" t="s">
        <v>1935</v>
      </c>
      <c r="J2" s="1391"/>
      <c r="K2" s="1391"/>
      <c r="L2" s="1391"/>
      <c r="M2" s="1391"/>
      <c r="N2" s="1426"/>
      <c r="O2" s="1391"/>
      <c r="P2" s="1391"/>
    </row>
    <row r="3" spans="1:16" ht="15.75" thickBot="1">
      <c r="A3" s="3100" t="s">
        <v>1908</v>
      </c>
      <c r="B3" s="3100"/>
      <c r="C3" s="3100"/>
      <c r="D3" s="46">
        <f>'数据-基础表'!AY6</f>
        <v>21.35</v>
      </c>
      <c r="E3" s="46">
        <f>'数据-基础表'!AZ5</f>
        <v>440.53</v>
      </c>
      <c r="F3" s="1391"/>
      <c r="G3" s="1398"/>
      <c r="H3" s="1246" t="s">
        <v>1909</v>
      </c>
      <c r="I3" s="55">
        <f>ROUND('数据-基础表'!B3/'数据-基础表'!A3,2)</f>
        <v>20.63</v>
      </c>
      <c r="J3" s="1391"/>
      <c r="K3" s="1391"/>
      <c r="L3" s="1391"/>
      <c r="M3" s="1391"/>
      <c r="N3" s="1426"/>
      <c r="O3" s="1391"/>
      <c r="P3" s="1391"/>
    </row>
    <row r="4" spans="1:16" ht="15">
      <c r="A4" s="3101"/>
      <c r="B4" s="3102"/>
      <c r="C4" s="3103"/>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04" t="s">
        <v>1913</v>
      </c>
      <c r="C5" s="3104"/>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4" t="s">
        <v>1914</v>
      </c>
      <c r="C6" s="3104"/>
      <c r="D6" s="48">
        <f>ROUND($D$3*E6/$E$3,2)</f>
        <v>21.35</v>
      </c>
      <c r="E6" s="49">
        <f>E3-E5</f>
        <v>440.53</v>
      </c>
      <c r="F6" s="1391"/>
      <c r="G6" s="2234" t="s">
        <v>1915</v>
      </c>
      <c r="H6" s="1398" t="s">
        <v>1916</v>
      </c>
      <c r="I6" s="939">
        <f>ROUND(F31/D31,2)</f>
        <v>20.63</v>
      </c>
      <c r="J6" s="1391"/>
      <c r="K6" s="1391"/>
      <c r="L6" s="1391"/>
      <c r="M6" s="1391"/>
      <c r="N6" s="1391"/>
      <c r="O6" s="1391"/>
      <c r="P6" s="1391"/>
    </row>
    <row r="7" spans="1:16" ht="15">
      <c r="A7" s="3096"/>
      <c r="B7" s="3097"/>
      <c r="C7" s="3098"/>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21.35</v>
      </c>
      <c r="E8" s="51">
        <f>SUMIF('数据-基础表'!BB10:BK10,"地上",'数据-基础表'!BB5:BK5)</f>
        <v>440.53</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21.35</v>
      </c>
      <c r="E16" s="53">
        <f>SUM(E8:E15)</f>
        <v>440.53</v>
      </c>
      <c r="F16" s="1391"/>
      <c r="G16" s="2236"/>
      <c r="H16" s="2239" t="s">
        <v>1938</v>
      </c>
      <c r="I16" s="2240"/>
      <c r="J16" s="1391"/>
      <c r="K16" s="3093" t="s">
        <v>1938</v>
      </c>
      <c r="L16" s="3094"/>
      <c r="M16" s="3094"/>
      <c r="N16" s="3094"/>
      <c r="O16" s="3094"/>
      <c r="P16" s="3095"/>
    </row>
    <row r="17" spans="1:19" ht="15">
      <c r="A17" s="2241" t="s">
        <v>1939</v>
      </c>
      <c r="B17" s="2242" t="s">
        <v>1940</v>
      </c>
      <c r="C17" s="2243" t="s">
        <v>1941</v>
      </c>
      <c r="D17" s="2244" t="s">
        <v>1929</v>
      </c>
      <c r="E17" s="2245" t="s">
        <v>1930</v>
      </c>
      <c r="F17" s="2246"/>
      <c r="G17" s="2247"/>
      <c r="H17" s="2248" t="s">
        <v>1942</v>
      </c>
      <c r="I17" s="2249" t="s">
        <v>1927</v>
      </c>
      <c r="J17" s="1391"/>
      <c r="K17" s="3090" t="s">
        <v>1943</v>
      </c>
      <c r="L17" s="3091"/>
      <c r="M17" s="3092"/>
      <c r="N17" s="3090" t="s">
        <v>1944</v>
      </c>
      <c r="O17" s="3091"/>
      <c r="P17" s="3092"/>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
        <v>3164</v>
      </c>
      <c r="D19" s="48">
        <f>ROUND($D$3*E19/$E$3,2)</f>
        <v>21.35</v>
      </c>
      <c r="E19" s="56">
        <f t="shared" ref="E19:E26" si="1">SUM(F19:G19)</f>
        <v>440.53</v>
      </c>
      <c r="F19" s="57">
        <f>'数据-基础表'!I13</f>
        <v>440.53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21.35</v>
      </c>
      <c r="S19" s="1247">
        <f t="shared" si="5"/>
        <v>440.53</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21.35</v>
      </c>
      <c r="E27" s="1393">
        <f>IF(SUM(E19:E26)='数据-基础表'!BA5,SUM(E19:E26),IF(F27="地上面积有误","面积有误","地下面积有误"))</f>
        <v>440.53</v>
      </c>
      <c r="F27" s="1392">
        <f>IF(SUM(F19:F26)=E8,SUM(F19:F26),"地上面积有误")</f>
        <v>440.53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21.35</v>
      </c>
      <c r="S27" s="1246">
        <f>IF(SUM(S19:S26)=$E$3,SUM(S19:S26),SUM(S19:S26)&amp;"误差"&amp;ROUND(SUM(S19:S26)-E3,2))</f>
        <v>440.53</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21.35</v>
      </c>
      <c r="E31" s="729">
        <f>E27+E30</f>
        <v>440.53</v>
      </c>
      <c r="F31" s="730">
        <f>F27+F30</f>
        <v>440.53</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8" activePane="bottomRight" state="frozen"/>
      <selection activeCell="C50" sqref="C50"/>
      <selection pane="topRight" activeCell="C50" sqref="C50"/>
      <selection pane="bottomLeft" activeCell="C50" sqref="C50"/>
      <selection pane="bottomRight" activeCell="C55" sqref="C5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0.82099999999999995</v>
      </c>
      <c r="H6" s="802">
        <v>4.4999999999999998E-2</v>
      </c>
      <c r="I6" s="802">
        <v>0.05</v>
      </c>
      <c r="J6" s="74">
        <v>0.08</v>
      </c>
      <c r="K6" s="1250">
        <f>SUMIF('数据-汇总表'!C$19:C$33,A6,'数据-汇总表'!E$19:E$33)</f>
        <v>440.53</v>
      </c>
      <c r="L6" s="803">
        <v>3500</v>
      </c>
      <c r="M6" s="75">
        <f t="shared" ref="M6:M14" si="0">ROUND(K6*L6/10000,0)</f>
        <v>154</v>
      </c>
      <c r="N6" s="801">
        <v>0.78</v>
      </c>
      <c r="O6" s="75">
        <f>IF($N$5="成新度","——",ROUND(M6*N6,0))</f>
        <v>120</v>
      </c>
      <c r="P6" s="76">
        <f>IF($N$5="成新度","——",M6-O6)</f>
        <v>34</v>
      </c>
      <c r="Q6" s="804">
        <v>0.2</v>
      </c>
      <c r="R6" s="77">
        <f ca="1">SUMIF('数据-汇总表'!C$19:C$33,A6,'数据-汇总表'!R$19:R$27)</f>
        <v>21.35</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2778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0.82099999999999995</v>
      </c>
      <c r="H16" s="99">
        <f>ROUND(SUMPRODUCT(H6:H13,K6:K13)/SUMPRODUCT((H6:H13&gt;0)*(K6:K13)),3)</f>
        <v>4.4999999999999998E-2</v>
      </c>
      <c r="I16" s="100"/>
      <c r="J16" s="100"/>
      <c r="K16" s="101">
        <f>SUM(K6:K15)</f>
        <v>440.53</v>
      </c>
      <c r="L16" s="102">
        <f>ROUND(M16*10000/SUM(K6:K14),0)</f>
        <v>3496</v>
      </c>
      <c r="M16" s="102">
        <f>SUM(M6:M14)</f>
        <v>154</v>
      </c>
      <c r="N16" s="103">
        <f>ROUND(SUMPRODUCT(M6:M14,N6:N14)/M16,3)</f>
        <v>0.78</v>
      </c>
      <c r="O16" s="102">
        <f>SUM(O6:O14)</f>
        <v>120</v>
      </c>
      <c r="P16" s="102">
        <f>SUM(P6:P14)</f>
        <v>34</v>
      </c>
      <c r="Q16" s="104">
        <f>ROUND(SUMPRODUCT(Q6:Q13,K6:K13)/SUMPRODUCT((Q6:Q13&gt;0)*(K6:K13)),2)</f>
        <v>0.2</v>
      </c>
      <c r="R16" s="1254">
        <f ca="1">SUM(R6:R13)</f>
        <v>21.35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3165</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3166</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f>(N19+N20)/2</f>
        <v>0.78500000000000003</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5" t="s">
        <v>2080</v>
      </c>
      <c r="B1" s="3106"/>
      <c r="C1" s="3106"/>
      <c r="D1" s="3106"/>
      <c r="E1" s="3106"/>
      <c r="F1" s="3106"/>
      <c r="G1" s="310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32481.78999999999</v>
      </c>
      <c r="C1" s="1741"/>
      <c r="D1" s="1741"/>
      <c r="E1" s="1741"/>
      <c r="F1" s="1741"/>
      <c r="G1" s="1739"/>
    </row>
    <row r="2" spans="1:10" ht="16.5">
      <c r="A2" s="1742" t="s">
        <v>1348</v>
      </c>
      <c r="B2" s="1742">
        <f>SUM(C14:C23)</f>
        <v>1574.14</v>
      </c>
      <c r="C2" s="1741"/>
      <c r="D2" s="1741"/>
      <c r="E2" s="1741"/>
      <c r="F2" s="1741"/>
      <c r="G2" s="1739"/>
    </row>
    <row r="3" spans="1:10" ht="16.5">
      <c r="A3" s="1742" t="s">
        <v>1357</v>
      </c>
      <c r="B3" s="1743">
        <f>项目基本情况!D3</f>
        <v>43945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164824</v>
      </c>
      <c r="C5" s="1742">
        <f ca="1">ROUND(B5*10000/$B$1,0)</f>
        <v>50744</v>
      </c>
      <c r="D5" s="1742">
        <f ca="1">ROUND(B5*10000/$B$2,0)</f>
        <v>1047073</v>
      </c>
      <c r="E5" s="1741"/>
      <c r="F5" s="1739"/>
      <c r="G5" s="1739"/>
    </row>
    <row r="6" spans="1:10" ht="16.5">
      <c r="A6" s="1742" t="s">
        <v>1351</v>
      </c>
      <c r="B6" s="1742">
        <f ca="1">SUM(G14:G23)</f>
        <v>164824</v>
      </c>
      <c r="C6" s="1742">
        <f ca="1">ROUND(B6*10000/$B$1,0)</f>
        <v>50744</v>
      </c>
      <c r="D6" s="1742">
        <f ca="1">ROUND(B6*10000/$B$2,0)</f>
        <v>1047073</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440.53</v>
      </c>
      <c r="C14" s="1740">
        <f>结果表!C118</f>
        <v>21.35</v>
      </c>
      <c r="D14" s="1740">
        <f ca="1">结果表!H118</f>
        <v>164824</v>
      </c>
      <c r="E14" s="1740">
        <f ca="1">ROUND(D14*10000/B14,0)</f>
        <v>3741493</v>
      </c>
      <c r="F14" s="1740">
        <f ca="1">ROUND(D14*10000/C14,0)</f>
        <v>77200937</v>
      </c>
      <c r="G14" s="1740">
        <f ca="1">结果表!D122</f>
        <v>164824</v>
      </c>
      <c r="H14" s="1740" t="str">
        <f>结果表!D124</f>
        <v>——</v>
      </c>
      <c r="I14" s="1740" t="str">
        <f>结果表!D126</f>
        <v>——</v>
      </c>
      <c r="J14" s="1739"/>
    </row>
    <row r="15" spans="1:10" ht="16.5">
      <c r="A15" s="1738" t="s">
        <v>1344</v>
      </c>
      <c r="B15" s="1745">
        <f>Sheet2!G82-系统读取表!B14</f>
        <v>32041.259999999991</v>
      </c>
      <c r="C15" s="1745">
        <f>Sheet2!H85-系统读取表!C14</f>
        <v>1552.7900000000002</v>
      </c>
      <c r="D15" s="1745"/>
      <c r="E15" s="1740">
        <f t="shared" ref="E15:E23" si="0">ROUND(D15*10000/B15,0)</f>
        <v>0</v>
      </c>
      <c r="F15" s="1740">
        <f t="shared" ref="F15:F23" si="1">ROUND(D15*10000/C15,0)</f>
        <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9" t="str">
        <f>项目基本情况!S2</f>
        <v>北京市出让国有建设用地使用权及在建建筑物房地产</v>
      </c>
      <c r="B2" s="3180"/>
      <c r="C2" s="3180"/>
      <c r="D2" s="3180"/>
      <c r="E2" s="3180"/>
      <c r="F2" s="3180"/>
      <c r="G2" s="3180"/>
      <c r="H2" s="3180"/>
      <c r="I2" s="3181"/>
    </row>
    <row r="3" spans="1:12" ht="12.75">
      <c r="A3" s="3182" t="s">
        <v>2120</v>
      </c>
      <c r="B3" s="3183"/>
      <c r="C3" s="3183"/>
      <c r="D3" s="3183"/>
      <c r="E3" s="3183"/>
      <c r="F3" s="3183"/>
      <c r="G3" s="3183"/>
      <c r="H3" s="3183"/>
      <c r="I3" s="3183"/>
    </row>
    <row r="4" spans="1:12" ht="14.25">
      <c r="A4" s="2424" t="s">
        <v>2121</v>
      </c>
      <c r="B4" s="2425" t="s">
        <v>2122</v>
      </c>
      <c r="C4" s="2426" t="s">
        <v>3187</v>
      </c>
      <c r="D4" s="2426" t="s">
        <v>3187</v>
      </c>
      <c r="E4" s="3163" t="s">
        <v>2123</v>
      </c>
      <c r="F4" s="3176"/>
      <c r="G4" s="3176"/>
      <c r="H4" s="3176"/>
      <c r="I4" s="3164"/>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4" t="s">
        <v>2124</v>
      </c>
      <c r="B5" s="3064">
        <v>25</v>
      </c>
      <c r="C5" s="3184"/>
      <c r="D5" s="3172"/>
      <c r="E5" s="140" t="s">
        <v>2125</v>
      </c>
      <c r="F5" s="2428"/>
      <c r="G5" s="2428"/>
      <c r="H5" s="2428"/>
      <c r="I5" s="1830"/>
    </row>
    <row r="6" spans="1:12" ht="12.75">
      <c r="A6" s="3154"/>
      <c r="B6" s="3064"/>
      <c r="C6" s="3186"/>
      <c r="D6" s="3172"/>
      <c r="E6" s="140" t="s">
        <v>2126</v>
      </c>
      <c r="F6" s="2428"/>
      <c r="G6" s="2428"/>
      <c r="H6" s="2428"/>
      <c r="I6" s="1830"/>
    </row>
    <row r="7" spans="1:12" ht="12.75">
      <c r="A7" s="3154"/>
      <c r="B7" s="3064"/>
      <c r="C7" s="3185"/>
      <c r="D7" s="3172"/>
      <c r="E7" s="140" t="s">
        <v>2127</v>
      </c>
      <c r="F7" s="2428"/>
      <c r="G7" s="2428"/>
      <c r="H7" s="2428"/>
      <c r="I7" s="1830"/>
    </row>
    <row r="8" spans="1:12" ht="12.75">
      <c r="A8" s="3154" t="s">
        <v>2128</v>
      </c>
      <c r="B8" s="3064">
        <v>15</v>
      </c>
      <c r="C8" s="3184"/>
      <c r="D8" s="3172"/>
      <c r="E8" s="140" t="s">
        <v>2129</v>
      </c>
      <c r="F8" s="2428"/>
      <c r="G8" s="2428"/>
      <c r="H8" s="2428"/>
      <c r="I8" s="1830"/>
    </row>
    <row r="9" spans="1:12" ht="12.75">
      <c r="A9" s="3154"/>
      <c r="B9" s="3064"/>
      <c r="C9" s="3185"/>
      <c r="D9" s="3172"/>
      <c r="E9" s="140" t="s">
        <v>2130</v>
      </c>
      <c r="F9" s="2428"/>
      <c r="G9" s="2428"/>
      <c r="H9" s="2428"/>
      <c r="I9" s="1830"/>
    </row>
    <row r="10" spans="1:12" ht="12.75">
      <c r="A10" s="3154" t="s">
        <v>2131</v>
      </c>
      <c r="B10" s="3064">
        <v>15</v>
      </c>
      <c r="C10" s="3184"/>
      <c r="D10" s="3172"/>
      <c r="E10" s="140" t="s">
        <v>2132</v>
      </c>
      <c r="F10" s="2428"/>
      <c r="G10" s="2428"/>
      <c r="H10" s="2428"/>
      <c r="I10" s="1830"/>
    </row>
    <row r="11" spans="1:12" ht="12.75">
      <c r="A11" s="3154"/>
      <c r="B11" s="3064"/>
      <c r="C11" s="3185"/>
      <c r="D11" s="3172"/>
      <c r="E11" s="140" t="s">
        <v>2133</v>
      </c>
      <c r="F11" s="2428"/>
      <c r="G11" s="2428"/>
      <c r="H11" s="2428"/>
      <c r="I11" s="1830"/>
    </row>
    <row r="12" spans="1:12" ht="12.75">
      <c r="A12" s="3154" t="s">
        <v>2134</v>
      </c>
      <c r="B12" s="3064">
        <v>15</v>
      </c>
      <c r="C12" s="3184"/>
      <c r="D12" s="3172"/>
      <c r="E12" s="140" t="s">
        <v>2135</v>
      </c>
      <c r="F12" s="2428"/>
      <c r="G12" s="2428"/>
      <c r="H12" s="2428"/>
      <c r="I12" s="1830"/>
    </row>
    <row r="13" spans="1:12" ht="12.75">
      <c r="A13" s="3154"/>
      <c r="B13" s="3064"/>
      <c r="C13" s="3185"/>
      <c r="D13" s="3172"/>
      <c r="E13" s="140" t="s">
        <v>2136</v>
      </c>
      <c r="F13" s="2428"/>
      <c r="G13" s="2428"/>
      <c r="H13" s="2428"/>
      <c r="I13" s="1830"/>
    </row>
    <row r="14" spans="1:12" ht="12.75">
      <c r="A14" s="3154" t="s">
        <v>2137</v>
      </c>
      <c r="B14" s="3064">
        <v>30</v>
      </c>
      <c r="C14" s="3184">
        <v>1</v>
      </c>
      <c r="D14" s="3172">
        <v>1</v>
      </c>
      <c r="E14" s="140" t="s">
        <v>2138</v>
      </c>
      <c r="F14" s="2428"/>
      <c r="G14" s="2428"/>
      <c r="H14" s="2428"/>
      <c r="I14" s="1830"/>
    </row>
    <row r="15" spans="1:12" ht="12.75">
      <c r="A15" s="3154"/>
      <c r="B15" s="3064"/>
      <c r="C15" s="3186"/>
      <c r="D15" s="3172"/>
      <c r="E15" s="140" t="s">
        <v>2139</v>
      </c>
      <c r="F15" s="2428"/>
      <c r="G15" s="2428"/>
      <c r="H15" s="2428"/>
      <c r="I15" s="1830"/>
    </row>
    <row r="16" spans="1:12" ht="12.75">
      <c r="A16" s="3154"/>
      <c r="B16" s="3064"/>
      <c r="C16" s="3185"/>
      <c r="D16" s="3172"/>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440.53</v>
      </c>
      <c r="M18" s="2427">
        <f>IF(C1="",'数据-汇总表'!E3,SUMIF(项目类型,C1,'数据-汇总表'!E17:E26))</f>
        <v>440.53</v>
      </c>
    </row>
    <row r="19" spans="1:35" ht="15">
      <c r="A19" s="2433" t="s">
        <v>2146</v>
      </c>
      <c r="B19" s="2434" t="s">
        <v>2147</v>
      </c>
      <c r="C19" s="143">
        <f ca="1">SUMIF(INDIRECT("'"&amp;C4&amp;"'"&amp;"!A:A"),结果表!B19,INDIRECT("'"&amp;C4&amp;"'"&amp;"!B:B"))</f>
        <v>164824</v>
      </c>
      <c r="D19" s="144">
        <f ca="1">SUMIF(INDIRECT("'"&amp;D4&amp;"'"&amp;"!A:A"),结果表!B19,INDIRECT("'"&amp;D4&amp;"'"&amp;"!B:B"))</f>
        <v>164824</v>
      </c>
      <c r="E19" s="2433" t="s">
        <v>2148</v>
      </c>
      <c r="F19" s="2434" t="s">
        <v>2147</v>
      </c>
      <c r="G19" s="145">
        <f ca="1">ROUND(C19*$C$18+D19*$D$18,0)</f>
        <v>164824</v>
      </c>
      <c r="H19" s="2435" t="s">
        <v>2149</v>
      </c>
      <c r="I19" s="138"/>
      <c r="K19" s="2427" t="s">
        <v>2150</v>
      </c>
      <c r="L19" s="2427">
        <f>IF(C1="",'数据-汇总表'!D3,SUMIF(项目类型,C1,'数据-汇总表'!D17:D26)+SUMIF(项目类型,C1,'数据-汇总表'!H17:H27))</f>
        <v>21.35</v>
      </c>
      <c r="M19" s="2427">
        <f>IF(C1="",'数据-汇总表'!D3,SUMIF(项目类型,C1,'数据-汇总表'!D17:D26))</f>
        <v>21.35</v>
      </c>
    </row>
    <row r="20" spans="1:35" ht="15">
      <c r="A20" s="2436"/>
      <c r="B20" s="1246" t="s">
        <v>2151</v>
      </c>
      <c r="C20" s="146">
        <f ca="1">SUMIF(INDIRECT("'"&amp;C4&amp;"'"&amp;"!A:A"),结果表!B20,INDIRECT("'"&amp;C4&amp;"'"&amp;"!B:B"))</f>
        <v>50744</v>
      </c>
      <c r="D20" s="147">
        <f ca="1">SUMIF(INDIRECT("'"&amp;D4&amp;"'"&amp;"!A:A"),结果表!B20,INDIRECT("'"&amp;D4&amp;"'"&amp;"!B:B"))</f>
        <v>50744</v>
      </c>
      <c r="E20" s="2436"/>
      <c r="F20" s="1246" t="s">
        <v>2151</v>
      </c>
      <c r="G20" s="148">
        <f ca="1">ROUND(C20*$C$18+D20*$D$18,0)</f>
        <v>50744</v>
      </c>
      <c r="H20" s="980" t="s">
        <v>2152</v>
      </c>
      <c r="I20" s="138"/>
    </row>
    <row r="21" spans="1:35" ht="15" customHeight="1" thickBot="1">
      <c r="A21" s="1000"/>
      <c r="B21" s="2437" t="s">
        <v>2153</v>
      </c>
      <c r="C21" s="789">
        <f ca="1">ROUND(C19*10000/L19,0)</f>
        <v>77200937</v>
      </c>
      <c r="D21" s="790">
        <f ca="1">ROUND(D19*10000/L19,0)</f>
        <v>77200937</v>
      </c>
      <c r="E21" s="1000"/>
      <c r="F21" s="2437" t="s">
        <v>2153</v>
      </c>
      <c r="G21" s="149">
        <f ca="1">ROUND(G19*10000/L19,0)</f>
        <v>77200937</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3" t="s">
        <v>2155</v>
      </c>
      <c r="B24" s="2434" t="s">
        <v>2147</v>
      </c>
      <c r="C24" s="145">
        <f>IF(B30=0,0,D30)</f>
        <v>0</v>
      </c>
      <c r="D24" s="2441"/>
      <c r="E24" s="138"/>
      <c r="F24" s="138"/>
      <c r="G24" s="138"/>
      <c r="H24" s="138"/>
      <c r="I24" s="138"/>
    </row>
    <row r="25" spans="1:35" ht="14.25">
      <c r="A25" s="3194"/>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164824</v>
      </c>
      <c r="D32" s="2448" t="s">
        <v>2162</v>
      </c>
      <c r="E32" s="138"/>
      <c r="F32" s="138"/>
      <c r="G32" s="138"/>
      <c r="H32" s="138"/>
      <c r="I32" s="138"/>
    </row>
    <row r="33" spans="1:15" ht="15">
      <c r="A33" s="957"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2166</v>
      </c>
      <c r="F34" s="1735"/>
      <c r="G34" s="138"/>
      <c r="H34" s="138"/>
      <c r="I34" s="138"/>
    </row>
    <row r="35" spans="1:15" ht="15.75" thickBot="1">
      <c r="A35" s="2457"/>
      <c r="B35" s="2458"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3" t="s">
        <v>2169</v>
      </c>
      <c r="B36" s="2460" t="s">
        <v>2170</v>
      </c>
      <c r="C36" s="154"/>
      <c r="D36" s="2461"/>
      <c r="E36" s="2462"/>
      <c r="F36" s="2463"/>
      <c r="G36" s="138"/>
      <c r="H36" s="138"/>
      <c r="I36" s="138"/>
    </row>
    <row r="37" spans="1:15" ht="15.75" thickBot="1">
      <c r="A37" s="3174"/>
      <c r="B37" s="2266" t="s">
        <v>2171</v>
      </c>
      <c r="C37" s="156"/>
      <c r="D37" s="1391"/>
      <c r="E37" s="1391"/>
      <c r="F37" s="2463"/>
      <c r="G37" s="138"/>
      <c r="H37" s="138"/>
      <c r="I37" s="138"/>
    </row>
    <row r="38" spans="1:15" ht="15.75" thickBot="1">
      <c r="A38" s="3175"/>
      <c r="B38" s="2464" t="s">
        <v>2172</v>
      </c>
      <c r="C38" s="727"/>
      <c r="D38" s="2465" t="s">
        <v>2173</v>
      </c>
      <c r="E38" s="1391"/>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0" t="s">
        <v>2183</v>
      </c>
      <c r="B45" s="3191"/>
      <c r="C45" s="3192"/>
      <c r="D45" s="164">
        <f ca="1">ROUND(H101*F45,0)</f>
        <v>131859</v>
      </c>
      <c r="E45" s="165" t="s">
        <v>2184</v>
      </c>
      <c r="F45" s="166">
        <v>0.8</v>
      </c>
      <c r="G45" s="167" t="s">
        <v>2185</v>
      </c>
      <c r="H45" s="138"/>
      <c r="I45" s="138"/>
      <c r="J45" s="3109" t="s">
        <v>2186</v>
      </c>
      <c r="K45" s="3109"/>
      <c r="L45" s="3109"/>
      <c r="M45" s="3109"/>
      <c r="N45" s="3109"/>
      <c r="O45" s="3109"/>
    </row>
    <row r="46" spans="1:15" ht="14.25" customHeight="1">
      <c r="A46" s="3187" t="s">
        <v>2187</v>
      </c>
      <c r="B46" s="3188"/>
      <c r="C46" s="3188"/>
      <c r="D46" s="3188"/>
      <c r="E46" s="3188"/>
      <c r="F46" s="3188"/>
      <c r="G46" s="3189"/>
      <c r="H46" s="2479"/>
      <c r="I46" s="168"/>
      <c r="J46" s="1808">
        <v>1</v>
      </c>
      <c r="K46" s="3109" t="s">
        <v>2188</v>
      </c>
      <c r="L46" s="3109"/>
      <c r="M46" s="3110"/>
      <c r="N46" s="3110"/>
      <c r="O46" s="3110"/>
    </row>
    <row r="47" spans="1:15" ht="12" customHeight="1">
      <c r="A47" s="169" t="s">
        <v>2189</v>
      </c>
      <c r="B47" s="170"/>
      <c r="C47" s="171"/>
      <c r="D47" s="172" t="s">
        <v>2190</v>
      </c>
      <c r="E47" s="24" t="s">
        <v>2191</v>
      </c>
      <c r="F47" s="173" t="s">
        <v>2192</v>
      </c>
      <c r="G47" s="174" t="s">
        <v>2193</v>
      </c>
      <c r="H47" s="2479"/>
      <c r="I47" s="168"/>
      <c r="J47" s="1808">
        <v>2</v>
      </c>
      <c r="K47" s="3109" t="s">
        <v>2194</v>
      </c>
      <c r="L47" s="3109"/>
      <c r="M47" s="3111">
        <f>'数据-取费表'!B2</f>
        <v>43945</v>
      </c>
      <c r="N47" s="3111"/>
      <c r="O47" s="3111"/>
    </row>
    <row r="48" spans="1:15" ht="25.5">
      <c r="A48" s="3177" t="s">
        <v>2195</v>
      </c>
      <c r="B48" s="3178"/>
      <c r="C48" s="3178"/>
      <c r="D48" s="140">
        <f ca="1">IF(H48="情况1",0,IF(H48="情况2",D52,IF(H48="情况3",D53,IF(H48="情况4",D54))))</f>
        <v>7032</v>
      </c>
      <c r="E48" s="1797" t="str">
        <f>IF(H48="情况4","(销售额-原购置价)×税（费）率","销售额×税（费）率")</f>
        <v>(销售额-原购置价)×税（费）率</v>
      </c>
      <c r="F48" s="175">
        <f>IF(H48="情况1","免征",'数据-取费表'!B41)</f>
        <v>5.6000000000000001E-2</v>
      </c>
      <c r="G48" s="2480" t="s">
        <v>2196</v>
      </c>
      <c r="H48" s="2481" t="s">
        <v>3189</v>
      </c>
      <c r="I48" s="2479"/>
      <c r="J48" s="1808">
        <v>3</v>
      </c>
      <c r="K48" s="3109" t="s">
        <v>2198</v>
      </c>
      <c r="L48" s="3109"/>
      <c r="M48" s="3112">
        <f ca="1">H101</f>
        <v>164824</v>
      </c>
      <c r="N48" s="3112"/>
      <c r="O48" s="3112"/>
    </row>
    <row r="49" spans="1:35" ht="25.5" customHeight="1">
      <c r="A49" s="176" t="s">
        <v>2199</v>
      </c>
      <c r="B49" s="3157" t="s">
        <v>2200</v>
      </c>
      <c r="C49" s="3157"/>
      <c r="D49" s="177">
        <v>0</v>
      </c>
      <c r="E49" s="23" t="s">
        <v>2201</v>
      </c>
      <c r="F49" s="28" t="s">
        <v>34</v>
      </c>
      <c r="G49" s="3138"/>
      <c r="H49" s="138"/>
      <c r="I49" s="2482"/>
      <c r="J49" s="1808">
        <v>4</v>
      </c>
      <c r="K49" s="3109" t="str">
        <f>IF(项目基本情况!E8="房地产抵押价值","房地产抵押价值","抵押担保权已注销时的房地产抵押价值")</f>
        <v>房地产抵押价值</v>
      </c>
      <c r="L49" s="3109"/>
      <c r="M49" s="3112">
        <f ca="1">IF(项目基本情况!E8="房地产抵押价值",H107,H109)</f>
        <v>164824</v>
      </c>
      <c r="N49" s="3112"/>
      <c r="O49" s="3112"/>
    </row>
    <row r="50" spans="1:35" ht="25.5" customHeight="1">
      <c r="A50" s="178"/>
      <c r="B50" s="3157" t="s">
        <v>2202</v>
      </c>
      <c r="C50" s="3157"/>
      <c r="D50" s="179"/>
      <c r="E50" s="31"/>
      <c r="F50" s="180"/>
      <c r="G50" s="3139"/>
      <c r="H50" s="138"/>
      <c r="I50" s="2482"/>
      <c r="J50" s="3109" t="s">
        <v>2203</v>
      </c>
      <c r="K50" s="3109"/>
      <c r="L50" s="3109"/>
      <c r="M50" s="3109"/>
      <c r="N50" s="3109"/>
      <c r="O50" s="3109"/>
    </row>
    <row r="51" spans="1:35" ht="12" customHeight="1">
      <c r="A51" s="181"/>
      <c r="B51" s="3157" t="s">
        <v>2204</v>
      </c>
      <c r="C51" s="3157"/>
      <c r="D51" s="182"/>
      <c r="E51" s="30"/>
      <c r="F51" s="180"/>
      <c r="G51" s="3140"/>
      <c r="H51" s="138"/>
      <c r="I51" s="2482"/>
      <c r="J51" s="2483" t="s">
        <v>2205</v>
      </c>
      <c r="K51" s="3109" t="s">
        <v>2206</v>
      </c>
      <c r="L51" s="3109"/>
      <c r="M51" s="2483" t="s">
        <v>2207</v>
      </c>
      <c r="N51" s="2483" t="s">
        <v>2208</v>
      </c>
      <c r="O51" s="2483" t="s">
        <v>2209</v>
      </c>
    </row>
    <row r="52" spans="1:35" ht="24" customHeight="1">
      <c r="A52" s="183" t="s">
        <v>2210</v>
      </c>
      <c r="B52" s="3157" t="s">
        <v>2211</v>
      </c>
      <c r="C52" s="3157"/>
      <c r="D52" s="182">
        <f ca="1">ROUND(D45*'数据-取费表'!B41/(1+'数据-取费表'!C42),0)</f>
        <v>7032</v>
      </c>
      <c r="E52" s="11" t="s">
        <v>2212</v>
      </c>
      <c r="F52" s="184">
        <f>'数据-取费表'!B41</f>
        <v>5.6000000000000001E-2</v>
      </c>
      <c r="G52" s="2484"/>
      <c r="H52" s="138"/>
      <c r="I52" s="2482"/>
      <c r="J52" s="1808">
        <v>1</v>
      </c>
      <c r="K52" s="3132" t="s">
        <v>2213</v>
      </c>
      <c r="L52" s="3132"/>
      <c r="M52" s="1750">
        <f ca="1">D48</f>
        <v>7032</v>
      </c>
      <c r="N52" s="1808" t="str">
        <f>E48</f>
        <v>(销售额-原购置价)×税（费）率</v>
      </c>
      <c r="O52" s="1751">
        <f>F48</f>
        <v>5.6000000000000001E-2</v>
      </c>
    </row>
    <row r="53" spans="1:35" ht="12" customHeight="1">
      <c r="A53" s="183" t="s">
        <v>2214</v>
      </c>
      <c r="B53" s="3158" t="s">
        <v>2215</v>
      </c>
      <c r="C53" s="3159"/>
      <c r="D53" s="182">
        <f ca="1">ROUND(D45*'数据-取费表'!B41/(1+'数据-取费表'!C42),0)</f>
        <v>7032</v>
      </c>
      <c r="E53" s="11" t="s">
        <v>2212</v>
      </c>
      <c r="F53" s="184">
        <f>'数据-取费表'!B41</f>
        <v>5.6000000000000001E-2</v>
      </c>
      <c r="G53" s="2484"/>
      <c r="H53" s="138"/>
      <c r="I53" s="2482"/>
      <c r="J53" s="1808">
        <v>2</v>
      </c>
      <c r="K53" s="3132" t="s">
        <v>2216</v>
      </c>
      <c r="L53" s="3132"/>
      <c r="M53" s="1750">
        <f t="shared" ref="M53:O54" ca="1" si="0">D55</f>
        <v>66</v>
      </c>
      <c r="N53" s="1808" t="str">
        <f t="shared" si="0"/>
        <v>销售额×税（费）率</v>
      </c>
      <c r="O53" s="1751">
        <f t="shared" si="0"/>
        <v>5.0000000000000001E-4</v>
      </c>
    </row>
    <row r="54" spans="1:35" ht="12" customHeight="1">
      <c r="A54" s="183" t="s">
        <v>2217</v>
      </c>
      <c r="B54" s="3158" t="s">
        <v>2218</v>
      </c>
      <c r="C54" s="3159"/>
      <c r="D54" s="182">
        <f ca="1">C68</f>
        <v>7032</v>
      </c>
      <c r="E54" s="30" t="s">
        <v>2219</v>
      </c>
      <c r="F54" s="184">
        <f>'数据-取费表'!B41</f>
        <v>5.6000000000000001E-2</v>
      </c>
      <c r="G54" s="2484"/>
      <c r="H54" s="2485"/>
      <c r="I54" s="2482"/>
      <c r="J54" s="1808">
        <v>3</v>
      </c>
      <c r="K54" s="3132" t="s">
        <v>2220</v>
      </c>
      <c r="L54" s="3132"/>
      <c r="M54" s="1750">
        <f t="shared" ca="1" si="0"/>
        <v>47763</v>
      </c>
      <c r="N54" s="1808" t="str">
        <f t="shared" si="0"/>
        <v>增值额×税（费）率</v>
      </c>
      <c r="O54" s="1752" t="str">
        <f t="shared" si="0"/>
        <v>——</v>
      </c>
    </row>
    <row r="55" spans="1:35" ht="24" customHeight="1">
      <c r="A55" s="3196" t="s">
        <v>2221</v>
      </c>
      <c r="B55" s="3178"/>
      <c r="C55" s="3178"/>
      <c r="D55" s="185">
        <f ca="1">IF(H55="个人住宅",0,ROUND(D45*I55,0))</f>
        <v>66</v>
      </c>
      <c r="E55" s="11" t="s">
        <v>2222</v>
      </c>
      <c r="F55" s="184">
        <f>IF(H55="正常",I55,"免征")</f>
        <v>5.0000000000000001E-4</v>
      </c>
      <c r="G55" s="2484"/>
      <c r="H55" s="2481" t="s">
        <v>2223</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196" t="s">
        <v>2224</v>
      </c>
      <c r="B56" s="3178"/>
      <c r="C56" s="3178"/>
      <c r="D56" s="185">
        <f ca="1">IF(H56="个人住宅",D57,D58)</f>
        <v>47763</v>
      </c>
      <c r="E56" s="11" t="s">
        <v>2225</v>
      </c>
      <c r="F56" s="184" t="str">
        <f>IF(H56="正常",F58,"免征")</f>
        <v>——</v>
      </c>
      <c r="G56" s="2486" t="s">
        <v>2226</v>
      </c>
      <c r="H56" s="2487" t="s">
        <v>2223</v>
      </c>
      <c r="I56" s="2488"/>
      <c r="J56" s="1808" t="str">
        <f>IF(项目基本情况!K6="上海银行",IF(J55="",4,J55+1),"")</f>
        <v/>
      </c>
      <c r="K56" s="3115" t="str">
        <f>IF(项目基本情况!K6="上海银行","其他处置费用","")</f>
        <v/>
      </c>
      <c r="L56" s="3116"/>
      <c r="M56" s="1750" t="str">
        <f>IF(项目基本情况!K6="上海银行",M69,"")</f>
        <v/>
      </c>
      <c r="N56" s="3118" t="str">
        <f>IF(项目基本情况!K6="上海银行","包含处置中涉及的律师、诉讼、拍卖、评估等费用","")</f>
        <v/>
      </c>
      <c r="O56" s="3119"/>
    </row>
    <row r="57" spans="1:35" ht="12.75">
      <c r="A57" s="183" t="s">
        <v>2199</v>
      </c>
      <c r="B57" s="3163" t="s">
        <v>2227</v>
      </c>
      <c r="C57" s="3164"/>
      <c r="D57" s="187">
        <v>0</v>
      </c>
      <c r="E57" s="23" t="s">
        <v>2201</v>
      </c>
      <c r="F57" s="155"/>
      <c r="G57" s="2484"/>
      <c r="H57" s="2488"/>
      <c r="I57" s="2488"/>
      <c r="J57" s="3132">
        <f>IF(AND(J55="",J56=""),4,IF(项目基本情况!K6="上海银行",结果表!J56+1,结果表!J55+1))</f>
        <v>4</v>
      </c>
      <c r="K57" s="3132" t="s">
        <v>2228</v>
      </c>
      <c r="L57" s="2489" t="s">
        <v>2229</v>
      </c>
      <c r="M57" s="1755"/>
      <c r="N57" s="1756">
        <f ca="1">SUMIF(M52:M56,"&lt;9e307")</f>
        <v>54861</v>
      </c>
      <c r="O57" s="2490"/>
      <c r="P57" s="1749">
        <f ca="1">N57/M49</f>
        <v>0.33284594476532542</v>
      </c>
    </row>
    <row r="58" spans="1:35" ht="24.75">
      <c r="A58" s="183" t="s">
        <v>2210</v>
      </c>
      <c r="B58" s="3163" t="s">
        <v>2230</v>
      </c>
      <c r="C58" s="3176"/>
      <c r="D58" s="185">
        <f ca="1">IF(H58="转让取得",C81,C97)</f>
        <v>47763</v>
      </c>
      <c r="E58" s="11" t="s">
        <v>2225</v>
      </c>
      <c r="F58" s="24" t="s">
        <v>34</v>
      </c>
      <c r="G58" s="2484"/>
      <c r="H58" s="2487" t="s">
        <v>3190</v>
      </c>
      <c r="I58" s="2488"/>
      <c r="J58" s="3132"/>
      <c r="K58" s="3132"/>
      <c r="L58" s="2489" t="s">
        <v>2232</v>
      </c>
      <c r="M58" s="1757"/>
      <c r="N58" s="2491" t="str">
        <f ca="1">NUMBERSTRING(INT(N57*10000),2)&amp;"元整"</f>
        <v>伍亿肆仟捌佰陆拾壹万元整</v>
      </c>
      <c r="O58" s="2492"/>
    </row>
    <row r="59" spans="1:35" ht="24.75" thickBot="1">
      <c r="A59" s="3136" t="s">
        <v>2233</v>
      </c>
      <c r="B59" s="3137"/>
      <c r="C59" s="3137"/>
      <c r="D59" s="188" t="str">
        <f>IF(H59="非个人房产","——",IF(H59="个人住宅",0,ROUND(D45*I59,0)))</f>
        <v>——</v>
      </c>
      <c r="E59" s="189" t="str">
        <f>IF(H59="非个人房产","——","销售额×税（费）率")</f>
        <v>——</v>
      </c>
      <c r="F59" s="190" t="str">
        <f>IF(H59="非个人房产","——",IF(H59="个人住宅","免征",I59))</f>
        <v>——</v>
      </c>
      <c r="G59" s="2493" t="s">
        <v>2226</v>
      </c>
      <c r="H59" s="2487" t="s">
        <v>3191</v>
      </c>
      <c r="I59" s="191">
        <v>0.01</v>
      </c>
      <c r="J59" s="3134">
        <f>J57+1</f>
        <v>5</v>
      </c>
      <c r="K59" s="3132" t="s">
        <v>2235</v>
      </c>
      <c r="L59" s="1808" t="s">
        <v>2229</v>
      </c>
      <c r="M59" s="1758"/>
      <c r="N59" s="1759">
        <f ca="1">M49-N57</f>
        <v>109963</v>
      </c>
      <c r="O59" s="2494"/>
    </row>
    <row r="60" spans="1:35" ht="12" customHeight="1">
      <c r="A60" s="2495"/>
      <c r="B60" s="2417"/>
      <c r="C60" s="2417"/>
      <c r="D60" s="2417"/>
      <c r="E60" s="2165"/>
      <c r="F60" s="2488"/>
      <c r="G60" s="2488"/>
      <c r="H60" s="2496"/>
      <c r="I60" s="138"/>
      <c r="J60" s="3135"/>
      <c r="K60" s="3132"/>
      <c r="L60" s="2489" t="s">
        <v>2232</v>
      </c>
      <c r="M60" s="1757"/>
      <c r="N60" s="2491" t="str">
        <f ca="1">NUMBERSTRING(INT(N59*10000),2)&amp;"元整"</f>
        <v>壹拾亿玖仟玖佰陆拾叁万元整</v>
      </c>
      <c r="O60" s="2492"/>
    </row>
    <row r="61" spans="1:35" ht="13.5" thickBot="1">
      <c r="A61" s="3195" t="s">
        <v>2236</v>
      </c>
      <c r="B61" s="3195"/>
      <c r="C61" s="3195"/>
      <c r="D61" s="3195"/>
      <c r="E61" s="3195"/>
      <c r="F61" s="2488"/>
      <c r="G61" s="2488"/>
      <c r="H61" s="2496"/>
      <c r="I61" s="138"/>
      <c r="J61" s="1808">
        <f>J59+1</f>
        <v>6</v>
      </c>
      <c r="K61" s="3132" t="s">
        <v>2237</v>
      </c>
      <c r="L61" s="3132"/>
      <c r="M61" s="1760"/>
      <c r="N61" s="1761">
        <f ca="1">ROUND(N59*10000/'数据-汇总表'!E3,0)</f>
        <v>2496152</v>
      </c>
      <c r="O61" s="2497"/>
    </row>
    <row r="62" spans="1:35" ht="12.75">
      <c r="A62" s="3152" t="s">
        <v>2238</v>
      </c>
      <c r="B62" s="3153"/>
      <c r="C62" s="1800"/>
      <c r="D62" s="1800" t="s">
        <v>2239</v>
      </c>
      <c r="E62" s="192" t="s">
        <v>2240</v>
      </c>
      <c r="F62" s="2488"/>
      <c r="G62" s="2488"/>
      <c r="H62" s="2496"/>
      <c r="I62" s="138"/>
    </row>
    <row r="63" spans="1:35" ht="12.75">
      <c r="A63" s="203" t="s">
        <v>775</v>
      </c>
      <c r="B63" s="193" t="s">
        <v>2241</v>
      </c>
      <c r="C63" s="194">
        <f ca="1">ROUND((C64+C65)/(1+'数据-取费表'!C42),0)</f>
        <v>125580</v>
      </c>
      <c r="D63" s="195"/>
      <c r="E63" s="196"/>
      <c r="F63" s="2488"/>
      <c r="G63" s="2488"/>
      <c r="H63" s="2496"/>
      <c r="I63" s="138"/>
      <c r="J63" s="3117" t="s">
        <v>2242</v>
      </c>
      <c r="K63" s="2498" t="s">
        <v>2243</v>
      </c>
      <c r="L63" s="1748">
        <f ca="1">IF(M49&gt;10000,M49*0.5%,IF(AND(M49&gt;1000,M49&lt;=10000),M49*1%,IF(AND(M49&gt;100,M49&lt;=1000),M49*3%,IF(AND(M49&gt;10,M49&lt;=100),M49*5%,M49*8%))))</f>
        <v>824.12</v>
      </c>
      <c r="M63" s="24">
        <f ca="1">ROUND(L63,1)</f>
        <v>824.1</v>
      </c>
      <c r="Z63" s="2422"/>
      <c r="AI63" s="2423"/>
    </row>
    <row r="64" spans="1:35" ht="14.25" customHeight="1">
      <c r="A64" s="197" t="s">
        <v>770</v>
      </c>
      <c r="B64" s="198" t="s">
        <v>2244</v>
      </c>
      <c r="C64" s="199">
        <f ca="1">D45</f>
        <v>131859</v>
      </c>
      <c r="D64" s="200" t="s">
        <v>32</v>
      </c>
      <c r="E64" s="201"/>
      <c r="F64" s="2488"/>
      <c r="G64" s="2488"/>
      <c r="H64" s="2496"/>
      <c r="I64" s="138"/>
      <c r="J64" s="3117"/>
      <c r="K64" s="2498" t="s">
        <v>2245</v>
      </c>
      <c r="L64" s="1748">
        <f ca="1">IF(M49&gt;2000,M49*0.5%,IF(AND(M49&gt;1000,M49&lt;=2000),M49*0.6%,IF(AND(M49&gt;500,M49&lt;=1000),M49*0.7%,IF(AND(M49&gt;200,M49&lt;=500),M49*0.8%,IF(AND(M49&gt;100,M49&lt;=200),M49*0.9%,IF(AND(M49&gt;50,M49&lt;=100),M49*1%,IF(AND(M49&gt;20,M49&lt;=50),M49*1.5%,IF(AND(M49&gt;10,M49&lt;=20),M49*2%,IF(AND(M49&gt;1,M49&lt;=10),M49*2.5%)))))))))</f>
        <v>824.12</v>
      </c>
      <c r="M64" s="24">
        <f t="shared" ref="M64:M65" ca="1" si="1">ROUND(L64,1)</f>
        <v>824.1</v>
      </c>
      <c r="N64" s="138" t="s">
        <v>2246</v>
      </c>
      <c r="Z64" s="2422"/>
      <c r="AI64" s="2423"/>
    </row>
    <row r="65" spans="1:35" ht="14.25" customHeight="1">
      <c r="A65" s="197" t="s">
        <v>771</v>
      </c>
      <c r="B65" s="198" t="s">
        <v>2247</v>
      </c>
      <c r="C65" s="202"/>
      <c r="D65" s="200"/>
      <c r="E65" s="201"/>
      <c r="F65" s="2488"/>
      <c r="G65" s="2488"/>
      <c r="H65" s="2496"/>
      <c r="I65" s="138"/>
      <c r="J65" s="3117"/>
      <c r="K65" s="2498" t="s">
        <v>2248</v>
      </c>
      <c r="L65" s="1748">
        <f ca="1">IF(M49&gt;1000,M49*0.1%,IF(AND(M49&gt;500,M49&lt;=1000),M49*0.5%,IF(AND(M49&gt;50,M49&lt;=500),M49*1%,IF(AND(M49&gt;1,M49&lt;=50),M49*1.5%))))</f>
        <v>164.82400000000001</v>
      </c>
      <c r="M65" s="24">
        <f t="shared" ca="1" si="1"/>
        <v>164.8</v>
      </c>
      <c r="N65" s="138" t="s">
        <v>2246</v>
      </c>
      <c r="Z65" s="2422"/>
      <c r="AI65" s="2423"/>
    </row>
    <row r="66" spans="1:35" ht="14.25" customHeight="1">
      <c r="A66" s="203" t="s">
        <v>772</v>
      </c>
      <c r="B66" s="204" t="s">
        <v>2249</v>
      </c>
      <c r="C66" s="205"/>
      <c r="D66" s="206" t="s">
        <v>32</v>
      </c>
      <c r="E66" s="1772" t="s">
        <v>1366</v>
      </c>
      <c r="F66" s="2488"/>
      <c r="G66" s="2488"/>
      <c r="H66" s="2496"/>
      <c r="I66" s="138"/>
      <c r="J66" s="3117"/>
      <c r="K66" s="2498" t="s">
        <v>2250</v>
      </c>
      <c r="L66" s="1748">
        <f ca="1">M49*0.5%</f>
        <v>824.12</v>
      </c>
      <c r="M66" s="24">
        <f ca="1">IF(L66&gt;0.5,0.5,ROUND(L66,0))</f>
        <v>0.5</v>
      </c>
      <c r="N66" s="138" t="s">
        <v>2251</v>
      </c>
      <c r="Z66" s="2422"/>
      <c r="AI66" s="2423"/>
    </row>
    <row r="67" spans="1:35" ht="14.25" customHeight="1">
      <c r="A67" s="203" t="s">
        <v>773</v>
      </c>
      <c r="B67" s="204" t="s">
        <v>2252</v>
      </c>
      <c r="C67" s="207">
        <f ca="1">C63-C66</f>
        <v>125580</v>
      </c>
      <c r="D67" s="200" t="s">
        <v>32</v>
      </c>
      <c r="E67" s="201"/>
      <c r="F67" s="2488"/>
      <c r="G67" s="2488"/>
      <c r="H67" s="2496"/>
      <c r="I67" s="138"/>
      <c r="J67" s="3117"/>
      <c r="K67" s="2498" t="s">
        <v>2253</v>
      </c>
      <c r="L67" s="1748">
        <f ca="1">IF(M49&gt;=10000,(8.25+(M49-10000)*0.01%),IF(AND(M49&gt;=8000,M49&lt;10000),(7.85+(M49-8000)*0.02%),IF(AND(M49&gt;=5000,M49&lt;8000),(6.65+(M49-5000)*0.04%),IF(AND(M49&gt;=2000,M49&lt;5000),(4.25+(PM49-2000)*0.08%),IF(AND(M49&gt;=1000,M49&lt;2000),(2.75+(M49-1000)*0.15%),IF(AND(M49&gt;=100,M49&lt;1000),(0.5+(M49-100)*0.25%),IF(AND(M49&gt;0,M49&lt;100),M49*0.5%)))))))</f>
        <v>23.732399999999998</v>
      </c>
      <c r="M67" s="24">
        <f ca="1">ROUND(L67*0.9,1)</f>
        <v>21.4</v>
      </c>
      <c r="Z67" s="2422"/>
      <c r="AI67" s="2423"/>
    </row>
    <row r="68" spans="1:35" ht="14.25" customHeight="1" thickBot="1">
      <c r="A68" s="208" t="s">
        <v>774</v>
      </c>
      <c r="B68" s="209" t="s">
        <v>2254</v>
      </c>
      <c r="C68" s="210">
        <f ca="1">IF(C67&lt;=0,0,ROUND(C67*D68,0))</f>
        <v>7032</v>
      </c>
      <c r="D68" s="211">
        <f>'数据-取费表'!B41</f>
        <v>5.6000000000000001E-2</v>
      </c>
      <c r="E68" s="212"/>
      <c r="F68" s="2488"/>
      <c r="G68" s="2488"/>
      <c r="H68" s="2496"/>
      <c r="I68" s="138"/>
      <c r="J68" s="3117"/>
      <c r="K68" s="2498" t="s">
        <v>2255</v>
      </c>
      <c r="L68" s="1748">
        <f ca="1">IF(M49&gt;10000,M49*0.5%,IF(AND(M49&gt;5000,M49&lt;=10000),M49*1%,IF(AND(M49&gt;1000,M49&lt;=5000),M49*2%,IF(AND(M49&gt;200,M49&lt;=1000),M49*3%,M49*5%))))</f>
        <v>824.12</v>
      </c>
      <c r="M68" s="24">
        <f ca="1">ROUND(L68,1)</f>
        <v>824.1</v>
      </c>
      <c r="Z68" s="2422"/>
      <c r="AI68" s="2423"/>
    </row>
    <row r="69" spans="1:35" s="2445" customFormat="1" ht="16.5" customHeight="1">
      <c r="A69" s="2499"/>
      <c r="B69" s="2500"/>
      <c r="C69" s="2501"/>
      <c r="D69" s="2502"/>
      <c r="E69" s="2503"/>
      <c r="F69" s="2165"/>
      <c r="G69" s="2165"/>
      <c r="H69" s="2164"/>
      <c r="I69" s="2417"/>
      <c r="J69" s="3117"/>
      <c r="K69" s="2498" t="s">
        <v>2256</v>
      </c>
      <c r="L69" s="2504"/>
      <c r="M69" s="24">
        <f ca="1">ROUND(SUM(M63:M68),0)</f>
        <v>2659</v>
      </c>
      <c r="N69" s="1749">
        <f ca="1">M69/M49</f>
        <v>1.6132359365141E-2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2257</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2238</v>
      </c>
      <c r="B71" s="3153"/>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125580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29037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28284</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f>ROUND(8450*Sheet2!G82/10000,0)</f>
        <v>27447</v>
      </c>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8" t="s">
        <v>2266</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837</v>
      </c>
      <c r="D77" s="223">
        <f>'数据-取费表'!B48+'数据-取费表'!B49</f>
        <v>3.0499999999999999E-2</v>
      </c>
      <c r="E77" s="15" t="s">
        <v>2268</v>
      </c>
      <c r="F77" s="224"/>
      <c r="G77" s="2512" t="s">
        <v>3192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753</v>
      </c>
      <c r="D78" s="226">
        <f>'数据-取费表'!B43</f>
        <v>6.000000000000001E-3</v>
      </c>
      <c r="E78" s="3149" t="s">
        <v>2271</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96543</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3.3248269449323278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47763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2275</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2238</v>
      </c>
      <c r="B84" s="3153"/>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125580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753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9" t="s">
        <v>2284</v>
      </c>
      <c r="F91" s="3150"/>
      <c r="G91" s="315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9" t="s">
        <v>2288</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753</v>
      </c>
      <c r="D93" s="226">
        <f>'数据-取费表'!B43</f>
        <v>6.000000000000001E-3</v>
      </c>
      <c r="E93" s="3149" t="s">
        <v>2271</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7" t="s">
        <v>2292</v>
      </c>
      <c r="F94" s="3198"/>
      <c r="G94" s="3198"/>
      <c r="H94" s="319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124827</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165.77290836653387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74633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1" t="s">
        <v>2294</v>
      </c>
      <c r="B100" s="3102"/>
      <c r="C100" s="3102"/>
      <c r="D100" s="3133"/>
      <c r="E100" s="3102" t="s">
        <v>2295</v>
      </c>
      <c r="F100" s="3102"/>
      <c r="G100" s="3102"/>
      <c r="H100" s="3133"/>
      <c r="I100" s="138"/>
    </row>
    <row r="101" spans="1:35" ht="18.75" customHeight="1">
      <c r="A101" s="3141" t="s">
        <v>2296</v>
      </c>
      <c r="B101" s="3142"/>
      <c r="C101" s="736" t="str">
        <f>C4</f>
        <v>典型户型修正</v>
      </c>
      <c r="D101" s="737" t="str">
        <f>D4</f>
        <v>典型户型修正</v>
      </c>
      <c r="E101" s="3113" t="s">
        <v>2297</v>
      </c>
      <c r="F101" s="3114"/>
      <c r="G101" s="2519" t="s">
        <v>2298</v>
      </c>
      <c r="H101" s="1045">
        <f ca="1">H118</f>
        <v>164824</v>
      </c>
      <c r="I101" s="138"/>
    </row>
    <row r="102" spans="1:35" ht="18.75" customHeight="1">
      <c r="A102" s="3143" t="s">
        <v>2299</v>
      </c>
      <c r="B102" s="2519" t="s">
        <v>2298</v>
      </c>
      <c r="C102" s="736">
        <f ca="1">C19</f>
        <v>164824</v>
      </c>
      <c r="D102" s="737">
        <f ca="1">D19</f>
        <v>164824</v>
      </c>
      <c r="E102" s="3113"/>
      <c r="F102" s="3114"/>
      <c r="G102" s="2519" t="s">
        <v>2300</v>
      </c>
      <c r="H102" s="371">
        <f ca="1">I118</f>
        <v>3741493</v>
      </c>
      <c r="I102" s="138"/>
    </row>
    <row r="103" spans="1:35" ht="42.75" customHeight="1">
      <c r="A103" s="3143"/>
      <c r="B103" s="2519" t="s">
        <v>2300</v>
      </c>
      <c r="C103" s="738">
        <f ca="1">C20</f>
        <v>50744</v>
      </c>
      <c r="D103" s="739">
        <f ca="1">D20</f>
        <v>50744</v>
      </c>
      <c r="E103" s="3107" t="s">
        <v>2301</v>
      </c>
      <c r="F103" s="3108"/>
      <c r="G103" s="2520" t="s">
        <v>2302</v>
      </c>
      <c r="H103" s="1045">
        <f>IF(D36="正常操作",H104+H105+H106,H105+H106)</f>
        <v>0</v>
      </c>
      <c r="I103" s="138"/>
    </row>
    <row r="104" spans="1:35" ht="18.75" customHeight="1">
      <c r="A104" s="3143" t="s">
        <v>2303</v>
      </c>
      <c r="B104" s="2521" t="s">
        <v>2298</v>
      </c>
      <c r="C104" s="740">
        <f ca="1">H118</f>
        <v>164824</v>
      </c>
      <c r="D104" s="741"/>
      <c r="E104" s="2266" t="s">
        <v>2304</v>
      </c>
      <c r="F104" s="2257"/>
      <c r="G104" s="2520" t="s">
        <v>2302</v>
      </c>
      <c r="H104" s="1046">
        <f>IF(D36="同一抵押权人同一抵押物续贷",C36&amp;"（未扣减，详见特别提示）",C36)</f>
        <v>0</v>
      </c>
      <c r="I104" s="138"/>
    </row>
    <row r="105" spans="1:35" ht="18.75" customHeight="1" thickBot="1">
      <c r="A105" s="3155"/>
      <c r="B105" s="2522" t="s">
        <v>2300</v>
      </c>
      <c r="C105" s="742">
        <f ca="1">I118</f>
        <v>3741493</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4" t="str">
        <f>IF(项目基本情况!E8="已注销","——","3.房地产抵押价值")</f>
        <v>3.房地产抵押价值</v>
      </c>
      <c r="F107" s="3114"/>
      <c r="G107" s="2519" t="s">
        <v>2298</v>
      </c>
      <c r="H107" s="1045">
        <f ca="1">IF(E107="——","——",H101-H103)</f>
        <v>164824</v>
      </c>
      <c r="I107" s="138"/>
    </row>
    <row r="108" spans="1:35" ht="18.75" customHeight="1">
      <c r="A108" s="138"/>
      <c r="B108" s="138"/>
      <c r="C108" s="138"/>
      <c r="D108" s="138"/>
      <c r="E108" s="3144"/>
      <c r="F108" s="3114"/>
      <c r="G108" s="2519" t="s">
        <v>2300</v>
      </c>
      <c r="H108" s="371">
        <f ca="1">ROUND(H107*10000/'数据-汇总表'!E3,0)</f>
        <v>3741493</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4"/>
      <c r="G109" s="2519" t="s">
        <v>2298</v>
      </c>
      <c r="H109" s="348" t="str">
        <f>IF(E109="——","——",H101-H105-H106)</f>
        <v>——</v>
      </c>
      <c r="I109" s="138"/>
    </row>
    <row r="110" spans="1:35" ht="18.75" customHeight="1">
      <c r="A110" s="138"/>
      <c r="B110" s="138"/>
      <c r="C110" s="138"/>
      <c r="D110" s="138"/>
      <c r="E110" s="3144"/>
      <c r="F110" s="3114"/>
      <c r="G110" s="2519" t="s">
        <v>2300</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2298</v>
      </c>
      <c r="H111" s="1045" t="str">
        <f>IF(E111="——","——",N59)</f>
        <v>——</v>
      </c>
      <c r="I111" s="138"/>
    </row>
    <row r="112" spans="1:35" ht="18.75" customHeight="1" thickBot="1">
      <c r="A112" s="138"/>
      <c r="B112" s="138"/>
      <c r="C112" s="138"/>
      <c r="D112" s="138"/>
      <c r="E112" s="3147"/>
      <c r="F112" s="3148"/>
      <c r="G112" s="2524" t="s">
        <v>2300</v>
      </c>
      <c r="H112" s="790" t="str">
        <f>IF(E111="——","——",N61)</f>
        <v>——</v>
      </c>
      <c r="I112" s="138"/>
    </row>
    <row r="113" spans="1:11" ht="18.75" customHeight="1">
      <c r="A113" s="138"/>
      <c r="B113" s="138"/>
      <c r="C113" s="138"/>
      <c r="D113" s="138"/>
      <c r="E113" s="3156" t="s">
        <v>2306</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9" t="s">
        <v>2308</v>
      </c>
      <c r="B115" s="3170"/>
      <c r="C115" s="3170"/>
      <c r="D115" s="3170"/>
      <c r="E115" s="3170"/>
      <c r="F115" s="3170"/>
      <c r="G115" s="3170"/>
      <c r="H115" s="3170"/>
      <c r="I115" s="3171"/>
    </row>
    <row r="116" spans="1:11" ht="27" customHeight="1">
      <c r="A116" s="3064" t="s">
        <v>2309</v>
      </c>
      <c r="B116" s="3123" t="s">
        <v>2310</v>
      </c>
      <c r="C116" s="3123" t="s">
        <v>2311</v>
      </c>
      <c r="D116" s="3129" t="s">
        <v>2312</v>
      </c>
      <c r="E116" s="3130"/>
      <c r="F116" s="3165" t="s">
        <v>2313</v>
      </c>
      <c r="G116" s="3165"/>
      <c r="H116" s="3064" t="s">
        <v>2314</v>
      </c>
      <c r="I116" s="3064"/>
    </row>
    <row r="117" spans="1:11" ht="18.75" customHeight="1">
      <c r="A117" s="3064"/>
      <c r="B117" s="3124"/>
      <c r="C117" s="3124"/>
      <c r="D117" s="1794" t="s">
        <v>2315</v>
      </c>
      <c r="E117" s="1794" t="s">
        <v>2316</v>
      </c>
      <c r="F117" s="1794" t="s">
        <v>2315</v>
      </c>
      <c r="G117" s="1794" t="s">
        <v>2317</v>
      </c>
      <c r="H117" s="1794" t="s">
        <v>2315</v>
      </c>
      <c r="I117" s="1794" t="s">
        <v>2317</v>
      </c>
    </row>
    <row r="118" spans="1:11" ht="24.75" customHeight="1">
      <c r="A118" s="2525" t="str">
        <f>项目基本情况!S2</f>
        <v>北京市出让国有建设用地使用权及在建建筑物房地产</v>
      </c>
      <c r="B118" s="1794">
        <f>M18</f>
        <v>440.53</v>
      </c>
      <c r="C118" s="1794">
        <f>M19</f>
        <v>21.35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164824</v>
      </c>
      <c r="I118" s="1794">
        <f ca="1">ROUND(IF(D32="楼面单价",C32,H118*10000/B118),0)</f>
        <v>3741493</v>
      </c>
    </row>
    <row r="119" spans="1:11" ht="18.75" customHeight="1">
      <c r="A119" s="3064" t="s">
        <v>2318</v>
      </c>
      <c r="B119" s="3064"/>
      <c r="C119" s="3064"/>
      <c r="D119" s="3125" t="e">
        <f ca="1">NUMBERSTRING(INT(D118*10000),2)&amp;"元整"</f>
        <v>#REF!</v>
      </c>
      <c r="E119" s="3126"/>
      <c r="F119" s="3125" t="e">
        <f ca="1">NUMBERSTRING(INT(F118*10000),2)&amp;"元整"</f>
        <v>#REF!</v>
      </c>
      <c r="G119" s="3126"/>
      <c r="H119" s="3125" t="str">
        <f ca="1">NUMBERSTRING(INT(H118*10000),2)&amp;"元整"</f>
        <v>壹拾陆亿肆仟捌佰贰拾肆万元整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2" t="str">
        <f>IF(D120=0,"故，本次评估不存在"&amp;A120,"故，本次评估"&amp;A120&amp;"为人民币"&amp;D120&amp;"万元整。")</f>
        <v>故，本次评估不存在估价师知悉的法定优先受偿款</v>
      </c>
    </row>
    <row r="121" spans="1:11" ht="18.75" customHeight="1">
      <c r="A121" s="3166" t="s">
        <v>2318</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164824</v>
      </c>
      <c r="E122" s="3121"/>
      <c r="F122" s="3121"/>
      <c r="G122" s="3121"/>
      <c r="H122" s="3121"/>
      <c r="I122" s="3122"/>
    </row>
    <row r="123" spans="1:11" ht="18.75" customHeight="1">
      <c r="A123" s="3064" t="s">
        <v>2318</v>
      </c>
      <c r="B123" s="3064"/>
      <c r="C123" s="3064"/>
      <c r="D123" s="3125" t="str">
        <f ca="1">NUMBERSTRING(INT(D122*10000),2)&amp;"元整"</f>
        <v>壹拾陆亿肆仟捌佰贰拾肆万元整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64" t="s">
        <v>2318</v>
      </c>
      <c r="B125" s="3064"/>
      <c r="C125" s="3064"/>
      <c r="D125" s="3125" t="e">
        <f>NUMBERSTRING(INT(D124*10000),2)&amp;"元整"</f>
        <v>#VALUE!</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64" t="s">
        <v>2318</v>
      </c>
      <c r="B127" s="3064"/>
      <c r="C127" s="3064"/>
      <c r="D127" s="3125" t="e">
        <f>NUMBERSTRING(INT(D126*10000),2)&amp;"元整"</f>
        <v>#VALUE!</v>
      </c>
      <c r="E127" s="3127"/>
      <c r="F127" s="3127"/>
      <c r="G127" s="3127"/>
      <c r="H127" s="3127"/>
      <c r="I127" s="3126"/>
    </row>
    <row r="128" spans="1:11" ht="21.75" customHeight="1">
      <c r="A128" s="3128" t="s">
        <v>2319</v>
      </c>
      <c r="B128" s="3128"/>
      <c r="C128" s="3128"/>
      <c r="D128" s="3128"/>
      <c r="E128" s="3128"/>
      <c r="F128" s="3128"/>
      <c r="G128" s="3128"/>
      <c r="H128" s="3128"/>
      <c r="I128" s="312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8" t="str">
        <f>项目基本情况!B1</f>
        <v>北京市出让国有建设用地使用权及在建建筑物房地产抵押价值预评估</v>
      </c>
      <c r="C37" s="2998"/>
      <c r="D37" s="2998"/>
      <c r="E37" s="2998"/>
      <c r="F37" s="2998"/>
      <c r="G37" s="2998"/>
      <c r="H37" s="2998"/>
      <c r="I37" s="299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7</v>
      </c>
    </row>
    <row r="2" spans="1:9" s="244" customFormat="1" ht="18" customHeight="1">
      <c r="A2" s="245" t="s">
        <v>2328</v>
      </c>
      <c r="B2" s="246">
        <f ca="1">IF(D2="——",C52,C52-E2)</f>
        <v>199</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4517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9</v>
      </c>
      <c r="D10" s="1032">
        <f ca="1">IF(B1="",'数据-汇总表'!E6,IF(INDIRECT("'数据-取费表'!c"&amp;$G$1)="住宅",INDIRECT("'数据-取费表'!s"&amp;$G$1),INDIRECT("'数据-取费表'!k"&amp;$G$1)+INDIRECT("'数据-取费表'!s"&amp;$G$1)))</f>
        <v>440.53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9</v>
      </c>
      <c r="D19" s="1036">
        <f ca="1">D9+D10</f>
        <v>440.53</v>
      </c>
      <c r="E19" s="255">
        <f>'数据-取费表'!B31</f>
        <v>200</v>
      </c>
      <c r="F19" s="275"/>
      <c r="G19" s="2551"/>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1</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1</v>
      </c>
      <c r="D24" s="282"/>
      <c r="E24" s="282"/>
      <c r="F24" s="283"/>
      <c r="G24" s="284" t="s">
        <v>2373</v>
      </c>
    </row>
    <row r="25" spans="1:7" s="258" customFormat="1" ht="24">
      <c r="A25" s="951" t="s">
        <v>2374</v>
      </c>
      <c r="B25" s="259" t="s">
        <v>2375</v>
      </c>
      <c r="C25" s="1354">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2</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1" t="s">
        <v>796</v>
      </c>
      <c r="B35" s="259" t="s">
        <v>2393</v>
      </c>
      <c r="C35" s="264">
        <f ca="1">ROUND(C34*F35,0)</f>
        <v>5</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9</v>
      </c>
      <c r="D37" s="261">
        <f ca="1">D19</f>
        <v>440.53</v>
      </c>
      <c r="E37" s="293">
        <f>'数据-取费表'!B35</f>
        <v>200</v>
      </c>
      <c r="F37" s="303"/>
      <c r="G37" s="305" t="s">
        <v>2398</v>
      </c>
    </row>
    <row r="38" spans="1:7" ht="13.5" customHeight="1">
      <c r="A38" s="951"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12</v>
      </c>
      <c r="D42" s="282"/>
      <c r="E42" s="282"/>
      <c r="F42" s="283"/>
      <c r="G42" s="3200" t="s">
        <v>2410</v>
      </c>
    </row>
    <row r="43" spans="1:7" ht="13.5" customHeight="1">
      <c r="A43" s="951" t="s">
        <v>792</v>
      </c>
      <c r="B43" s="259" t="s">
        <v>2411</v>
      </c>
      <c r="C43" s="282">
        <f ca="1">ROUND(IF('数据-取费表'!B22&lt;=1,C39*F22*'数据-取费表'!B21/2,C39*(POWER((1+F22),'数据-取费表'!B21/2)-1)),0)</f>
        <v>0</v>
      </c>
      <c r="D43" s="282"/>
      <c r="E43" s="282"/>
      <c r="F43" s="283"/>
      <c r="G43" s="3201"/>
    </row>
    <row r="44" spans="1:7" ht="13.5" customHeight="1">
      <c r="A44" s="951" t="s">
        <v>793</v>
      </c>
      <c r="B44" s="259" t="s">
        <v>2412</v>
      </c>
      <c r="C44" s="282">
        <f ca="1">ROUND(IF('数据-取费表'!B22&lt;=1,C40*F22*'数据-取费表'!B21/2,C40*(POWER((1+F22),'数据-取费表'!B21/2)-1)),4)</f>
        <v>1.4E-3</v>
      </c>
      <c r="D44" s="282"/>
      <c r="E44" s="282"/>
      <c r="F44" s="283"/>
      <c r="G44" s="3202"/>
    </row>
    <row r="45" spans="1:7" s="258" customFormat="1" ht="13.5" customHeight="1">
      <c r="A45" s="299" t="s">
        <v>2413</v>
      </c>
      <c r="B45" s="288" t="s">
        <v>2379</v>
      </c>
      <c r="C45" s="289">
        <f ca="1">C46</f>
        <v>35</v>
      </c>
      <c r="D45" s="279">
        <f ca="1">C47</f>
        <v>4.0000000000000001E-3</v>
      </c>
      <c r="E45" s="280" t="s">
        <v>2405</v>
      </c>
      <c r="F45" s="290"/>
      <c r="G45" s="291" t="s">
        <v>2414</v>
      </c>
    </row>
    <row r="46" spans="1:7" s="258" customFormat="1" ht="13.5" customHeight="1">
      <c r="A46" s="951" t="s">
        <v>791</v>
      </c>
      <c r="B46" s="292" t="s">
        <v>2415</v>
      </c>
      <c r="C46" s="293">
        <f ca="1">ROUND((C33+C39)*F27,0)</f>
        <v>35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239</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186</v>
      </c>
      <c r="D51" s="276"/>
      <c r="E51" s="276"/>
      <c r="F51" s="308"/>
      <c r="G51" s="278" t="s">
        <v>2426</v>
      </c>
    </row>
    <row r="52" spans="1:7" s="252" customFormat="1" ht="16.5" thickBot="1">
      <c r="A52" s="309" t="s">
        <v>2427</v>
      </c>
      <c r="B52" s="310"/>
      <c r="C52" s="311">
        <f ca="1">C31+C51</f>
        <v>199</v>
      </c>
      <c r="D52" s="310"/>
      <c r="E52" s="310"/>
      <c r="F52" s="310"/>
      <c r="G52" s="312"/>
    </row>
    <row r="55" spans="1:7" ht="15">
      <c r="B55" s="314" t="s">
        <v>2428</v>
      </c>
      <c r="C55" s="315"/>
    </row>
    <row r="56" spans="1:7">
      <c r="B56" s="317" t="s">
        <v>1507</v>
      </c>
      <c r="C56" s="319">
        <f ca="1">1-C57</f>
        <v>6.4999999999999947E-2</v>
      </c>
    </row>
    <row r="57" spans="1:7">
      <c r="B57" s="317" t="s">
        <v>1508</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78">
        <f>MATCH(B1,'数据-取费表'!A6:A16,0)+5</f>
        <v>7</v>
      </c>
      <c r="H1" s="1281" t="str">
        <f>IF(ISERROR(FIND("住宅",B1)),"非住宅","住宅")</f>
        <v>非住宅</v>
      </c>
    </row>
    <row r="2" spans="1:8" s="244" customFormat="1" ht="18" customHeight="1">
      <c r="A2" s="245" t="s">
        <v>2328</v>
      </c>
      <c r="B2" s="246">
        <f ca="1">ROUND(IF(D2="——",C52/10000,C52/10000-E2),0)</f>
        <v>213</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4835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88106</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88106</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88106</v>
      </c>
      <c r="D10" s="1032">
        <f ca="1">IF(B1="",'数据-汇总表'!E6,IF(INDIRECT("'数据-取费表'!c"&amp;$G$1)="住宅",INDIRECT("'数据-取费表'!s"&amp;$G$1),INDIRECT("'数据-取费表'!k"&amp;$G$1)+INDIRECT("'数据-取费表'!s"&amp;$G$1)))</f>
        <v>440.53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88106</v>
      </c>
      <c r="D19" s="1036">
        <f ca="1">D9+D10</f>
        <v>440.53</v>
      </c>
      <c r="E19" s="255">
        <f>'数据-取费表'!B31</f>
        <v>200</v>
      </c>
      <c r="F19" s="275"/>
      <c r="G19" s="2551"/>
    </row>
    <row r="20" spans="1:7" s="258" customFormat="1" ht="13.5" customHeight="1">
      <c r="A20" s="299" t="s">
        <v>2440</v>
      </c>
      <c r="B20" s="254" t="s">
        <v>2441</v>
      </c>
      <c r="C20" s="276">
        <f ca="1">ROUND((C5+C19)*F20,0)</f>
        <v>3524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26576</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13161</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13161</v>
      </c>
      <c r="D24" s="282"/>
      <c r="E24" s="282"/>
      <c r="F24" s="283"/>
      <c r="G24" s="284" t="s">
        <v>2452</v>
      </c>
    </row>
    <row r="25" spans="1:7" s="258" customFormat="1" ht="24">
      <c r="A25" s="951" t="s">
        <v>2342</v>
      </c>
      <c r="B25" s="259" t="s">
        <v>2453</v>
      </c>
      <c r="C25" s="1380">
        <f ca="1">ROUND(IF('数据-取费表'!B22&lt;=1,C20*F22*'数据-取费表'!B22/2,C20*(POWER((1+F22),'数据-取费表'!B22/2)-1)),0)</f>
        <v>254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35947</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35947</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262953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1699345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1" t="s">
        <v>796</v>
      </c>
      <c r="B35" s="259" t="s">
        <v>2393</v>
      </c>
      <c r="C35" s="264">
        <f ca="1">ROUND(C34*F35,0)</f>
        <v>46256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88106</v>
      </c>
      <c r="D37" s="261">
        <f ca="1">D19</f>
        <v>440.53</v>
      </c>
      <c r="E37" s="293">
        <f>'数据-取费表'!B35</f>
        <v>200</v>
      </c>
      <c r="F37" s="303"/>
      <c r="G37" s="305"/>
    </row>
    <row r="38" spans="1:7" ht="13.5" customHeight="1">
      <c r="A38" s="951"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33987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124955</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122505</v>
      </c>
      <c r="D42" s="282"/>
      <c r="E42" s="282"/>
      <c r="F42" s="283"/>
      <c r="G42" s="3200" t="s">
        <v>2457</v>
      </c>
    </row>
    <row r="43" spans="1:7" ht="13.5" customHeight="1">
      <c r="A43" s="951" t="s">
        <v>792</v>
      </c>
      <c r="B43" s="259" t="s">
        <v>2411</v>
      </c>
      <c r="C43" s="282">
        <f ca="1">ROUND(IF('数据-取费表'!B22&lt;=1,C39*F22*'数据-取费表'!B20/2,C39*(POWER((1+F22),'数据-取费表'!B20/2)-1)),0)</f>
        <v>2450</v>
      </c>
      <c r="D43" s="282"/>
      <c r="E43" s="282"/>
      <c r="F43" s="283"/>
      <c r="G43" s="3201"/>
    </row>
    <row r="44" spans="1:7" ht="13.5" customHeight="1">
      <c r="A44" s="951" t="s">
        <v>793</v>
      </c>
      <c r="B44" s="259" t="s">
        <v>2412</v>
      </c>
      <c r="C44" s="282">
        <f ca="1">ROUND(IF('数据-取费表'!B22&lt;=1,C40*F22*'数据-取费表'!B20/2,C40*(POWER((1+F22),'数据-取费表'!B20/2)-1)),4)</f>
        <v>1.4E-3</v>
      </c>
      <c r="D44" s="282"/>
      <c r="E44" s="282"/>
      <c r="F44" s="283"/>
      <c r="G44" s="3202"/>
    </row>
    <row r="45" spans="1:7" s="258" customFormat="1" ht="13.5" customHeight="1">
      <c r="A45" s="299" t="s">
        <v>2413</v>
      </c>
      <c r="B45" s="288" t="s">
        <v>2379</v>
      </c>
      <c r="C45" s="289">
        <f ca="1">C46</f>
        <v>346666</v>
      </c>
      <c r="D45" s="279">
        <f ca="1">C47</f>
        <v>4.0000000000000001E-3</v>
      </c>
      <c r="E45" s="280" t="s">
        <v>2405</v>
      </c>
      <c r="F45" s="290"/>
      <c r="G45" s="291" t="s">
        <v>2414</v>
      </c>
    </row>
    <row r="46" spans="1:7" s="258" customFormat="1" ht="13.5" customHeight="1">
      <c r="A46" s="951" t="s">
        <v>791</v>
      </c>
      <c r="B46" s="292" t="s">
        <v>2415</v>
      </c>
      <c r="C46" s="293">
        <f ca="1">ROUND((C33+C39)*F27,0)</f>
        <v>346666</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2393306</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1866779</v>
      </c>
      <c r="D51" s="276"/>
      <c r="E51" s="276"/>
      <c r="F51" s="308"/>
      <c r="G51" s="278" t="s">
        <v>2426</v>
      </c>
    </row>
    <row r="52" spans="1:7" s="252" customFormat="1" ht="16.5" thickBot="1">
      <c r="A52" s="309" t="s">
        <v>2427</v>
      </c>
      <c r="B52" s="310"/>
      <c r="C52" s="311">
        <f ca="1">C31+C51</f>
        <v>2129732</v>
      </c>
      <c r="D52" s="310"/>
      <c r="E52" s="310"/>
      <c r="F52" s="310"/>
      <c r="G52" s="312"/>
    </row>
    <row r="55" spans="1:7" ht="15">
      <c r="B55" s="314" t="s">
        <v>2428</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-53</v>
      </c>
      <c r="C2" s="320" t="s">
        <v>2461</v>
      </c>
      <c r="D2" s="320"/>
      <c r="E2" s="320"/>
      <c r="F2" s="320"/>
      <c r="G2" s="320"/>
      <c r="H2" s="320"/>
      <c r="I2" s="320"/>
      <c r="J2" s="320"/>
      <c r="K2" s="320"/>
    </row>
    <row r="3" spans="1:33" ht="18" customHeight="1" thickBot="1">
      <c r="A3" s="247" t="s">
        <v>2330</v>
      </c>
      <c r="B3" s="248">
        <f ca="1">ROUND(B2*10000/IF(C1="",'数据-汇总表'!E3,INDIRECT("'数据-取费表'!K"&amp;$K$1)),0)</f>
        <v>-1203</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34</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1</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440.53</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36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440.53</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9</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9</v>
      </c>
      <c r="D20" s="1033">
        <f ca="1">IF(C1="",'数据-汇总表'!E6,IF(INDIRECT("'数据-取费表'!c"&amp;$K$1)="住宅",INDIRECT("'数据-取费表'!s"&amp;$K$1),INDIRECT("'数据-取费表'!k"&amp;$K$1)+INDIRECT("'数据-取费表'!s"&amp;$K$1)))</f>
        <v>440.53</v>
      </c>
      <c r="E20" s="24">
        <f>'数据-取费表'!B28</f>
        <v>200</v>
      </c>
      <c r="F20" s="976"/>
      <c r="G20" s="15"/>
      <c r="H20" s="981"/>
      <c r="I20" s="981"/>
      <c r="J20" s="981"/>
      <c r="K20" s="982"/>
    </row>
    <row r="21" spans="1:33" s="975" customFormat="1" ht="13.5" customHeight="1">
      <c r="A21" s="961" t="s">
        <v>802</v>
      </c>
      <c r="B21" s="985" t="s">
        <v>2497</v>
      </c>
      <c r="C21" s="986">
        <f ca="1">C16+C17+C18</f>
        <v>45</v>
      </c>
      <c r="D21" s="987"/>
      <c r="E21" s="325"/>
      <c r="F21" s="325"/>
      <c r="G21" s="140" t="s">
        <v>2498</v>
      </c>
      <c r="H21" s="979"/>
      <c r="I21" s="979"/>
      <c r="J21" s="979"/>
      <c r="K21" s="980"/>
    </row>
    <row r="22" spans="1:33" s="975" customFormat="1" ht="13.5" customHeight="1">
      <c r="A22" s="961" t="s">
        <v>2470</v>
      </c>
      <c r="B22" s="985" t="s">
        <v>2499</v>
      </c>
      <c r="C22" s="986">
        <f ca="1">ROUND(C21*F22,0)</f>
        <v>1</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9</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9</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-53</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5" t="s">
        <v>1397</v>
      </c>
      <c r="C6" s="1295">
        <f ca="1">ROUND(F6*F8*F7*(1-F9)/10000,0)</f>
        <v>0</v>
      </c>
      <c r="D6" s="164" t="s">
        <v>3031</v>
      </c>
      <c r="E6" s="347" t="s">
        <v>1399</v>
      </c>
      <c r="F6" s="348">
        <f ca="1">INDIRECT("'数据-取费表'!u"&amp;$G$1)</f>
        <v>0</v>
      </c>
      <c r="G6" s="1850"/>
      <c r="H6" s="1290" t="s">
        <v>1031</v>
      </c>
      <c r="I6" s="3205" t="s">
        <v>1397</v>
      </c>
      <c r="J6" s="346">
        <f ca="1">ROUND(M6*M8*M7*(1-M9)/10000,0)</f>
        <v>0</v>
      </c>
      <c r="K6" s="164" t="s">
        <v>3030</v>
      </c>
      <c r="L6" s="347" t="s">
        <v>1399</v>
      </c>
      <c r="M6" s="348">
        <f ca="1">INDIRECT("'数据-取费表'!z"&amp;$G$1)</f>
        <v>0</v>
      </c>
    </row>
    <row r="7" spans="1:37" ht="18" customHeight="1">
      <c r="A7" s="1294"/>
      <c r="B7" s="3206"/>
      <c r="C7" s="1296"/>
      <c r="D7" s="352"/>
      <c r="E7" s="1297" t="s">
        <v>1400</v>
      </c>
      <c r="F7" s="348">
        <f ca="1">IF(INDIRECT("'数据-取费表'!ah"&amp;$G$1)="",INDIRECT("'数据-取费表'!k"&amp;$G$1),INDIRECT("'数据-取费表'!ah"&amp;$G$1))</f>
        <v>0</v>
      </c>
      <c r="G7" s="1850"/>
      <c r="H7" s="349"/>
      <c r="I7" s="3206"/>
      <c r="J7" s="351"/>
      <c r="K7" s="352"/>
      <c r="L7" s="347" t="s">
        <v>1400</v>
      </c>
      <c r="M7" s="348">
        <f ca="1">F7</f>
        <v>0</v>
      </c>
    </row>
    <row r="8" spans="1:37" ht="18" customHeight="1">
      <c r="A8" s="349"/>
      <c r="B8" s="3206"/>
      <c r="C8" s="351"/>
      <c r="D8" s="352"/>
      <c r="E8" s="347" t="s">
        <v>1401</v>
      </c>
      <c r="F8" s="348">
        <f ca="1">INDIRECT("'数据-取费表'!ai"&amp;$G$1)</f>
        <v>0</v>
      </c>
      <c r="G8" s="1850"/>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50"/>
      <c r="H9" s="349"/>
      <c r="I9" s="320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3" t="s">
        <v>1542</v>
      </c>
      <c r="L53" s="3204"/>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G38" sqref="G3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9" t="str">
        <f>项目基本情况!S2</f>
        <v>北京市出让国有建设用地使用权及在建建筑物房地产</v>
      </c>
      <c r="B2" s="3180"/>
      <c r="C2" s="3180"/>
      <c r="D2" s="3180"/>
      <c r="E2" s="3180"/>
      <c r="F2" s="3180"/>
      <c r="G2" s="3180"/>
      <c r="H2" s="3180"/>
      <c r="I2" s="3181"/>
    </row>
    <row r="3" spans="1:12" ht="12.75">
      <c r="A3" s="3182" t="s">
        <v>2120</v>
      </c>
      <c r="B3" s="3183"/>
      <c r="C3" s="3183"/>
      <c r="D3" s="3183"/>
      <c r="E3" s="3183"/>
      <c r="F3" s="3183"/>
      <c r="G3" s="3183"/>
      <c r="H3" s="3183"/>
      <c r="I3" s="3183"/>
    </row>
    <row r="4" spans="1:12" ht="14.25">
      <c r="A4" s="2424" t="s">
        <v>2121</v>
      </c>
      <c r="B4" s="2425" t="s">
        <v>2122</v>
      </c>
      <c r="C4" s="2426" t="s">
        <v>3058</v>
      </c>
      <c r="D4" s="2426" t="s">
        <v>3059</v>
      </c>
      <c r="E4" s="3163" t="s">
        <v>2123</v>
      </c>
      <c r="F4" s="3176"/>
      <c r="G4" s="3176"/>
      <c r="H4" s="3176"/>
      <c r="I4" s="3164"/>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4" t="s">
        <v>2124</v>
      </c>
      <c r="B5" s="3064">
        <v>25</v>
      </c>
      <c r="C5" s="3184"/>
      <c r="D5" s="3172"/>
      <c r="E5" s="140" t="s">
        <v>2125</v>
      </c>
      <c r="F5" s="2428"/>
      <c r="G5" s="2428"/>
      <c r="H5" s="2428"/>
      <c r="I5" s="1830"/>
    </row>
    <row r="6" spans="1:12" ht="12.75">
      <c r="A6" s="3154"/>
      <c r="B6" s="3064"/>
      <c r="C6" s="3186"/>
      <c r="D6" s="3172"/>
      <c r="E6" s="140" t="s">
        <v>2126</v>
      </c>
      <c r="F6" s="2428"/>
      <c r="G6" s="2428"/>
      <c r="H6" s="2428"/>
      <c r="I6" s="1830"/>
    </row>
    <row r="7" spans="1:12" ht="12.75">
      <c r="A7" s="3154"/>
      <c r="B7" s="3064"/>
      <c r="C7" s="3185"/>
      <c r="D7" s="3172"/>
      <c r="E7" s="140" t="s">
        <v>2127</v>
      </c>
      <c r="F7" s="2428"/>
      <c r="G7" s="2428"/>
      <c r="H7" s="2428"/>
      <c r="I7" s="1830"/>
    </row>
    <row r="8" spans="1:12" ht="12.75">
      <c r="A8" s="3154" t="s">
        <v>2128</v>
      </c>
      <c r="B8" s="3064">
        <v>15</v>
      </c>
      <c r="C8" s="3184"/>
      <c r="D8" s="3172"/>
      <c r="E8" s="140" t="s">
        <v>2129</v>
      </c>
      <c r="F8" s="2428"/>
      <c r="G8" s="2428"/>
      <c r="H8" s="2428"/>
      <c r="I8" s="1830"/>
    </row>
    <row r="9" spans="1:12" ht="12.75">
      <c r="A9" s="3154"/>
      <c r="B9" s="3064"/>
      <c r="C9" s="3185"/>
      <c r="D9" s="3172"/>
      <c r="E9" s="140" t="s">
        <v>2130</v>
      </c>
      <c r="F9" s="2428"/>
      <c r="G9" s="2428"/>
      <c r="H9" s="2428"/>
      <c r="I9" s="1830"/>
    </row>
    <row r="10" spans="1:12" ht="12.75">
      <c r="A10" s="3154" t="s">
        <v>2131</v>
      </c>
      <c r="B10" s="3064">
        <v>15</v>
      </c>
      <c r="C10" s="3184"/>
      <c r="D10" s="3172"/>
      <c r="E10" s="140" t="s">
        <v>2132</v>
      </c>
      <c r="F10" s="2428"/>
      <c r="G10" s="2428"/>
      <c r="H10" s="2428"/>
      <c r="I10" s="1830"/>
    </row>
    <row r="11" spans="1:12" ht="12.75">
      <c r="A11" s="3154"/>
      <c r="B11" s="3064"/>
      <c r="C11" s="3185"/>
      <c r="D11" s="3172"/>
      <c r="E11" s="140" t="s">
        <v>2133</v>
      </c>
      <c r="F11" s="2428"/>
      <c r="G11" s="2428"/>
      <c r="H11" s="2428"/>
      <c r="I11" s="1830"/>
    </row>
    <row r="12" spans="1:12" ht="12.75">
      <c r="A12" s="3154" t="s">
        <v>2134</v>
      </c>
      <c r="B12" s="3064">
        <v>15</v>
      </c>
      <c r="C12" s="3184"/>
      <c r="D12" s="3172"/>
      <c r="E12" s="140" t="s">
        <v>2135</v>
      </c>
      <c r="F12" s="2428"/>
      <c r="G12" s="2428"/>
      <c r="H12" s="2428"/>
      <c r="I12" s="1830"/>
    </row>
    <row r="13" spans="1:12" ht="12.75">
      <c r="A13" s="3154"/>
      <c r="B13" s="3064"/>
      <c r="C13" s="3185"/>
      <c r="D13" s="3172"/>
      <c r="E13" s="140" t="s">
        <v>2136</v>
      </c>
      <c r="F13" s="2428"/>
      <c r="G13" s="2428"/>
      <c r="H13" s="2428"/>
      <c r="I13" s="1830"/>
    </row>
    <row r="14" spans="1:12" ht="12.75">
      <c r="A14" s="3154" t="s">
        <v>2137</v>
      </c>
      <c r="B14" s="3064">
        <v>30</v>
      </c>
      <c r="C14" s="3184">
        <v>55</v>
      </c>
      <c r="D14" s="3172">
        <v>45</v>
      </c>
      <c r="E14" s="140" t="s">
        <v>2138</v>
      </c>
      <c r="F14" s="2428"/>
      <c r="G14" s="2428"/>
      <c r="H14" s="2428"/>
      <c r="I14" s="1830"/>
    </row>
    <row r="15" spans="1:12" ht="12.75">
      <c r="A15" s="3154"/>
      <c r="B15" s="3064"/>
      <c r="C15" s="3186"/>
      <c r="D15" s="3172"/>
      <c r="E15" s="140" t="s">
        <v>2139</v>
      </c>
      <c r="F15" s="2428"/>
      <c r="G15" s="2428"/>
      <c r="H15" s="2428"/>
      <c r="I15" s="1830"/>
    </row>
    <row r="16" spans="1:12" ht="12.75">
      <c r="A16" s="3154"/>
      <c r="B16" s="3064"/>
      <c r="C16" s="3185"/>
      <c r="D16" s="3172"/>
      <c r="E16" s="140" t="s">
        <v>2140</v>
      </c>
      <c r="F16" s="2428"/>
      <c r="G16" s="2428"/>
      <c r="H16" s="2428"/>
      <c r="I16" s="1830"/>
    </row>
    <row r="17" spans="1:35" ht="15">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440.53</v>
      </c>
      <c r="M18" s="2427">
        <f>IF(C1="",'数据-汇总表'!E3,SUMIF(项目类型,C1,'数据-汇总表'!E17:E26))</f>
        <v>440.53</v>
      </c>
    </row>
    <row r="19" spans="1:35" ht="15">
      <c r="A19" s="2433" t="s">
        <v>2146</v>
      </c>
      <c r="B19" s="2434" t="s">
        <v>2147</v>
      </c>
      <c r="C19" s="143">
        <f ca="1">SUMIF(INDIRECT("'"&amp;C4&amp;"'"&amp;"!A:A"),'结果表-基准'!B19,INDIRECT("'"&amp;C4&amp;"'"&amp;"!B:B"))</f>
        <v>1836</v>
      </c>
      <c r="D19" s="144">
        <f ca="1">SUMIF(INDIRECT("'"&amp;D4&amp;"'"&amp;"!A:A"),'结果表-基准'!B19,INDIRECT("'"&amp;D4&amp;"'"&amp;"!B:B"))</f>
        <v>2778</v>
      </c>
      <c r="E19" s="2433" t="s">
        <v>2148</v>
      </c>
      <c r="F19" s="2434" t="s">
        <v>2147</v>
      </c>
      <c r="G19" s="145">
        <f ca="1">ROUND(C19*$C$18+D19*$D$18,0)</f>
        <v>2260</v>
      </c>
      <c r="H19" s="2435" t="s">
        <v>2149</v>
      </c>
      <c r="I19" s="138"/>
      <c r="K19" s="2427" t="s">
        <v>2150</v>
      </c>
      <c r="L19" s="2427">
        <f>IF(C1="",'数据-汇总表'!D3,SUMIF(项目类型,C1,'数据-汇总表'!D17:D26)+SUMIF(项目类型,C1,'数据-汇总表'!H17:H27))</f>
        <v>21.35</v>
      </c>
      <c r="M19" s="2427">
        <f>IF(C1="",'数据-汇总表'!D3,SUMIF(项目类型,C1,'数据-汇总表'!D17:D26))</f>
        <v>21.35</v>
      </c>
    </row>
    <row r="20" spans="1:35" ht="15">
      <c r="A20" s="2436"/>
      <c r="B20" s="1246" t="s">
        <v>2151</v>
      </c>
      <c r="C20" s="146">
        <f ca="1">SUMIF(INDIRECT("'"&amp;C4&amp;"'"&amp;"!A:A"),'结果表-基准'!B20,INDIRECT("'"&amp;C4&amp;"'"&amp;"!B:B"))</f>
        <v>41684</v>
      </c>
      <c r="D20" s="147">
        <f ca="1">SUMIF(INDIRECT("'"&amp;D4&amp;"'"&amp;"!A:A"),'结果表-基准'!B20,INDIRECT("'"&amp;D4&amp;"'"&amp;"!B:B"))</f>
        <v>63050</v>
      </c>
      <c r="E20" s="2436"/>
      <c r="F20" s="1246" t="s">
        <v>2151</v>
      </c>
      <c r="G20" s="148">
        <f ca="1">ROUND(C20*$C$18+D20*$D$18,0)</f>
        <v>51299</v>
      </c>
      <c r="H20" s="980" t="s">
        <v>2152</v>
      </c>
      <c r="I20" s="138"/>
    </row>
    <row r="21" spans="1:35" ht="15" customHeight="1" thickBot="1">
      <c r="A21" s="1000"/>
      <c r="B21" s="2437" t="s">
        <v>2153</v>
      </c>
      <c r="C21" s="789">
        <f ca="1">ROUND(C19*10000/L19,0)</f>
        <v>859953</v>
      </c>
      <c r="D21" s="790">
        <f ca="1">ROUND(D19*10000/L19,0)</f>
        <v>1301171</v>
      </c>
      <c r="E21" s="1000"/>
      <c r="F21" s="2437" t="s">
        <v>2153</v>
      </c>
      <c r="G21" s="149">
        <f ca="1">ROUND(G19*10000/L19,0)</f>
        <v>1058548</v>
      </c>
      <c r="H21" s="2438" t="s">
        <v>2152</v>
      </c>
      <c r="I21" s="138"/>
    </row>
    <row r="22" spans="1:35" ht="15" thickBot="1">
      <c r="A22" s="2280" t="s">
        <v>2154</v>
      </c>
      <c r="B22" s="2439"/>
      <c r="C22" s="2440"/>
      <c r="D22" s="791">
        <f ca="1">IF(C19&lt;D19,D19/C19-1,C19/D19-1)</f>
        <v>0.51307189542483655</v>
      </c>
      <c r="E22" s="138"/>
      <c r="F22" s="138"/>
      <c r="G22" s="138"/>
      <c r="H22" s="138"/>
      <c r="I22" s="138"/>
    </row>
    <row r="23" spans="1:35" ht="13.5" thickBot="1">
      <c r="A23" s="2417"/>
      <c r="B23" s="2417"/>
      <c r="C23" s="2417"/>
      <c r="D23" s="2417"/>
      <c r="E23" s="138"/>
      <c r="F23" s="138"/>
      <c r="G23" s="138"/>
      <c r="H23" s="138"/>
      <c r="I23" s="138"/>
    </row>
    <row r="24" spans="1:35" ht="14.25">
      <c r="A24" s="3193" t="s">
        <v>2155</v>
      </c>
      <c r="B24" s="2434" t="s">
        <v>2147</v>
      </c>
      <c r="C24" s="145">
        <f>IF(B30=0,0,D30)</f>
        <v>0</v>
      </c>
      <c r="D24" s="2441"/>
      <c r="E24" s="138"/>
      <c r="F24" s="138"/>
      <c r="G24" s="138"/>
      <c r="H24" s="138"/>
      <c r="I24" s="138"/>
    </row>
    <row r="25" spans="1:35" ht="14.25">
      <c r="A25" s="3194"/>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2260</v>
      </c>
      <c r="D32" s="2448" t="s">
        <v>2162</v>
      </c>
      <c r="E32" s="138"/>
      <c r="F32" s="138"/>
      <c r="G32" s="138"/>
      <c r="H32" s="138"/>
      <c r="I32" s="138"/>
    </row>
    <row r="33" spans="1:15" ht="15">
      <c r="A33" s="957" t="s">
        <v>2163</v>
      </c>
      <c r="B33" s="2449"/>
      <c r="C33" s="2450" t="s">
        <v>3193</v>
      </c>
      <c r="D33" s="2451" t="s">
        <v>3059</v>
      </c>
      <c r="E33" s="2452" t="s">
        <v>2164</v>
      </c>
      <c r="F33" s="2955" t="str">
        <f>IF(D32="楼面单价","取值（单价）","取值（总价）")</f>
        <v>取值（总价）</v>
      </c>
      <c r="G33" s="138"/>
      <c r="H33" s="138"/>
      <c r="I33" s="138"/>
    </row>
    <row r="34" spans="1:15" ht="15">
      <c r="A34" s="2454"/>
      <c r="B34" s="2455" t="s">
        <v>2165</v>
      </c>
      <c r="C34" s="157">
        <f ca="1">IF(C33="自定义",F34,C32-C35)</f>
        <v>1977</v>
      </c>
      <c r="D34" s="1055">
        <f ca="1">IF(C33="自定义",ROUND(C34/C32,3),IF(C33="收益比率",SUMIF(INDIRECT("'"&amp;D33&amp;"'"&amp;"!b:b"),"土地收益比率",INDIRECT("'"&amp;D33&amp;"'"&amp;"!c:c")),SUMIF(INDIRECT("'"&amp;D33&amp;"'"&amp;"!b:b"),"土地成本比率",INDIRECT("'"&amp;D33&amp;"'"&amp;"!c:c"))))</f>
        <v>0.875</v>
      </c>
      <c r="E34" s="2456" t="s">
        <v>2166</v>
      </c>
      <c r="F34" s="1735"/>
      <c r="G34" s="138"/>
      <c r="H34" s="138"/>
      <c r="I34" s="138"/>
    </row>
    <row r="35" spans="1:15" ht="15.75" thickBot="1">
      <c r="A35" s="2457"/>
      <c r="B35" s="2458" t="s">
        <v>2167</v>
      </c>
      <c r="C35" s="1440">
        <f ca="1">IF(C33="自定义",F35,ROUND(C32*D35,0))</f>
        <v>283</v>
      </c>
      <c r="D35" s="1441">
        <f ca="1">IF(C33="自定义",ROUND(C35/C32,3),IF(C33="收益比率",SUMIF(INDIRECT("'"&amp;D33&amp;"'"&amp;"!b:b"),"建筑物收益比率",INDIRECT("'"&amp;D33&amp;"'"&amp;"!c:c")),SUMIF(INDIRECT("'"&amp;D33&amp;"'"&amp;"!b:b"),"建筑物成本比率",INDIRECT("'"&amp;D33&amp;"'"&amp;"!c:c"))))</f>
        <v>0.125</v>
      </c>
      <c r="E35" s="2459" t="s">
        <v>2168</v>
      </c>
      <c r="F35" s="163"/>
      <c r="G35" s="138"/>
      <c r="H35" s="138"/>
      <c r="I35" s="138"/>
    </row>
    <row r="36" spans="1:15" ht="15.75" thickBot="1">
      <c r="A36" s="3173" t="s">
        <v>2169</v>
      </c>
      <c r="B36" s="2460" t="s">
        <v>2170</v>
      </c>
      <c r="C36" s="154"/>
      <c r="D36" s="2461"/>
      <c r="E36" s="2462"/>
      <c r="F36" s="2463"/>
      <c r="G36" s="138"/>
      <c r="H36" s="138"/>
      <c r="I36" s="138"/>
    </row>
    <row r="37" spans="1:15" ht="15.75" thickBot="1">
      <c r="A37" s="3174"/>
      <c r="B37" s="2266" t="s">
        <v>2171</v>
      </c>
      <c r="C37" s="156"/>
      <c r="D37" s="1391"/>
      <c r="E37" s="1391"/>
      <c r="F37" s="2463"/>
      <c r="G37" s="138"/>
      <c r="H37" s="138"/>
      <c r="I37" s="138"/>
    </row>
    <row r="38" spans="1:15" ht="15.75" thickBot="1">
      <c r="A38" s="3175"/>
      <c r="B38" s="2464" t="s">
        <v>2172</v>
      </c>
      <c r="C38" s="727"/>
      <c r="D38" s="2465" t="s">
        <v>2173</v>
      </c>
      <c r="E38" s="1391"/>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0" t="s">
        <v>2183</v>
      </c>
      <c r="B45" s="3191"/>
      <c r="C45" s="3192"/>
      <c r="D45" s="164">
        <f ca="1">ROUND(H101*F45,0)</f>
        <v>2260</v>
      </c>
      <c r="E45" s="165" t="s">
        <v>2184</v>
      </c>
      <c r="F45" s="166">
        <v>1</v>
      </c>
      <c r="G45" s="167" t="s">
        <v>2185</v>
      </c>
      <c r="H45" s="138"/>
      <c r="I45" s="138"/>
      <c r="J45" s="3109" t="s">
        <v>2186</v>
      </c>
      <c r="K45" s="3109"/>
      <c r="L45" s="3109"/>
      <c r="M45" s="3109"/>
      <c r="N45" s="3109"/>
      <c r="O45" s="3109"/>
    </row>
    <row r="46" spans="1:15" ht="14.25" customHeight="1">
      <c r="A46" s="3187" t="s">
        <v>2187</v>
      </c>
      <c r="B46" s="3188"/>
      <c r="C46" s="3188"/>
      <c r="D46" s="3188"/>
      <c r="E46" s="3188"/>
      <c r="F46" s="3188"/>
      <c r="G46" s="3189"/>
      <c r="H46" s="2479"/>
      <c r="I46" s="168"/>
      <c r="J46" s="2965">
        <v>1</v>
      </c>
      <c r="K46" s="3109" t="s">
        <v>2188</v>
      </c>
      <c r="L46" s="3109"/>
      <c r="M46" s="3110"/>
      <c r="N46" s="3110"/>
      <c r="O46" s="3110"/>
    </row>
    <row r="47" spans="1:15" ht="12" customHeight="1">
      <c r="A47" s="169" t="s">
        <v>2189</v>
      </c>
      <c r="B47" s="170"/>
      <c r="C47" s="171"/>
      <c r="D47" s="172" t="s">
        <v>2190</v>
      </c>
      <c r="E47" s="24" t="s">
        <v>2191</v>
      </c>
      <c r="F47" s="173" t="s">
        <v>2192</v>
      </c>
      <c r="G47" s="174" t="s">
        <v>2193</v>
      </c>
      <c r="H47" s="2479"/>
      <c r="I47" s="168"/>
      <c r="J47" s="2965">
        <v>2</v>
      </c>
      <c r="K47" s="3109" t="s">
        <v>2194</v>
      </c>
      <c r="L47" s="3109"/>
      <c r="M47" s="3111">
        <f>'数据-取费表'!B2</f>
        <v>43945</v>
      </c>
      <c r="N47" s="3111"/>
      <c r="O47" s="3111"/>
    </row>
    <row r="48" spans="1:15" ht="25.5">
      <c r="A48" s="3177" t="s">
        <v>2195</v>
      </c>
      <c r="B48" s="3178"/>
      <c r="C48" s="3178"/>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09" t="s">
        <v>2198</v>
      </c>
      <c r="L48" s="3109"/>
      <c r="M48" s="3112">
        <f ca="1">H101</f>
        <v>2260</v>
      </c>
      <c r="N48" s="3112"/>
      <c r="O48" s="3112"/>
    </row>
    <row r="49" spans="1:35" ht="25.5" customHeight="1">
      <c r="A49" s="176" t="s">
        <v>2199</v>
      </c>
      <c r="B49" s="3157" t="s">
        <v>2200</v>
      </c>
      <c r="C49" s="3157"/>
      <c r="D49" s="177">
        <v>0</v>
      </c>
      <c r="E49" s="23" t="s">
        <v>2201</v>
      </c>
      <c r="F49" s="28" t="s">
        <v>34</v>
      </c>
      <c r="G49" s="3138"/>
      <c r="H49" s="138"/>
      <c r="I49" s="2482"/>
      <c r="J49" s="2965">
        <v>4</v>
      </c>
      <c r="K49" s="3109" t="str">
        <f>IF(项目基本情况!E8="房地产抵押价值","房地产抵押价值","抵押担保权已注销时的房地产抵押价值")</f>
        <v>房地产抵押价值</v>
      </c>
      <c r="L49" s="3109"/>
      <c r="M49" s="3112">
        <f ca="1">IF(项目基本情况!E8="房地产抵押价值",H107,H109)</f>
        <v>2260</v>
      </c>
      <c r="N49" s="3112"/>
      <c r="O49" s="3112"/>
    </row>
    <row r="50" spans="1:35" ht="25.5" customHeight="1">
      <c r="A50" s="178"/>
      <c r="B50" s="3157" t="s">
        <v>2202</v>
      </c>
      <c r="C50" s="3157"/>
      <c r="D50" s="179"/>
      <c r="E50" s="31"/>
      <c r="F50" s="180"/>
      <c r="G50" s="3139"/>
      <c r="H50" s="138"/>
      <c r="I50" s="2482"/>
      <c r="J50" s="3109" t="s">
        <v>2203</v>
      </c>
      <c r="K50" s="3109"/>
      <c r="L50" s="3109"/>
      <c r="M50" s="3109"/>
      <c r="N50" s="3109"/>
      <c r="O50" s="3109"/>
    </row>
    <row r="51" spans="1:35" ht="12" customHeight="1">
      <c r="A51" s="181"/>
      <c r="B51" s="3157" t="s">
        <v>2204</v>
      </c>
      <c r="C51" s="3157"/>
      <c r="D51" s="182"/>
      <c r="E51" s="30"/>
      <c r="F51" s="180"/>
      <c r="G51" s="3140"/>
      <c r="H51" s="138"/>
      <c r="I51" s="2482"/>
      <c r="J51" s="2964" t="s">
        <v>2205</v>
      </c>
      <c r="K51" s="3109" t="s">
        <v>2206</v>
      </c>
      <c r="L51" s="3109"/>
      <c r="M51" s="2964" t="s">
        <v>2207</v>
      </c>
      <c r="N51" s="2964" t="s">
        <v>2208</v>
      </c>
      <c r="O51" s="2964" t="s">
        <v>2209</v>
      </c>
    </row>
    <row r="52" spans="1:35" ht="24" customHeight="1">
      <c r="A52" s="183" t="s">
        <v>2210</v>
      </c>
      <c r="B52" s="3157" t="s">
        <v>2211</v>
      </c>
      <c r="C52" s="3157"/>
      <c r="D52" s="182">
        <f ca="1">ROUND(D45*'数据-取费表'!B41/(1+'数据-取费表'!C42),0)</f>
        <v>121</v>
      </c>
      <c r="E52" s="11" t="s">
        <v>2212</v>
      </c>
      <c r="F52" s="184">
        <f>'数据-取费表'!B41</f>
        <v>5.6000000000000001E-2</v>
      </c>
      <c r="G52" s="2484"/>
      <c r="H52" s="138"/>
      <c r="I52" s="2482"/>
      <c r="J52" s="2965">
        <v>1</v>
      </c>
      <c r="K52" s="3132" t="s">
        <v>2213</v>
      </c>
      <c r="L52" s="3132"/>
      <c r="M52" s="1750">
        <f>D48</f>
        <v>0</v>
      </c>
      <c r="N52" s="2965" t="str">
        <f>E48</f>
        <v>销售额×税（费）率</v>
      </c>
      <c r="O52" s="1751" t="str">
        <f>F48</f>
        <v>免征</v>
      </c>
    </row>
    <row r="53" spans="1:35" ht="12" customHeight="1">
      <c r="A53" s="183" t="s">
        <v>2214</v>
      </c>
      <c r="B53" s="3158" t="s">
        <v>2215</v>
      </c>
      <c r="C53" s="3159"/>
      <c r="D53" s="182">
        <f ca="1">ROUND(D45*'数据-取费表'!B41/(1+'数据-取费表'!C42),0)</f>
        <v>121</v>
      </c>
      <c r="E53" s="11" t="s">
        <v>2212</v>
      </c>
      <c r="F53" s="184">
        <f>'数据-取费表'!B41</f>
        <v>5.6000000000000001E-2</v>
      </c>
      <c r="G53" s="2484"/>
      <c r="H53" s="138"/>
      <c r="I53" s="2482"/>
      <c r="J53" s="2965">
        <v>2</v>
      </c>
      <c r="K53" s="3132" t="s">
        <v>2216</v>
      </c>
      <c r="L53" s="3132"/>
      <c r="M53" s="1750">
        <f t="shared" ref="M53:O54" ca="1" si="0">D55</f>
        <v>1</v>
      </c>
      <c r="N53" s="2965" t="str">
        <f t="shared" si="0"/>
        <v>销售额×税（费）率</v>
      </c>
      <c r="O53" s="1751">
        <f t="shared" si="0"/>
        <v>5.0000000000000001E-4</v>
      </c>
    </row>
    <row r="54" spans="1:35" ht="12" customHeight="1">
      <c r="A54" s="183" t="s">
        <v>2217</v>
      </c>
      <c r="B54" s="3158" t="s">
        <v>2218</v>
      </c>
      <c r="C54" s="3159"/>
      <c r="D54" s="182">
        <f ca="1">C68</f>
        <v>121</v>
      </c>
      <c r="E54" s="30" t="s">
        <v>2219</v>
      </c>
      <c r="F54" s="184">
        <f>'数据-取费表'!B41</f>
        <v>5.6000000000000001E-2</v>
      </c>
      <c r="G54" s="2484"/>
      <c r="H54" s="2485"/>
      <c r="I54" s="2482"/>
      <c r="J54" s="2965">
        <v>3</v>
      </c>
      <c r="K54" s="3132" t="s">
        <v>2220</v>
      </c>
      <c r="L54" s="3132"/>
      <c r="M54" s="1750">
        <f t="shared" ca="1" si="0"/>
        <v>1279</v>
      </c>
      <c r="N54" s="2965" t="str">
        <f t="shared" si="0"/>
        <v>增值额×税（费）率</v>
      </c>
      <c r="O54" s="1752" t="str">
        <f t="shared" si="0"/>
        <v>——</v>
      </c>
    </row>
    <row r="55" spans="1:35" ht="24" customHeight="1">
      <c r="A55" s="3196" t="s">
        <v>2221</v>
      </c>
      <c r="B55" s="3178"/>
      <c r="C55" s="3178"/>
      <c r="D55" s="185">
        <f ca="1">IF(H55="个人住宅",0,ROUND(D45*I55,0))</f>
        <v>1</v>
      </c>
      <c r="E55" s="11" t="s">
        <v>2222</v>
      </c>
      <c r="F55" s="184">
        <f>IF(H55="正常",I55,"免征")</f>
        <v>5.0000000000000001E-4</v>
      </c>
      <c r="G55" s="2484"/>
      <c r="H55" s="2481" t="s">
        <v>2223</v>
      </c>
      <c r="I55" s="186">
        <f>'数据-取费表'!B49</f>
        <v>5.0000000000000001E-4</v>
      </c>
      <c r="J55" s="2965" t="str">
        <f>IF(H59="非个人房产","",4)</f>
        <v/>
      </c>
      <c r="K55" s="3132" t="str">
        <f>IF(H59="非个人房产","——","个人所得税")</f>
        <v>——</v>
      </c>
      <c r="L55" s="3132"/>
      <c r="M55" s="1753" t="str">
        <f>D59</f>
        <v>——</v>
      </c>
      <c r="N55" s="2966" t="str">
        <f>E59</f>
        <v>——</v>
      </c>
      <c r="O55" s="1754" t="str">
        <f>F59</f>
        <v>——</v>
      </c>
    </row>
    <row r="56" spans="1:35" ht="24.75">
      <c r="A56" s="3196" t="s">
        <v>2224</v>
      </c>
      <c r="B56" s="3178"/>
      <c r="C56" s="3178"/>
      <c r="D56" s="185">
        <f ca="1">IF(H56="个人住宅",D57,D58)</f>
        <v>1279</v>
      </c>
      <c r="E56" s="11" t="s">
        <v>2225</v>
      </c>
      <c r="F56" s="184" t="str">
        <f>IF(H56="正常",F58,"免征")</f>
        <v>——</v>
      </c>
      <c r="G56" s="2486" t="s">
        <v>2226</v>
      </c>
      <c r="H56" s="2487" t="s">
        <v>2223</v>
      </c>
      <c r="I56" s="2488"/>
      <c r="J56" s="2965" t="str">
        <f>IF(项目基本情况!K6="上海银行",IF(J55="",4,J55+1),"")</f>
        <v/>
      </c>
      <c r="K56" s="3115" t="str">
        <f>IF(项目基本情况!K6="上海银行","其他处置费用","")</f>
        <v/>
      </c>
      <c r="L56" s="3116"/>
      <c r="M56" s="1750" t="str">
        <f>IF(项目基本情况!K6="上海银行",M69,"")</f>
        <v/>
      </c>
      <c r="N56" s="3118" t="str">
        <f>IF(项目基本情况!K6="上海银行","包含处置中涉及的律师、诉讼、拍卖、评估等费用","")</f>
        <v/>
      </c>
      <c r="O56" s="3119"/>
    </row>
    <row r="57" spans="1:35" ht="12.75">
      <c r="A57" s="183" t="s">
        <v>2199</v>
      </c>
      <c r="B57" s="3163" t="s">
        <v>2227</v>
      </c>
      <c r="C57" s="3164"/>
      <c r="D57" s="187">
        <v>0</v>
      </c>
      <c r="E57" s="23" t="s">
        <v>2201</v>
      </c>
      <c r="F57" s="155"/>
      <c r="G57" s="2484"/>
      <c r="H57" s="2488"/>
      <c r="I57" s="2488"/>
      <c r="J57" s="3132">
        <f>IF(AND(J55="",J56=""),4,IF(项目基本情况!K6="上海银行",'结果表-基准'!J56+1,'结果表-基准'!J55+1))</f>
        <v>4</v>
      </c>
      <c r="K57" s="3132" t="s">
        <v>2228</v>
      </c>
      <c r="L57" s="2489" t="s">
        <v>2229</v>
      </c>
      <c r="M57" s="1755"/>
      <c r="N57" s="1756">
        <f ca="1">SUMIF(M52:M56,"&lt;9e307")</f>
        <v>1280</v>
      </c>
      <c r="O57" s="2490"/>
      <c r="P57" s="1749">
        <f ca="1">N57/M49</f>
        <v>0.5663716814159292</v>
      </c>
    </row>
    <row r="58" spans="1:35" ht="24.75">
      <c r="A58" s="183" t="s">
        <v>2210</v>
      </c>
      <c r="B58" s="3163" t="s">
        <v>2230</v>
      </c>
      <c r="C58" s="3176"/>
      <c r="D58" s="185">
        <f ca="1">IF(H58="转让取得",C81,C97)</f>
        <v>1279</v>
      </c>
      <c r="E58" s="11" t="s">
        <v>2225</v>
      </c>
      <c r="F58" s="24" t="s">
        <v>34</v>
      </c>
      <c r="G58" s="2484"/>
      <c r="H58" s="2487" t="s">
        <v>2231</v>
      </c>
      <c r="I58" s="2488"/>
      <c r="J58" s="3132"/>
      <c r="K58" s="3132"/>
      <c r="L58" s="2489" t="s">
        <v>2232</v>
      </c>
      <c r="M58" s="1757"/>
      <c r="N58" s="2491" t="str">
        <f ca="1">NUMBERSTRING(INT(N57*10000),2)&amp;"元整"</f>
        <v>壹仟贰佰捌拾万元整</v>
      </c>
      <c r="O58" s="2492"/>
    </row>
    <row r="59" spans="1:35" ht="24.75" thickBot="1">
      <c r="A59" s="3136" t="s">
        <v>2233</v>
      </c>
      <c r="B59" s="3137"/>
      <c r="C59" s="313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4">
        <f>J57+1</f>
        <v>5</v>
      </c>
      <c r="K59" s="3132" t="s">
        <v>2235</v>
      </c>
      <c r="L59" s="2965" t="s">
        <v>2229</v>
      </c>
      <c r="M59" s="1758"/>
      <c r="N59" s="1759">
        <f ca="1">M49-N57</f>
        <v>980</v>
      </c>
      <c r="O59" s="2494"/>
    </row>
    <row r="60" spans="1:35" ht="12" customHeight="1">
      <c r="A60" s="2495"/>
      <c r="B60" s="2417"/>
      <c r="C60" s="2417"/>
      <c r="D60" s="2417"/>
      <c r="E60" s="2165"/>
      <c r="F60" s="2488"/>
      <c r="G60" s="2488"/>
      <c r="H60" s="2496"/>
      <c r="I60" s="138"/>
      <c r="J60" s="3135"/>
      <c r="K60" s="3132"/>
      <c r="L60" s="2489" t="s">
        <v>2232</v>
      </c>
      <c r="M60" s="1757"/>
      <c r="N60" s="2491" t="str">
        <f ca="1">NUMBERSTRING(INT(N59*10000),2)&amp;"元整"</f>
        <v>玖佰捌拾万元整</v>
      </c>
      <c r="O60" s="2492"/>
    </row>
    <row r="61" spans="1:35" ht="13.5" thickBot="1">
      <c r="A61" s="3195" t="s">
        <v>2236</v>
      </c>
      <c r="B61" s="3195"/>
      <c r="C61" s="3195"/>
      <c r="D61" s="3195"/>
      <c r="E61" s="3195"/>
      <c r="F61" s="2488"/>
      <c r="G61" s="2488"/>
      <c r="H61" s="2496"/>
      <c r="I61" s="138"/>
      <c r="J61" s="2965">
        <f>J59+1</f>
        <v>6</v>
      </c>
      <c r="K61" s="3132" t="s">
        <v>2237</v>
      </c>
      <c r="L61" s="3132"/>
      <c r="M61" s="1760"/>
      <c r="N61" s="1761">
        <f ca="1">ROUND(N59*10000/'数据-汇总表'!E3,0)</f>
        <v>22246</v>
      </c>
      <c r="O61" s="2497"/>
    </row>
    <row r="62" spans="1:35" ht="12.75">
      <c r="A62" s="3152" t="s">
        <v>2238</v>
      </c>
      <c r="B62" s="3153"/>
      <c r="C62" s="2962"/>
      <c r="D62" s="2962" t="s">
        <v>2239</v>
      </c>
      <c r="E62" s="192" t="s">
        <v>2240</v>
      </c>
      <c r="F62" s="2488"/>
      <c r="G62" s="2488"/>
      <c r="H62" s="2496"/>
      <c r="I62" s="138"/>
    </row>
    <row r="63" spans="1:35" ht="12.75">
      <c r="A63" s="203" t="s">
        <v>775</v>
      </c>
      <c r="B63" s="193" t="s">
        <v>2241</v>
      </c>
      <c r="C63" s="194">
        <f ca="1">ROUND((C64+C65)/(1+'数据-取费表'!C42),0)</f>
        <v>2152</v>
      </c>
      <c r="D63" s="195"/>
      <c r="E63" s="196"/>
      <c r="F63" s="2488"/>
      <c r="G63" s="2488"/>
      <c r="H63" s="2496"/>
      <c r="I63" s="138"/>
      <c r="J63" s="3117" t="s">
        <v>2242</v>
      </c>
      <c r="K63" s="2967" t="s">
        <v>2243</v>
      </c>
      <c r="L63" s="1748">
        <f ca="1">IF(M49&gt;10000,M49*0.5%,IF(AND(M49&gt;1000,M49&lt;=10000),M49*1%,IF(AND(M49&gt;100,M49&lt;=1000),M49*3%,IF(AND(M49&gt;10,M49&lt;=100),M49*5%,M49*8%))))</f>
        <v>22.6</v>
      </c>
      <c r="M63" s="24">
        <f ca="1">ROUND(L63,1)</f>
        <v>22.6</v>
      </c>
      <c r="Z63" s="2422"/>
      <c r="AI63" s="2423"/>
    </row>
    <row r="64" spans="1:35" ht="14.25" customHeight="1">
      <c r="A64" s="197" t="s">
        <v>770</v>
      </c>
      <c r="B64" s="198" t="s">
        <v>2244</v>
      </c>
      <c r="C64" s="199">
        <f ca="1">D45</f>
        <v>2260</v>
      </c>
      <c r="D64" s="200" t="s">
        <v>32</v>
      </c>
      <c r="E64" s="201"/>
      <c r="F64" s="2488"/>
      <c r="G64" s="2488"/>
      <c r="H64" s="2496"/>
      <c r="I64" s="138"/>
      <c r="J64" s="3117"/>
      <c r="K64" s="2967" t="s">
        <v>2245</v>
      </c>
      <c r="L64" s="1748">
        <f ca="1">IF(M49&gt;2000,M49*0.5%,IF(AND(M49&gt;1000,M49&lt;=2000),M49*0.6%,IF(AND(M49&gt;500,M49&lt;=1000),M49*0.7%,IF(AND(M49&gt;200,M49&lt;=500),M49*0.8%,IF(AND(M49&gt;100,M49&lt;=200),M49*0.9%,IF(AND(M49&gt;50,M49&lt;=100),M49*1%,IF(AND(M49&gt;20,M49&lt;=50),M49*1.5%,IF(AND(M49&gt;10,M49&lt;=20),M49*2%,IF(AND(M49&gt;1,M49&lt;=10),M49*2.5%)))))))))</f>
        <v>11.3</v>
      </c>
      <c r="M64" s="24">
        <f t="shared" ref="M64:M65" ca="1" si="1">ROUND(L64,1)</f>
        <v>11.3</v>
      </c>
      <c r="N64" s="138" t="s">
        <v>2246</v>
      </c>
      <c r="Z64" s="2422"/>
      <c r="AI64" s="2423"/>
    </row>
    <row r="65" spans="1:35" ht="14.25" customHeight="1">
      <c r="A65" s="197" t="s">
        <v>771</v>
      </c>
      <c r="B65" s="198" t="s">
        <v>2247</v>
      </c>
      <c r="C65" s="202"/>
      <c r="D65" s="200"/>
      <c r="E65" s="201"/>
      <c r="F65" s="2488"/>
      <c r="G65" s="2488"/>
      <c r="H65" s="2496"/>
      <c r="I65" s="138"/>
      <c r="J65" s="3117"/>
      <c r="K65" s="2967" t="s">
        <v>2248</v>
      </c>
      <c r="L65" s="1748">
        <f ca="1">IF(M49&gt;1000,M49*0.1%,IF(AND(M49&gt;500,M49&lt;=1000),M49*0.5%,IF(AND(M49&gt;50,M49&lt;=500),M49*1%,IF(AND(M49&gt;1,M49&lt;=50),M49*1.5%))))</f>
        <v>2.2600000000000002</v>
      </c>
      <c r="M65" s="24">
        <f t="shared" ca="1" si="1"/>
        <v>2.2999999999999998</v>
      </c>
      <c r="N65" s="138" t="s">
        <v>2246</v>
      </c>
      <c r="Z65" s="2422"/>
      <c r="AI65" s="2423"/>
    </row>
    <row r="66" spans="1:35" ht="14.25" customHeight="1">
      <c r="A66" s="203" t="s">
        <v>772</v>
      </c>
      <c r="B66" s="204" t="s">
        <v>2249</v>
      </c>
      <c r="C66" s="205"/>
      <c r="D66" s="206" t="s">
        <v>32</v>
      </c>
      <c r="E66" s="1772" t="s">
        <v>1366</v>
      </c>
      <c r="F66" s="2488"/>
      <c r="G66" s="2488"/>
      <c r="H66" s="2496"/>
      <c r="I66" s="138"/>
      <c r="J66" s="3117"/>
      <c r="K66" s="2967" t="s">
        <v>2250</v>
      </c>
      <c r="L66" s="1748">
        <f ca="1">M49*0.5%</f>
        <v>11.3</v>
      </c>
      <c r="M66" s="24">
        <f ca="1">IF(L66&gt;0.5,0.5,ROUND(L66,0))</f>
        <v>0.5</v>
      </c>
      <c r="N66" s="138" t="s">
        <v>2251</v>
      </c>
      <c r="Z66" s="2422"/>
      <c r="AI66" s="2423"/>
    </row>
    <row r="67" spans="1:35" ht="14.25" customHeight="1">
      <c r="A67" s="203" t="s">
        <v>773</v>
      </c>
      <c r="B67" s="204" t="s">
        <v>2252</v>
      </c>
      <c r="C67" s="207">
        <f ca="1">C63-C66</f>
        <v>2152</v>
      </c>
      <c r="D67" s="200" t="s">
        <v>32</v>
      </c>
      <c r="E67" s="201"/>
      <c r="F67" s="2488"/>
      <c r="G67" s="2488"/>
      <c r="H67" s="2496"/>
      <c r="I67" s="138"/>
      <c r="J67" s="3117"/>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121</v>
      </c>
      <c r="D68" s="211">
        <f>'数据-取费表'!B41</f>
        <v>5.6000000000000001E-2</v>
      </c>
      <c r="E68" s="212"/>
      <c r="F68" s="2488"/>
      <c r="G68" s="2488"/>
      <c r="H68" s="2496"/>
      <c r="I68" s="138"/>
      <c r="J68" s="3117"/>
      <c r="K68" s="2967" t="s">
        <v>2255</v>
      </c>
      <c r="L68" s="1748">
        <f ca="1">IF(M49&gt;10000,M49*0.5%,IF(AND(M49&gt;5000,M49&lt;=10000),M49*1%,IF(AND(M49&gt;1000,M49&lt;=5000),M49*2%,IF(AND(M49&gt;200,M49&lt;=1000),M49*3%,M49*5%))))</f>
        <v>45.2</v>
      </c>
      <c r="M68" s="24">
        <f ca="1">ROUND(L68,1)</f>
        <v>45.2</v>
      </c>
      <c r="Z68" s="2422"/>
      <c r="AI68" s="2423"/>
    </row>
    <row r="69" spans="1:35" s="2445" customFormat="1" ht="16.5" customHeight="1">
      <c r="A69" s="2499"/>
      <c r="B69" s="2500"/>
      <c r="C69" s="2501"/>
      <c r="D69" s="2502"/>
      <c r="E69" s="2503"/>
      <c r="F69" s="2165"/>
      <c r="G69" s="2165"/>
      <c r="H69" s="2164"/>
      <c r="I69" s="2417"/>
      <c r="J69" s="3117"/>
      <c r="K69" s="2967" t="s">
        <v>2256</v>
      </c>
      <c r="L69" s="2504"/>
      <c r="M69" s="24">
        <f ca="1">ROUND(SUM(M63:M68),0)</f>
        <v>84</v>
      </c>
      <c r="N69" s="1749">
        <f ca="1">M69/M49</f>
        <v>3.7168141592920353E-2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2257</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2238</v>
      </c>
      <c r="B71" s="3153"/>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2152</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13</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8" t="s">
        <v>2266</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13</v>
      </c>
      <c r="D78" s="226">
        <f>'数据-取费表'!B43</f>
        <v>6.000000000000001E-3</v>
      </c>
      <c r="E78" s="3149" t="s">
        <v>2271</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2139</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164.53846153846155</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1279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2275</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2238</v>
      </c>
      <c r="B84" s="3153"/>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2152</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13</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9" t="s">
        <v>2284</v>
      </c>
      <c r="F91" s="3150"/>
      <c r="G91" s="315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9" t="s">
        <v>2288</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13</v>
      </c>
      <c r="D93" s="226">
        <f>'数据-取费表'!B43</f>
        <v>6.000000000000001E-3</v>
      </c>
      <c r="E93" s="3149" t="s">
        <v>2271</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7" t="s">
        <v>2292</v>
      </c>
      <c r="F94" s="3198"/>
      <c r="G94" s="3198"/>
      <c r="H94" s="319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2139</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164.53846153846155</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1279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1" t="s">
        <v>2294</v>
      </c>
      <c r="B100" s="3102"/>
      <c r="C100" s="3102"/>
      <c r="D100" s="3133"/>
      <c r="E100" s="3102" t="s">
        <v>2295</v>
      </c>
      <c r="F100" s="3102"/>
      <c r="G100" s="3102"/>
      <c r="H100" s="3133"/>
      <c r="I100" s="138"/>
    </row>
    <row r="101" spans="1:35" ht="18.75" customHeight="1">
      <c r="A101" s="3141" t="s">
        <v>2296</v>
      </c>
      <c r="B101" s="3142"/>
      <c r="C101" s="736" t="str">
        <f>C4</f>
        <v>比较法-办公</v>
      </c>
      <c r="D101" s="737" t="str">
        <f>D4</f>
        <v>收益法 (元)</v>
      </c>
      <c r="E101" s="3113" t="s">
        <v>2297</v>
      </c>
      <c r="F101" s="3114"/>
      <c r="G101" s="2519" t="s">
        <v>2298</v>
      </c>
      <c r="H101" s="1045">
        <f ca="1">H118</f>
        <v>2260</v>
      </c>
      <c r="I101" s="138"/>
    </row>
    <row r="102" spans="1:35" ht="18.75" customHeight="1">
      <c r="A102" s="3143" t="s">
        <v>2299</v>
      </c>
      <c r="B102" s="2519" t="s">
        <v>2298</v>
      </c>
      <c r="C102" s="736">
        <f ca="1">C19</f>
        <v>1836</v>
      </c>
      <c r="D102" s="737">
        <f ca="1">D19</f>
        <v>2778</v>
      </c>
      <c r="E102" s="3113"/>
      <c r="F102" s="3114"/>
      <c r="G102" s="2519" t="s">
        <v>2300</v>
      </c>
      <c r="H102" s="371">
        <f ca="1">I118</f>
        <v>51302</v>
      </c>
      <c r="I102" s="138"/>
    </row>
    <row r="103" spans="1:35" ht="42.75" customHeight="1">
      <c r="A103" s="3143"/>
      <c r="B103" s="2519" t="s">
        <v>2300</v>
      </c>
      <c r="C103" s="738">
        <f ca="1">C20</f>
        <v>41684</v>
      </c>
      <c r="D103" s="739">
        <f ca="1">D20</f>
        <v>63050</v>
      </c>
      <c r="E103" s="3107" t="s">
        <v>2301</v>
      </c>
      <c r="F103" s="3108"/>
      <c r="G103" s="2520" t="s">
        <v>2302</v>
      </c>
      <c r="H103" s="1045">
        <f>IF(D36="正常操作",H104+H105+H106,H105+H106)</f>
        <v>0</v>
      </c>
      <c r="I103" s="138"/>
    </row>
    <row r="104" spans="1:35" ht="18.75" customHeight="1">
      <c r="A104" s="3143" t="s">
        <v>2303</v>
      </c>
      <c r="B104" s="2521" t="s">
        <v>2298</v>
      </c>
      <c r="C104" s="740">
        <f ca="1">H118</f>
        <v>2260</v>
      </c>
      <c r="D104" s="741"/>
      <c r="E104" s="2266" t="s">
        <v>2304</v>
      </c>
      <c r="F104" s="2257"/>
      <c r="G104" s="2520" t="s">
        <v>2302</v>
      </c>
      <c r="H104" s="1046">
        <f>IF(D36="同一抵押权人同一抵押物续贷",C36&amp;"（未扣减，详见特别提示）",C36)</f>
        <v>0</v>
      </c>
      <c r="I104" s="138"/>
    </row>
    <row r="105" spans="1:35" ht="18.75" customHeight="1" thickBot="1">
      <c r="A105" s="3155"/>
      <c r="B105" s="2522" t="s">
        <v>2300</v>
      </c>
      <c r="C105" s="742">
        <f ca="1">I118</f>
        <v>51302</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4" t="str">
        <f>IF(项目基本情况!E8="已注销","——","3.房地产抵押价值")</f>
        <v>3.房地产抵押价值</v>
      </c>
      <c r="F107" s="3114"/>
      <c r="G107" s="2519" t="s">
        <v>2298</v>
      </c>
      <c r="H107" s="1045">
        <f ca="1">IF(E107="——","——",H101-H103)</f>
        <v>2260</v>
      </c>
      <c r="I107" s="138"/>
    </row>
    <row r="108" spans="1:35" ht="18.75" customHeight="1">
      <c r="A108" s="138"/>
      <c r="B108" s="138"/>
      <c r="C108" s="138"/>
      <c r="D108" s="138"/>
      <c r="E108" s="3144"/>
      <c r="F108" s="3114"/>
      <c r="G108" s="2519" t="s">
        <v>2300</v>
      </c>
      <c r="H108" s="371">
        <f ca="1">ROUND(H107*10000/'数据-汇总表'!E3,0)</f>
        <v>51302</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4"/>
      <c r="G109" s="2519" t="s">
        <v>2298</v>
      </c>
      <c r="H109" s="348" t="str">
        <f>IF(E109="——","——",H101-H105-H106)</f>
        <v>——</v>
      </c>
      <c r="I109" s="138"/>
    </row>
    <row r="110" spans="1:35" ht="18.75" customHeight="1">
      <c r="A110" s="138"/>
      <c r="B110" s="138"/>
      <c r="C110" s="138"/>
      <c r="D110" s="138"/>
      <c r="E110" s="3144"/>
      <c r="F110" s="3114"/>
      <c r="G110" s="2519" t="s">
        <v>2300</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2298</v>
      </c>
      <c r="H111" s="1045" t="str">
        <f>IF(E111="——","——",N59)</f>
        <v>——</v>
      </c>
      <c r="I111" s="138"/>
    </row>
    <row r="112" spans="1:35" ht="18.75" customHeight="1" thickBot="1">
      <c r="A112" s="138"/>
      <c r="B112" s="138"/>
      <c r="C112" s="138"/>
      <c r="D112" s="138"/>
      <c r="E112" s="3147"/>
      <c r="F112" s="3148"/>
      <c r="G112" s="2524" t="s">
        <v>2300</v>
      </c>
      <c r="H112" s="790" t="str">
        <f>IF(E111="——","——",N61)</f>
        <v>——</v>
      </c>
      <c r="I112" s="138"/>
    </row>
    <row r="113" spans="1:11" ht="18.75" customHeight="1">
      <c r="A113" s="138"/>
      <c r="B113" s="138"/>
      <c r="C113" s="138"/>
      <c r="D113" s="138"/>
      <c r="E113" s="3156" t="s">
        <v>2306</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9" t="s">
        <v>2308</v>
      </c>
      <c r="B115" s="3170"/>
      <c r="C115" s="3170"/>
      <c r="D115" s="3170"/>
      <c r="E115" s="3170"/>
      <c r="F115" s="3170"/>
      <c r="G115" s="3170"/>
      <c r="H115" s="3170"/>
      <c r="I115" s="3171"/>
    </row>
    <row r="116" spans="1:11" ht="27" customHeight="1">
      <c r="A116" s="3064" t="s">
        <v>2309</v>
      </c>
      <c r="B116" s="3123" t="s">
        <v>2310</v>
      </c>
      <c r="C116" s="3123" t="s">
        <v>2311</v>
      </c>
      <c r="D116" s="3129" t="s">
        <v>2312</v>
      </c>
      <c r="E116" s="3130"/>
      <c r="F116" s="3165" t="s">
        <v>2313</v>
      </c>
      <c r="G116" s="3165"/>
      <c r="H116" s="3064" t="s">
        <v>2314</v>
      </c>
      <c r="I116" s="3064"/>
    </row>
    <row r="117" spans="1:11" ht="18.75" customHeight="1">
      <c r="A117" s="3064"/>
      <c r="B117" s="3124"/>
      <c r="C117" s="3124"/>
      <c r="D117" s="2954" t="s">
        <v>2315</v>
      </c>
      <c r="E117" s="2954" t="s">
        <v>2316</v>
      </c>
      <c r="F117" s="2954" t="s">
        <v>2315</v>
      </c>
      <c r="G117" s="2954" t="s">
        <v>2317</v>
      </c>
      <c r="H117" s="2954" t="s">
        <v>2315</v>
      </c>
      <c r="I117" s="2954" t="s">
        <v>2317</v>
      </c>
    </row>
    <row r="118" spans="1:11" ht="24.75" customHeight="1">
      <c r="A118" s="2525" t="str">
        <f>项目基本情况!S2</f>
        <v>北京市出让国有建设用地使用权及在建建筑物房地产</v>
      </c>
      <c r="B118" s="2954">
        <f>M18</f>
        <v>440.53</v>
      </c>
      <c r="C118" s="2954">
        <f>M19</f>
        <v>21.35</v>
      </c>
      <c r="D118" s="2954">
        <f ca="1">ROUND(IF(D32="总价",C34,E118*B118/10000),0)</f>
        <v>1977</v>
      </c>
      <c r="E118" s="2954">
        <f ca="1">ROUND(IF(C33="自定义",IF(D32="楼面单价",C34,D118*10000/B118),I118-G118),0)</f>
        <v>44878</v>
      </c>
      <c r="F118" s="2954">
        <f ca="1">ROUND(IF(D32="总价",C35,G118*B118/10000),0)</f>
        <v>283</v>
      </c>
      <c r="G118" s="2954">
        <f ca="1">ROUND(IF(D32="楼面单价",C35,F118*10000/B118),0)</f>
        <v>6424</v>
      </c>
      <c r="H118" s="2954">
        <f ca="1">ROUND(IF(D32="总价",C32,I118*B118/10000),0)</f>
        <v>2260</v>
      </c>
      <c r="I118" s="2954">
        <f ca="1">ROUND(IF(D32="楼面单价",C32,H118*10000/B118),0)</f>
        <v>51302</v>
      </c>
    </row>
    <row r="119" spans="1:11" ht="18.75" customHeight="1">
      <c r="A119" s="3064" t="s">
        <v>2318</v>
      </c>
      <c r="B119" s="3064"/>
      <c r="C119" s="3064"/>
      <c r="D119" s="3125" t="str">
        <f ca="1">NUMBERSTRING(INT(D118*10000),2)&amp;"元整"</f>
        <v>壹仟玖佰柒拾柒万元整</v>
      </c>
      <c r="E119" s="3126"/>
      <c r="F119" s="3125" t="str">
        <f ca="1">NUMBERSTRING(INT(F118*10000),2)&amp;"元整"</f>
        <v>贰佰捌拾叁万元整</v>
      </c>
      <c r="G119" s="3126"/>
      <c r="H119" s="3125" t="str">
        <f ca="1">NUMBERSTRING(INT(H118*10000),2)&amp;"元整"</f>
        <v>贰仟贰佰陆拾万元整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2" t="str">
        <f>IF(D120=0,"故，本次评估不存在"&amp;A120,"故，本次评估"&amp;A120&amp;"为人民币"&amp;D120&amp;"万元整。")</f>
        <v>故，本次评估不存在估价师知悉的法定优先受偿款</v>
      </c>
    </row>
    <row r="121" spans="1:11" ht="18.75" customHeight="1">
      <c r="A121" s="3166" t="s">
        <v>2318</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2260</v>
      </c>
      <c r="E122" s="3121"/>
      <c r="F122" s="3121"/>
      <c r="G122" s="3121"/>
      <c r="H122" s="3121"/>
      <c r="I122" s="3122"/>
    </row>
    <row r="123" spans="1:11" ht="18.75" customHeight="1">
      <c r="A123" s="3064" t="s">
        <v>2318</v>
      </c>
      <c r="B123" s="3064"/>
      <c r="C123" s="3064"/>
      <c r="D123" s="3125" t="str">
        <f ca="1">NUMBERSTRING(INT(D122*10000),2)&amp;"元整"</f>
        <v>贰仟贰佰陆拾万元整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64" t="s">
        <v>2318</v>
      </c>
      <c r="B125" s="3064"/>
      <c r="C125" s="3064"/>
      <c r="D125" s="3125" t="e">
        <f>NUMBERSTRING(INT(D124*10000),2)&amp;"元整"</f>
        <v>#VALUE!</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64" t="s">
        <v>2318</v>
      </c>
      <c r="B127" s="3064"/>
      <c r="C127" s="3064"/>
      <c r="D127" s="3125" t="e">
        <f>NUMBERSTRING(INT(D126*10000),2)&amp;"元整"</f>
        <v>#VALUE!</v>
      </c>
      <c r="E127" s="3127"/>
      <c r="F127" s="3127"/>
      <c r="G127" s="3127"/>
      <c r="H127" s="3127"/>
      <c r="I127" s="3126"/>
    </row>
    <row r="128" spans="1:11" ht="21.75" customHeight="1">
      <c r="A128" s="3128" t="s">
        <v>2319</v>
      </c>
      <c r="B128" s="3128"/>
      <c r="C128" s="3128"/>
      <c r="D128" s="3128"/>
      <c r="E128" s="3128"/>
      <c r="F128" s="3128"/>
      <c r="G128" s="3128"/>
      <c r="H128" s="3128"/>
      <c r="I128" s="3128"/>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2778</v>
      </c>
      <c r="C2" s="2567" t="s">
        <v>2520</v>
      </c>
      <c r="D2" s="2568" t="s">
        <v>2521</v>
      </c>
      <c r="E2" s="2569">
        <f>SUM(E6:E13)</f>
        <v>440.53</v>
      </c>
    </row>
    <row r="3" spans="1:6" ht="15.75">
      <c r="A3" s="2565" t="s">
        <v>1389</v>
      </c>
      <c r="B3" s="2566">
        <f ca="1">ROUND(B2*10000/E2,0)</f>
        <v>63060</v>
      </c>
      <c r="C3" s="2567" t="s">
        <v>2528</v>
      </c>
      <c r="D3" s="2570"/>
      <c r="E3" s="2571"/>
    </row>
    <row r="4" spans="1:6" ht="15.75">
      <c r="A4" s="2572"/>
      <c r="B4" s="2570"/>
      <c r="C4" s="2570"/>
      <c r="D4" s="2570"/>
      <c r="E4" s="2571"/>
    </row>
    <row r="5" spans="1:6" ht="15">
      <c r="A5" s="2573" t="s">
        <v>2522</v>
      </c>
      <c r="B5" s="3208" t="s">
        <v>2523</v>
      </c>
      <c r="C5" s="3208"/>
      <c r="D5" s="2574"/>
      <c r="E5" s="2575" t="s">
        <v>2524</v>
      </c>
      <c r="F5" s="2576" t="s">
        <v>2525</v>
      </c>
    </row>
    <row r="6" spans="1:6">
      <c r="A6" s="2577" t="str">
        <f>'数据-取费表'!AN6</f>
        <v>收益法 (元)</v>
      </c>
      <c r="B6" s="2576">
        <f ca="1">IF(F6="是",'数据-取费表'!AO6,0)</f>
        <v>2778</v>
      </c>
      <c r="C6" s="2567" t="s">
        <v>2520</v>
      </c>
      <c r="D6" s="2570"/>
      <c r="E6" s="2578">
        <f>IF(OR(A6=0,F6="否"),0,'数据-取费表'!K6+'数据-取费表'!S6)</f>
        <v>440.53</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1072</v>
      </c>
      <c r="B1" s="3210"/>
      <c r="C1" s="3211"/>
      <c r="D1" s="3212">
        <f>SUM(I10,I15,I20,I21,I23)</f>
        <v>0</v>
      </c>
      <c r="E1" s="3212"/>
      <c r="F1" s="3212"/>
      <c r="G1" s="3212"/>
      <c r="H1" s="3212"/>
      <c r="I1" s="3213"/>
    </row>
    <row r="2" spans="1:9">
      <c r="A2" s="3214" t="s">
        <v>1073</v>
      </c>
      <c r="B2" s="3215" t="s">
        <v>1074</v>
      </c>
      <c r="C2" s="3215"/>
      <c r="D2" s="1300" t="s">
        <v>1075</v>
      </c>
      <c r="E2" s="1300" t="s">
        <v>1076</v>
      </c>
      <c r="F2" s="1300" t="s">
        <v>1077</v>
      </c>
      <c r="G2" s="1300" t="s">
        <v>1078</v>
      </c>
      <c r="H2" s="1300" t="s">
        <v>1079</v>
      </c>
      <c r="I2" s="1301" t="s">
        <v>1080</v>
      </c>
    </row>
    <row r="3" spans="1:9">
      <c r="A3" s="3214"/>
      <c r="B3" s="3215" t="s">
        <v>1081</v>
      </c>
      <c r="C3" s="3215"/>
      <c r="D3" s="1302"/>
      <c r="E3" s="1300"/>
      <c r="F3" s="1303"/>
      <c r="G3" s="1303"/>
      <c r="H3" s="1304"/>
      <c r="I3" s="1305">
        <f>ROUND(D3*E3*F3*G3*H3/10000,0)</f>
        <v>0</v>
      </c>
    </row>
    <row r="4" spans="1:9">
      <c r="A4" s="3214"/>
      <c r="B4" s="3215" t="s">
        <v>1082</v>
      </c>
      <c r="C4" s="3215"/>
      <c r="D4" s="1302"/>
      <c r="E4" s="1300"/>
      <c r="F4" s="1303"/>
      <c r="G4" s="1303"/>
      <c r="H4" s="1304"/>
      <c r="I4" s="1305">
        <f t="shared" ref="I4:I9" si="0">ROUND(D4*E4*F4*G4*H4/10000,0)</f>
        <v>0</v>
      </c>
    </row>
    <row r="5" spans="1:9">
      <c r="A5" s="3214"/>
      <c r="B5" s="3215" t="s">
        <v>1083</v>
      </c>
      <c r="C5" s="3215"/>
      <c r="D5" s="1302"/>
      <c r="E5" s="1300"/>
      <c r="F5" s="1303"/>
      <c r="G5" s="1303"/>
      <c r="H5" s="1304"/>
      <c r="I5" s="1305">
        <f t="shared" si="0"/>
        <v>0</v>
      </c>
    </row>
    <row r="6" spans="1:9">
      <c r="A6" s="3214"/>
      <c r="B6" s="3215" t="s">
        <v>1084</v>
      </c>
      <c r="C6" s="3215"/>
      <c r="D6" s="1302"/>
      <c r="E6" s="1300"/>
      <c r="F6" s="1303"/>
      <c r="G6" s="1303"/>
      <c r="H6" s="1304"/>
      <c r="I6" s="1305">
        <f t="shared" si="0"/>
        <v>0</v>
      </c>
    </row>
    <row r="7" spans="1:9">
      <c r="A7" s="3214"/>
      <c r="B7" s="3215" t="s">
        <v>1085</v>
      </c>
      <c r="C7" s="3215"/>
      <c r="D7" s="1302"/>
      <c r="E7" s="1300"/>
      <c r="F7" s="1303"/>
      <c r="G7" s="1303"/>
      <c r="H7" s="1304"/>
      <c r="I7" s="1305">
        <f t="shared" si="0"/>
        <v>0</v>
      </c>
    </row>
    <row r="8" spans="1:9">
      <c r="A8" s="3214"/>
      <c r="B8" s="3215" t="s">
        <v>1086</v>
      </c>
      <c r="C8" s="3215"/>
      <c r="D8" s="1302"/>
      <c r="E8" s="1300"/>
      <c r="F8" s="1303"/>
      <c r="G8" s="1303"/>
      <c r="H8" s="1304"/>
      <c r="I8" s="1305">
        <f t="shared" si="0"/>
        <v>0</v>
      </c>
    </row>
    <row r="9" spans="1:9">
      <c r="A9" s="3214"/>
      <c r="B9" s="3215" t="s">
        <v>1087</v>
      </c>
      <c r="C9" s="3215"/>
      <c r="D9" s="1302"/>
      <c r="E9" s="1300"/>
      <c r="F9" s="1303"/>
      <c r="G9" s="1303"/>
      <c r="H9" s="1304"/>
      <c r="I9" s="1305">
        <f t="shared" si="0"/>
        <v>0</v>
      </c>
    </row>
    <row r="10" spans="1:9">
      <c r="A10" s="3214"/>
      <c r="B10" s="3216" t="s">
        <v>1088</v>
      </c>
      <c r="C10" s="3216"/>
      <c r="D10" s="1306"/>
      <c r="E10" s="1306" t="e">
        <f>ROUND(D1*10000/D10/H9,0)</f>
        <v>#DIV/0!</v>
      </c>
      <c r="F10" s="1307"/>
      <c r="G10" s="1307"/>
      <c r="H10" s="1308"/>
      <c r="I10" s="1309">
        <f>SUM(I3:I9)</f>
        <v>0</v>
      </c>
    </row>
    <row r="11" spans="1:9" ht="14.25">
      <c r="A11" s="3214" t="s">
        <v>1089</v>
      </c>
      <c r="B11" s="3215" t="s">
        <v>1090</v>
      </c>
      <c r="C11" s="3215"/>
      <c r="D11" s="1302" t="s">
        <v>1091</v>
      </c>
      <c r="E11" s="1302" t="s">
        <v>1092</v>
      </c>
      <c r="F11" s="1303" t="s">
        <v>1093</v>
      </c>
      <c r="G11" s="1303" t="s">
        <v>1079</v>
      </c>
      <c r="H11" s="1310" t="s">
        <v>1094</v>
      </c>
      <c r="I11" s="1301" t="s">
        <v>1080</v>
      </c>
    </row>
    <row r="12" spans="1:9">
      <c r="A12" s="3214"/>
      <c r="B12" s="3215" t="s">
        <v>1095</v>
      </c>
      <c r="C12" s="3215"/>
      <c r="D12" s="1302"/>
      <c r="E12" s="1302"/>
      <c r="F12" s="1303"/>
      <c r="G12" s="1304"/>
      <c r="H12" s="1311"/>
      <c r="I12" s="1301">
        <f>ROUND(D12*E12*F12*G12/10000,0)</f>
        <v>0</v>
      </c>
    </row>
    <row r="13" spans="1:9">
      <c r="A13" s="3214"/>
      <c r="B13" s="3215" t="s">
        <v>1096</v>
      </c>
      <c r="C13" s="3215"/>
      <c r="D13" s="1302"/>
      <c r="E13" s="1302"/>
      <c r="F13" s="1303"/>
      <c r="G13" s="1304"/>
      <c r="H13" s="1311"/>
      <c r="I13" s="1301">
        <f>ROUND(D13*E13*F13*G13/10000,0)</f>
        <v>0</v>
      </c>
    </row>
    <row r="14" spans="1:9">
      <c r="A14" s="3214"/>
      <c r="B14" s="3215" t="s">
        <v>1097</v>
      </c>
      <c r="C14" s="3215"/>
      <c r="D14" s="1302"/>
      <c r="E14" s="1302"/>
      <c r="F14" s="1303"/>
      <c r="G14" s="1304"/>
      <c r="H14" s="1311"/>
      <c r="I14" s="1301">
        <f>ROUND(D14*E14*F14*G14/10000,0)</f>
        <v>0</v>
      </c>
    </row>
    <row r="15" spans="1:9">
      <c r="A15" s="3214"/>
      <c r="B15" s="3216" t="s">
        <v>1088</v>
      </c>
      <c r="C15" s="3216"/>
      <c r="D15" s="1306"/>
      <c r="E15" s="1306">
        <f>SUM(E12:E14)</f>
        <v>0</v>
      </c>
      <c r="F15" s="1307"/>
      <c r="G15" s="1304"/>
      <c r="H15" s="1311"/>
      <c r="I15" s="1312">
        <f>SUM(I12:I14)</f>
        <v>0</v>
      </c>
    </row>
    <row r="16" spans="1:9" ht="24">
      <c r="A16" s="3214" t="s">
        <v>1098</v>
      </c>
      <c r="B16" s="3215" t="s">
        <v>1099</v>
      </c>
      <c r="C16" s="3215"/>
      <c r="D16" s="1302" t="s">
        <v>1075</v>
      </c>
      <c r="E16" s="1313" t="s">
        <v>1100</v>
      </c>
      <c r="F16" s="1303" t="s">
        <v>1101</v>
      </c>
      <c r="G16" s="1304" t="s">
        <v>1079</v>
      </c>
      <c r="H16" s="1310" t="s">
        <v>1094</v>
      </c>
      <c r="I16" s="1301" t="s">
        <v>1080</v>
      </c>
    </row>
    <row r="17" spans="1:9" ht="14.25">
      <c r="A17" s="3214"/>
      <c r="B17" s="3215" t="s">
        <v>1102</v>
      </c>
      <c r="C17" s="3215"/>
      <c r="D17" s="1302"/>
      <c r="E17" s="1302"/>
      <c r="F17" s="1303"/>
      <c r="G17" s="1304"/>
      <c r="H17" s="1314"/>
      <c r="I17" s="1315">
        <f>ROUND(D17*E17*F17*G17/10000,0)</f>
        <v>0</v>
      </c>
    </row>
    <row r="18" spans="1:9" ht="14.25">
      <c r="A18" s="3214"/>
      <c r="B18" s="3215" t="s">
        <v>1103</v>
      </c>
      <c r="C18" s="3215"/>
      <c r="D18" s="1302"/>
      <c r="E18" s="1302"/>
      <c r="F18" s="1303"/>
      <c r="G18" s="1304"/>
      <c r="H18" s="1314"/>
      <c r="I18" s="1315">
        <f>ROUND(D18*E18*F18*G18/10000,0)</f>
        <v>0</v>
      </c>
    </row>
    <row r="19" spans="1:9" ht="14.25">
      <c r="A19" s="3214"/>
      <c r="B19" s="3215" t="s">
        <v>1104</v>
      </c>
      <c r="C19" s="3215"/>
      <c r="D19" s="1302"/>
      <c r="E19" s="1302"/>
      <c r="F19" s="1303"/>
      <c r="G19" s="1304"/>
      <c r="H19" s="1314"/>
      <c r="I19" s="1315">
        <f>ROUND(D19*E19*F19*G19/10000,0)</f>
        <v>0</v>
      </c>
    </row>
    <row r="20" spans="1:9">
      <c r="A20" s="3214"/>
      <c r="B20" s="3216" t="s">
        <v>1088</v>
      </c>
      <c r="C20" s="3216"/>
      <c r="D20" s="1306">
        <f>SUM(D17:D19)</f>
        <v>0</v>
      </c>
      <c r="E20" s="1306"/>
      <c r="F20" s="1307"/>
      <c r="G20" s="1304"/>
      <c r="H20" s="1311"/>
      <c r="I20" s="1312">
        <f>SUM(I17:I19)</f>
        <v>0</v>
      </c>
    </row>
    <row r="21" spans="1:9">
      <c r="A21" s="3214" t="s">
        <v>1105</v>
      </c>
      <c r="B21" s="3218"/>
      <c r="C21" s="3218"/>
      <c r="D21" s="3218"/>
      <c r="E21" s="3218"/>
      <c r="F21" s="3218"/>
      <c r="G21" s="3218"/>
      <c r="H21" s="1764">
        <v>0.1</v>
      </c>
      <c r="I21" s="1309">
        <f>ROUND(I10*H21,0)</f>
        <v>0</v>
      </c>
    </row>
    <row r="22" spans="1:9" ht="14.25">
      <c r="A22" s="3219" t="s">
        <v>1106</v>
      </c>
      <c r="B22" s="3220"/>
      <c r="C22" s="3221"/>
      <c r="D22" s="1316" t="s">
        <v>1107</v>
      </c>
      <c r="E22" s="1316" t="s">
        <v>1108</v>
      </c>
      <c r="F22" s="1317" t="s">
        <v>1109</v>
      </c>
      <c r="G22" s="1317" t="s">
        <v>1110</v>
      </c>
      <c r="H22" s="1310" t="s">
        <v>1111</v>
      </c>
      <c r="I22" s="1301" t="s">
        <v>1112</v>
      </c>
    </row>
    <row r="23" spans="1:9" ht="14.25" thickBot="1">
      <c r="A23" s="3222"/>
      <c r="B23" s="3223"/>
      <c r="C23" s="3224"/>
      <c r="D23" s="1318"/>
      <c r="E23" s="1318"/>
      <c r="F23" s="1318"/>
      <c r="G23" s="1319"/>
      <c r="H23" s="1320"/>
      <c r="I23" s="1321">
        <f>ROUND(E23*D23*F23*(1-G23)/10000,0)</f>
        <v>0</v>
      </c>
    </row>
    <row r="26" spans="1:9">
      <c r="A26" s="1322" t="s">
        <v>1113</v>
      </c>
      <c r="B26" s="1322"/>
      <c r="C26" s="1322"/>
      <c r="D26" s="1322"/>
      <c r="E26" s="3225">
        <f>C27-C30-C31-C32</f>
        <v>0</v>
      </c>
      <c r="F26" s="3225"/>
      <c r="G26" s="3225"/>
      <c r="H26" s="1736" t="s">
        <v>1335</v>
      </c>
    </row>
    <row r="27" spans="1:9">
      <c r="A27" s="1323">
        <v>1</v>
      </c>
      <c r="B27" s="1324" t="s">
        <v>1114</v>
      </c>
      <c r="C27" s="1324">
        <f>C28+C29</f>
        <v>0</v>
      </c>
      <c r="D27" s="1324"/>
      <c r="E27" s="3226"/>
      <c r="F27" s="3226"/>
      <c r="G27" s="3226"/>
    </row>
    <row r="28" spans="1:9">
      <c r="A28" s="1325" t="s">
        <v>1115</v>
      </c>
      <c r="B28" s="1324" t="s">
        <v>1116</v>
      </c>
      <c r="C28" s="1324"/>
      <c r="D28" s="1324"/>
      <c r="E28" s="3226"/>
      <c r="F28" s="3226"/>
      <c r="G28" s="322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7"/>
      <c r="F32" s="3217"/>
      <c r="G32" s="3217"/>
    </row>
    <row r="33" spans="1:7" hidden="1">
      <c r="A33" s="3227" t="s">
        <v>1125</v>
      </c>
      <c r="B33" s="3228"/>
      <c r="C33" s="3228"/>
      <c r="D33" s="3229"/>
      <c r="E33" s="3225"/>
      <c r="F33" s="3225"/>
      <c r="G33" s="3225"/>
    </row>
    <row r="34" spans="1:7" hidden="1">
      <c r="A34" s="1327">
        <v>1</v>
      </c>
      <c r="B34" s="1324" t="s">
        <v>1126</v>
      </c>
      <c r="C34" s="1324"/>
      <c r="D34" s="1324"/>
      <c r="E34" s="3226"/>
      <c r="F34" s="3226"/>
      <c r="G34" s="3226"/>
    </row>
    <row r="35" spans="1:7" hidden="1">
      <c r="A35" s="1327">
        <v>2</v>
      </c>
      <c r="B35" s="1324" t="s">
        <v>1127</v>
      </c>
      <c r="C35" s="1324"/>
      <c r="D35" s="1324"/>
      <c r="E35" s="3226"/>
      <c r="F35" s="3226"/>
      <c r="G35" s="3226"/>
    </row>
    <row r="36" spans="1:7" hidden="1">
      <c r="A36" s="1327">
        <v>3</v>
      </c>
      <c r="B36" s="1324" t="s">
        <v>1128</v>
      </c>
      <c r="C36" s="1324"/>
      <c r="D36" s="1324"/>
      <c r="E36" s="3226"/>
      <c r="F36" s="3226"/>
      <c r="G36" s="3226"/>
    </row>
    <row r="37" spans="1:7" hidden="1">
      <c r="A37" s="1327">
        <v>4</v>
      </c>
      <c r="B37" s="1324" t="s">
        <v>1129</v>
      </c>
      <c r="C37" s="1324"/>
      <c r="D37" s="1324"/>
      <c r="E37" s="3226"/>
      <c r="F37" s="3226"/>
      <c r="G37" s="3226"/>
    </row>
    <row r="38" spans="1:7" hidden="1">
      <c r="A38" s="3227" t="s">
        <v>1130</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440.53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2536</v>
      </c>
      <c r="B4" s="402"/>
      <c r="C4" s="3248" t="s">
        <v>2537</v>
      </c>
      <c r="D4" s="3249"/>
      <c r="E4" s="3250" t="s">
        <v>2538</v>
      </c>
      <c r="F4" s="3251"/>
      <c r="G4" s="3248" t="s">
        <v>2539</v>
      </c>
      <c r="H4" s="3249"/>
      <c r="I4" s="3248" t="s">
        <v>2540</v>
      </c>
      <c r="J4" s="3249"/>
      <c r="K4" s="2597" t="s">
        <v>2541</v>
      </c>
      <c r="L4" s="1130"/>
      <c r="M4" s="1131"/>
      <c r="N4" s="1131"/>
      <c r="O4" s="1131"/>
      <c r="P4" s="3252" t="s">
        <v>2542</v>
      </c>
      <c r="Q4" s="3253"/>
      <c r="R4" s="3235" t="s">
        <v>2538</v>
      </c>
      <c r="S4" s="3236"/>
      <c r="T4" s="3235" t="s">
        <v>2539</v>
      </c>
      <c r="U4" s="3236"/>
      <c r="V4" s="3260" t="s">
        <v>2540</v>
      </c>
      <c r="W4" s="3260"/>
      <c r="X4" s="1812"/>
      <c r="Y4" s="3235" t="s">
        <v>2542</v>
      </c>
      <c r="Z4" s="3236"/>
      <c r="AA4" s="3230" t="s">
        <v>2538</v>
      </c>
      <c r="AB4" s="3230" t="s">
        <v>2539</v>
      </c>
      <c r="AC4" s="3230" t="s">
        <v>2540</v>
      </c>
    </row>
    <row r="5" spans="1:29" ht="15">
      <c r="A5" s="404"/>
      <c r="B5" s="405"/>
      <c r="C5" s="3241" t="s">
        <v>2543</v>
      </c>
      <c r="D5" s="3242"/>
      <c r="E5" s="3239" t="s">
        <v>2544</v>
      </c>
      <c r="F5" s="3240"/>
      <c r="G5" s="3241" t="s">
        <v>2545</v>
      </c>
      <c r="H5" s="3242"/>
      <c r="I5" s="3241" t="s">
        <v>2546</v>
      </c>
      <c r="J5" s="3242"/>
      <c r="K5" s="2598"/>
      <c r="L5" s="1130"/>
      <c r="M5" s="1131"/>
      <c r="N5" s="1131"/>
      <c r="O5" s="1131"/>
      <c r="P5" s="3254"/>
      <c r="Q5" s="3255"/>
      <c r="R5" s="3237"/>
      <c r="S5" s="3238"/>
      <c r="T5" s="3237"/>
      <c r="U5" s="3238"/>
      <c r="V5" s="3260"/>
      <c r="W5" s="3260"/>
      <c r="X5" s="1812"/>
      <c r="Y5" s="3237"/>
      <c r="Z5" s="3238"/>
      <c r="AA5" s="3231"/>
      <c r="AB5" s="3231"/>
      <c r="AC5" s="3231"/>
    </row>
    <row r="6" spans="1:29" ht="15.75" thickBot="1">
      <c r="A6" s="406"/>
      <c r="B6" s="407"/>
      <c r="C6" s="3243" t="s">
        <v>2547</v>
      </c>
      <c r="D6" s="3244"/>
      <c r="E6" s="3245" t="s">
        <v>2547</v>
      </c>
      <c r="F6" s="3246"/>
      <c r="G6" s="3243" t="s">
        <v>2547</v>
      </c>
      <c r="H6" s="3244"/>
      <c r="I6" s="3243" t="s">
        <v>2547</v>
      </c>
      <c r="J6" s="3244"/>
      <c r="K6" s="2598" t="s">
        <v>2548</v>
      </c>
      <c r="L6" s="1130"/>
      <c r="M6" s="1131"/>
      <c r="N6" s="1131"/>
      <c r="O6" s="1131"/>
      <c r="P6" s="3256"/>
      <c r="Q6" s="3257"/>
      <c r="R6" s="3237"/>
      <c r="S6" s="3238"/>
      <c r="T6" s="3258"/>
      <c r="U6" s="3259"/>
      <c r="V6" s="3260"/>
      <c r="W6" s="3260"/>
      <c r="X6" s="1812"/>
      <c r="Y6" s="3258"/>
      <c r="Z6" s="3259"/>
      <c r="AA6" s="3232"/>
      <c r="AB6" s="3232"/>
      <c r="AC6" s="3232"/>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3" t="s">
        <v>2550</v>
      </c>
      <c r="Q7" s="3261"/>
      <c r="R7" s="770" t="s">
        <v>23</v>
      </c>
      <c r="S7" s="771">
        <f t="shared" ref="S7:S15" si="0">F7</f>
        <v>0</v>
      </c>
      <c r="T7" s="770" t="s">
        <v>23</v>
      </c>
      <c r="U7" s="771">
        <f t="shared" ref="U7:U15" si="1">H7</f>
        <v>0</v>
      </c>
      <c r="V7" s="770" t="s">
        <v>23</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3" t="s">
        <v>2553</v>
      </c>
      <c r="Q8" s="3234"/>
      <c r="R8" s="770" t="s">
        <v>23</v>
      </c>
      <c r="S8" s="771">
        <f t="shared" si="0"/>
        <v>0</v>
      </c>
      <c r="T8" s="770" t="s">
        <v>23</v>
      </c>
      <c r="U8" s="771">
        <f t="shared" si="1"/>
        <v>0</v>
      </c>
      <c r="V8" s="770" t="s">
        <v>23</v>
      </c>
      <c r="W8" s="771">
        <f t="shared" si="2"/>
        <v>0</v>
      </c>
      <c r="X8" s="772"/>
      <c r="Y8" s="3233" t="s">
        <v>2553</v>
      </c>
      <c r="Z8" s="323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7"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7"/>
      <c r="Q11" s="1794" t="str">
        <f t="shared" si="6"/>
        <v>容积率</v>
      </c>
      <c r="R11" s="770" t="s">
        <v>21</v>
      </c>
      <c r="S11" s="771" t="e">
        <f t="shared" si="0"/>
        <v>#N/A</v>
      </c>
      <c r="T11" s="770" t="s">
        <v>21</v>
      </c>
      <c r="U11" s="771" t="e">
        <f t="shared" si="1"/>
        <v>#N/A</v>
      </c>
      <c r="V11" s="770" t="s">
        <v>21</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7"/>
      <c r="Q12" s="1794">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7"/>
      <c r="Q13" s="1794">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7"/>
      <c r="Q14" s="1794">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4" t="s">
        <v>2561</v>
      </c>
      <c r="Q15" s="1809" t="str">
        <f t="shared" si="6"/>
        <v>居住社区成熟度</v>
      </c>
      <c r="R15" s="774" t="s">
        <v>21</v>
      </c>
      <c r="S15" s="775">
        <f t="shared" si="0"/>
        <v>100</v>
      </c>
      <c r="T15" s="774" t="s">
        <v>21</v>
      </c>
      <c r="U15" s="775">
        <f t="shared" si="1"/>
        <v>100</v>
      </c>
      <c r="V15" s="774" t="s">
        <v>21</v>
      </c>
      <c r="W15" s="775">
        <f t="shared" si="2"/>
        <v>100</v>
      </c>
      <c r="X15" s="1812"/>
      <c r="Y15" s="3267"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5"/>
      <c r="Q16" s="1809"/>
      <c r="R16" s="774"/>
      <c r="S16" s="775"/>
      <c r="T16" s="774"/>
      <c r="U16" s="775"/>
      <c r="V16" s="774"/>
      <c r="W16" s="775"/>
      <c r="X16" s="1812"/>
      <c r="Y16" s="3268"/>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5"/>
      <c r="Q17" s="1809" t="str">
        <f>B17</f>
        <v>交通便捷度</v>
      </c>
      <c r="R17" s="774" t="s">
        <v>21</v>
      </c>
      <c r="S17" s="775">
        <f>F17</f>
        <v>100</v>
      </c>
      <c r="T17" s="774" t="s">
        <v>21</v>
      </c>
      <c r="U17" s="775">
        <f>H17</f>
        <v>100</v>
      </c>
      <c r="V17" s="774" t="s">
        <v>21</v>
      </c>
      <c r="W17" s="775">
        <f>J17</f>
        <v>100</v>
      </c>
      <c r="X17" s="1812"/>
      <c r="Y17" s="3268"/>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5"/>
      <c r="Q18" s="1809"/>
      <c r="R18" s="774"/>
      <c r="S18" s="775"/>
      <c r="T18" s="774"/>
      <c r="U18" s="775"/>
      <c r="V18" s="774"/>
      <c r="W18" s="775"/>
      <c r="X18" s="1812"/>
      <c r="Y18" s="3268"/>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5"/>
      <c r="Q19" s="1809" t="str">
        <f>B19</f>
        <v>公共配套设施</v>
      </c>
      <c r="R19" s="774" t="s">
        <v>21</v>
      </c>
      <c r="S19" s="775">
        <f>F19</f>
        <v>100</v>
      </c>
      <c r="T19" s="774" t="s">
        <v>21</v>
      </c>
      <c r="U19" s="775">
        <f>H19</f>
        <v>100</v>
      </c>
      <c r="V19" s="774" t="s">
        <v>21</v>
      </c>
      <c r="W19" s="775">
        <f>J19</f>
        <v>100</v>
      </c>
      <c r="X19" s="1812"/>
      <c r="Y19" s="3268"/>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5"/>
      <c r="Q20" s="1809"/>
      <c r="R20" s="774"/>
      <c r="S20" s="775"/>
      <c r="T20" s="774"/>
      <c r="U20" s="775"/>
      <c r="V20" s="774"/>
      <c r="W20" s="775"/>
      <c r="X20" s="1812"/>
      <c r="Y20" s="3268"/>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5"/>
      <c r="Q22" s="1809"/>
      <c r="R22" s="774"/>
      <c r="S22" s="775"/>
      <c r="T22" s="774"/>
      <c r="U22" s="775"/>
      <c r="V22" s="774"/>
      <c r="W22" s="775"/>
      <c r="X22" s="1812"/>
      <c r="Y22" s="3268"/>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5"/>
      <c r="Q23" s="1809" t="str">
        <f>B23</f>
        <v>自然及人文环境</v>
      </c>
      <c r="R23" s="774" t="s">
        <v>21</v>
      </c>
      <c r="S23" s="775">
        <f>F23</f>
        <v>100</v>
      </c>
      <c r="T23" s="774" t="s">
        <v>21</v>
      </c>
      <c r="U23" s="775">
        <f>H23</f>
        <v>100</v>
      </c>
      <c r="V23" s="774" t="s">
        <v>21</v>
      </c>
      <c r="W23" s="775">
        <f>J23</f>
        <v>100</v>
      </c>
      <c r="X23" s="1812"/>
      <c r="Y23" s="3268"/>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5"/>
      <c r="Q24" s="1809"/>
      <c r="R24" s="774"/>
      <c r="S24" s="775"/>
      <c r="T24" s="774"/>
      <c r="U24" s="775"/>
      <c r="V24" s="774"/>
      <c r="W24" s="775"/>
      <c r="X24" s="1812"/>
      <c r="Y24" s="3268"/>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8"/>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5"/>
      <c r="Q26" s="1809" t="str">
        <f t="shared" si="11"/>
        <v>朝向</v>
      </c>
      <c r="R26" s="774" t="s">
        <v>21</v>
      </c>
      <c r="S26" s="775">
        <f t="shared" si="12"/>
        <v>100</v>
      </c>
      <c r="T26" s="774" t="s">
        <v>21</v>
      </c>
      <c r="U26" s="775">
        <f t="shared" si="13"/>
        <v>100</v>
      </c>
      <c r="V26" s="774" t="s">
        <v>21</v>
      </c>
      <c r="W26" s="775">
        <f t="shared" si="14"/>
        <v>100</v>
      </c>
      <c r="X26" s="1812"/>
      <c r="Y26" s="3268"/>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5"/>
      <c r="Q27" s="1794">
        <f t="shared" si="11"/>
        <v>111</v>
      </c>
      <c r="R27" s="770" t="s">
        <v>21</v>
      </c>
      <c r="S27" s="771">
        <f t="shared" si="12"/>
        <v>100</v>
      </c>
      <c r="T27" s="770" t="s">
        <v>21</v>
      </c>
      <c r="U27" s="771">
        <f t="shared" si="13"/>
        <v>100</v>
      </c>
      <c r="V27" s="770" t="s">
        <v>21</v>
      </c>
      <c r="W27" s="771">
        <f t="shared" si="14"/>
        <v>100</v>
      </c>
      <c r="X27" s="772"/>
      <c r="Y27" s="3268"/>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5"/>
      <c r="Q28" s="1809">
        <f t="shared" si="11"/>
        <v>111</v>
      </c>
      <c r="R28" s="774" t="s">
        <v>21</v>
      </c>
      <c r="S28" s="775">
        <f t="shared" si="12"/>
        <v>100</v>
      </c>
      <c r="T28" s="774" t="s">
        <v>21</v>
      </c>
      <c r="U28" s="775">
        <f t="shared" si="13"/>
        <v>100</v>
      </c>
      <c r="V28" s="774" t="s">
        <v>21</v>
      </c>
      <c r="W28" s="775">
        <f t="shared" si="14"/>
        <v>100</v>
      </c>
      <c r="X28" s="1812"/>
      <c r="Y28" s="326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5"/>
      <c r="Q29" s="1809">
        <f t="shared" si="11"/>
        <v>111</v>
      </c>
      <c r="R29" s="774" t="s">
        <v>21</v>
      </c>
      <c r="S29" s="775">
        <f t="shared" si="12"/>
        <v>100</v>
      </c>
      <c r="T29" s="774" t="s">
        <v>21</v>
      </c>
      <c r="U29" s="775">
        <f t="shared" si="13"/>
        <v>100</v>
      </c>
      <c r="V29" s="774" t="s">
        <v>21</v>
      </c>
      <c r="W29" s="775">
        <f t="shared" si="14"/>
        <v>100</v>
      </c>
      <c r="X29" s="1812"/>
      <c r="Y29" s="326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5"/>
      <c r="Q30" s="1809">
        <f t="shared" si="11"/>
        <v>111</v>
      </c>
      <c r="R30" s="774" t="s">
        <v>21</v>
      </c>
      <c r="S30" s="775">
        <f t="shared" si="12"/>
        <v>100</v>
      </c>
      <c r="T30" s="774" t="s">
        <v>21</v>
      </c>
      <c r="U30" s="775">
        <f t="shared" si="13"/>
        <v>100</v>
      </c>
      <c r="V30" s="774" t="s">
        <v>21</v>
      </c>
      <c r="W30" s="775">
        <f t="shared" si="14"/>
        <v>100</v>
      </c>
      <c r="X30" s="1812"/>
      <c r="Y30" s="326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5"/>
      <c r="Q31" s="1809">
        <f t="shared" si="11"/>
        <v>111</v>
      </c>
      <c r="R31" s="774" t="s">
        <v>21</v>
      </c>
      <c r="S31" s="775">
        <f t="shared" si="12"/>
        <v>100</v>
      </c>
      <c r="T31" s="774" t="s">
        <v>21</v>
      </c>
      <c r="U31" s="775">
        <f t="shared" si="13"/>
        <v>100</v>
      </c>
      <c r="V31" s="774" t="s">
        <v>21</v>
      </c>
      <c r="W31" s="775">
        <f t="shared" si="14"/>
        <v>100</v>
      </c>
      <c r="X31" s="1812"/>
      <c r="Y31" s="3268"/>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69" t="s">
        <v>2566</v>
      </c>
      <c r="Q32" s="1809" t="str">
        <f t="shared" si="11"/>
        <v>建筑类型</v>
      </c>
      <c r="R32" s="774" t="s">
        <v>21</v>
      </c>
      <c r="S32" s="775">
        <f t="shared" si="12"/>
        <v>100</v>
      </c>
      <c r="T32" s="774" t="s">
        <v>21</v>
      </c>
      <c r="U32" s="775">
        <f t="shared" si="13"/>
        <v>100</v>
      </c>
      <c r="V32" s="774" t="s">
        <v>21</v>
      </c>
      <c r="W32" s="775">
        <f t="shared" si="14"/>
        <v>100</v>
      </c>
      <c r="X32" s="1812"/>
      <c r="Y32" s="3272"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0"/>
      <c r="Q34" s="1809" t="str">
        <f t="shared" si="11"/>
        <v>建筑结构</v>
      </c>
      <c r="R34" s="774" t="s">
        <v>21</v>
      </c>
      <c r="S34" s="775">
        <f t="shared" si="12"/>
        <v>100</v>
      </c>
      <c r="T34" s="774" t="s">
        <v>21</v>
      </c>
      <c r="U34" s="775">
        <f t="shared" si="13"/>
        <v>100</v>
      </c>
      <c r="V34" s="774" t="s">
        <v>21</v>
      </c>
      <c r="W34" s="775">
        <f t="shared" si="14"/>
        <v>100</v>
      </c>
      <c r="X34" s="1812"/>
      <c r="Y34" s="3272"/>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0"/>
      <c r="Q35" s="1809" t="str">
        <f t="shared" si="11"/>
        <v>建筑品质</v>
      </c>
      <c r="R35" s="774" t="s">
        <v>21</v>
      </c>
      <c r="S35" s="775">
        <f t="shared" si="12"/>
        <v>100</v>
      </c>
      <c r="T35" s="774" t="s">
        <v>21</v>
      </c>
      <c r="U35" s="775">
        <f t="shared" si="13"/>
        <v>100</v>
      </c>
      <c r="V35" s="774" t="s">
        <v>21</v>
      </c>
      <c r="W35" s="775">
        <f t="shared" si="14"/>
        <v>100</v>
      </c>
      <c r="X35" s="1812"/>
      <c r="Y35" s="3272"/>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0"/>
      <c r="Q36" s="1809" t="str">
        <f t="shared" si="11"/>
        <v>公共部分装修</v>
      </c>
      <c r="R36" s="774" t="s">
        <v>21</v>
      </c>
      <c r="S36" s="775">
        <f t="shared" si="12"/>
        <v>100</v>
      </c>
      <c r="T36" s="774" t="s">
        <v>21</v>
      </c>
      <c r="U36" s="775">
        <f t="shared" si="13"/>
        <v>100</v>
      </c>
      <c r="V36" s="774" t="s">
        <v>21</v>
      </c>
      <c r="W36" s="775">
        <f t="shared" si="14"/>
        <v>100</v>
      </c>
      <c r="X36" s="1812"/>
      <c r="Y36" s="3272"/>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0"/>
      <c r="Q37" s="1794"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0" t="s">
        <v>2566</v>
      </c>
      <c r="Q38" s="1809" t="str">
        <f t="shared" si="11"/>
        <v>物业管理</v>
      </c>
      <c r="R38" s="774" t="s">
        <v>21</v>
      </c>
      <c r="S38" s="775">
        <f t="shared" si="12"/>
        <v>100</v>
      </c>
      <c r="T38" s="774" t="s">
        <v>21</v>
      </c>
      <c r="U38" s="775">
        <f t="shared" si="13"/>
        <v>100</v>
      </c>
      <c r="V38" s="774" t="s">
        <v>21</v>
      </c>
      <c r="W38" s="775">
        <f t="shared" si="14"/>
        <v>100</v>
      </c>
      <c r="X38" s="1812"/>
      <c r="Y38" s="3272"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0"/>
      <c r="Q39" s="1809" t="str">
        <f t="shared" si="11"/>
        <v>市政基础设施</v>
      </c>
      <c r="R39" s="774" t="s">
        <v>21</v>
      </c>
      <c r="S39" s="775">
        <f t="shared" si="12"/>
        <v>100</v>
      </c>
      <c r="T39" s="774" t="s">
        <v>21</v>
      </c>
      <c r="U39" s="775">
        <f t="shared" si="13"/>
        <v>100</v>
      </c>
      <c r="V39" s="774" t="s">
        <v>21</v>
      </c>
      <c r="W39" s="775">
        <f t="shared" si="14"/>
        <v>100</v>
      </c>
      <c r="X39" s="1812"/>
      <c r="Y39" s="3272"/>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0"/>
      <c r="Q40" s="1809" t="str">
        <f t="shared" si="11"/>
        <v>房型</v>
      </c>
      <c r="R40" s="774" t="s">
        <v>21</v>
      </c>
      <c r="S40" s="775">
        <f t="shared" si="12"/>
        <v>100</v>
      </c>
      <c r="T40" s="774" t="s">
        <v>21</v>
      </c>
      <c r="U40" s="775">
        <f t="shared" si="13"/>
        <v>100</v>
      </c>
      <c r="V40" s="774" t="s">
        <v>21</v>
      </c>
      <c r="W40" s="775">
        <f t="shared" si="14"/>
        <v>100</v>
      </c>
      <c r="X40" s="1812"/>
      <c r="Y40" s="3272"/>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0"/>
      <c r="Q42" s="1809" t="str">
        <f t="shared" si="11"/>
        <v>内部装修</v>
      </c>
      <c r="R42" s="774" t="s">
        <v>21</v>
      </c>
      <c r="S42" s="775">
        <f t="shared" si="12"/>
        <v>100</v>
      </c>
      <c r="T42" s="774" t="s">
        <v>21</v>
      </c>
      <c r="U42" s="775">
        <f t="shared" si="13"/>
        <v>100</v>
      </c>
      <c r="V42" s="774" t="s">
        <v>21</v>
      </c>
      <c r="W42" s="775">
        <f t="shared" si="14"/>
        <v>100</v>
      </c>
      <c r="X42" s="1812"/>
      <c r="Y42" s="3272"/>
      <c r="Z42" s="1813" t="str">
        <f t="shared" si="18"/>
        <v>内部装修</v>
      </c>
      <c r="AA42" s="1810">
        <f t="shared" si="15"/>
        <v>1</v>
      </c>
      <c r="AB42" s="1810">
        <f t="shared" si="16"/>
        <v>1</v>
      </c>
      <c r="AC42" s="1810">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0"/>
      <c r="Q43" s="1809" t="str">
        <f t="shared" si="11"/>
        <v>内部装修维护情况</v>
      </c>
      <c r="R43" s="774" t="s">
        <v>21</v>
      </c>
      <c r="S43" s="775">
        <f t="shared" si="12"/>
        <v>100</v>
      </c>
      <c r="T43" s="774" t="s">
        <v>21</v>
      </c>
      <c r="U43" s="775">
        <f t="shared" si="13"/>
        <v>100</v>
      </c>
      <c r="V43" s="774" t="s">
        <v>21</v>
      </c>
      <c r="W43" s="775">
        <f t="shared" si="14"/>
        <v>100</v>
      </c>
      <c r="X43" s="1812"/>
      <c r="Y43" s="327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0"/>
      <c r="Q44" s="1794">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0"/>
      <c r="Q45" s="1809">
        <f t="shared" si="11"/>
        <v>111</v>
      </c>
      <c r="R45" s="774" t="s">
        <v>21</v>
      </c>
      <c r="S45" s="775">
        <f t="shared" si="12"/>
        <v>100</v>
      </c>
      <c r="T45" s="774" t="s">
        <v>21</v>
      </c>
      <c r="U45" s="775">
        <f t="shared" si="13"/>
        <v>100</v>
      </c>
      <c r="V45" s="774" t="s">
        <v>21</v>
      </c>
      <c r="W45" s="775">
        <f t="shared" si="14"/>
        <v>100</v>
      </c>
      <c r="X45" s="1812"/>
      <c r="Y45" s="3272"/>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1"/>
      <c r="Q46" s="1809">
        <f t="shared" si="11"/>
        <v>111</v>
      </c>
      <c r="R46" s="774" t="s">
        <v>20</v>
      </c>
      <c r="S46" s="775">
        <f t="shared" si="12"/>
        <v>100</v>
      </c>
      <c r="T46" s="774" t="s">
        <v>20</v>
      </c>
      <c r="U46" s="775">
        <f t="shared" si="13"/>
        <v>100</v>
      </c>
      <c r="V46" s="774" t="s">
        <v>20</v>
      </c>
      <c r="W46" s="775">
        <f t="shared" si="14"/>
        <v>100</v>
      </c>
      <c r="X46" s="1812"/>
      <c r="Y46" s="3273"/>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2"/>
      <c r="L47" s="1143"/>
      <c r="M47" s="1144"/>
      <c r="N47" s="1131"/>
      <c r="O47" s="1144"/>
      <c r="P47" s="3265" t="str">
        <f>A47</f>
        <v>成交单价（元/平方米）</v>
      </c>
      <c r="Q47" s="3265"/>
      <c r="R47" s="3266">
        <f>E47</f>
        <v>0</v>
      </c>
      <c r="S47" s="3266"/>
      <c r="T47" s="3266">
        <f>G47</f>
        <v>0</v>
      </c>
      <c r="U47" s="3266"/>
      <c r="V47" s="3266">
        <f>I47</f>
        <v>0</v>
      </c>
      <c r="W47" s="3266"/>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4"/>
      <c r="L49" s="1143"/>
      <c r="M49" s="1144"/>
      <c r="N49" s="1144"/>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7"/>
      <c r="Q57" s="504"/>
    </row>
    <row r="58" spans="1:29" s="508" customFormat="1" ht="15">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2612</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2564</v>
      </c>
      <c r="B100" s="528" t="s">
        <v>2613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5.75"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440.53</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60" t="s">
        <v>2649</v>
      </c>
      <c r="AC4" s="3230" t="s">
        <v>2650</v>
      </c>
    </row>
    <row r="5" spans="1:29"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60"/>
      <c r="AC5" s="3231"/>
    </row>
    <row r="6" spans="1:29" ht="15.75" thickBot="1">
      <c r="A6" s="406"/>
      <c r="B6" s="407"/>
      <c r="C6" s="3243" t="s">
        <v>2547</v>
      </c>
      <c r="D6" s="3244"/>
      <c r="E6" s="3245" t="s">
        <v>2547</v>
      </c>
      <c r="F6" s="3246"/>
      <c r="G6" s="3243" t="s">
        <v>2547</v>
      </c>
      <c r="H6" s="3244"/>
      <c r="I6" s="3243" t="s">
        <v>2547</v>
      </c>
      <c r="J6" s="3244"/>
      <c r="K6" s="610" t="s">
        <v>2548</v>
      </c>
      <c r="L6" s="1130"/>
      <c r="M6" s="1131"/>
      <c r="N6" s="1131"/>
      <c r="O6" s="1131"/>
      <c r="P6" s="3256"/>
      <c r="Q6" s="3257"/>
      <c r="R6" s="3237"/>
      <c r="S6" s="3238"/>
      <c r="T6" s="3258"/>
      <c r="U6" s="3259"/>
      <c r="V6" s="3260"/>
      <c r="W6" s="3260"/>
      <c r="X6" s="1812"/>
      <c r="Y6" s="3258"/>
      <c r="Z6" s="3259"/>
      <c r="AA6" s="3232"/>
      <c r="AB6" s="3260"/>
      <c r="AC6" s="3232"/>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7"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7"/>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7"/>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7"/>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7"/>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4" t="s">
        <v>2561</v>
      </c>
      <c r="Q15" s="1809" t="str">
        <f t="shared" si="6"/>
        <v>商业繁华度</v>
      </c>
      <c r="R15" s="774" t="s">
        <v>17</v>
      </c>
      <c r="S15" s="775">
        <f t="shared" si="0"/>
        <v>100</v>
      </c>
      <c r="T15" s="774" t="s">
        <v>17</v>
      </c>
      <c r="U15" s="775">
        <f t="shared" si="1"/>
        <v>100</v>
      </c>
      <c r="V15" s="774" t="s">
        <v>17</v>
      </c>
      <c r="W15" s="775">
        <f t="shared" si="2"/>
        <v>100</v>
      </c>
      <c r="X15" s="1812"/>
      <c r="Y15" s="3267"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5"/>
      <c r="Q16" s="1809"/>
      <c r="R16" s="774"/>
      <c r="S16" s="775"/>
      <c r="T16" s="774"/>
      <c r="U16" s="775"/>
      <c r="V16" s="774"/>
      <c r="W16" s="775"/>
      <c r="X16" s="1812"/>
      <c r="Y16" s="3268"/>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5"/>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5"/>
      <c r="Q18" s="1809"/>
      <c r="R18" s="774"/>
      <c r="S18" s="775"/>
      <c r="T18" s="774"/>
      <c r="U18" s="775"/>
      <c r="V18" s="774"/>
      <c r="W18" s="775"/>
      <c r="X18" s="1812"/>
      <c r="Y18" s="3268"/>
      <c r="Z18" s="1813"/>
      <c r="AA18" s="1810">
        <v>1</v>
      </c>
      <c r="AB18" s="1810">
        <v>1</v>
      </c>
      <c r="AC18" s="1810">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5"/>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5"/>
      <c r="Q20" s="1809"/>
      <c r="R20" s="774"/>
      <c r="S20" s="775"/>
      <c r="T20" s="774"/>
      <c r="U20" s="775"/>
      <c r="V20" s="774"/>
      <c r="W20" s="775"/>
      <c r="X20" s="1812"/>
      <c r="Y20" s="3268"/>
      <c r="Z20" s="1813"/>
      <c r="AA20" s="1810">
        <v>1</v>
      </c>
      <c r="AB20" s="1810">
        <v>1</v>
      </c>
      <c r="AC20" s="1810">
        <v>1</v>
      </c>
    </row>
    <row r="21" spans="1:29" ht="28.5">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5"/>
      <c r="Q22" s="1809"/>
      <c r="R22" s="774"/>
      <c r="S22" s="775"/>
      <c r="T22" s="774"/>
      <c r="U22" s="775"/>
      <c r="V22" s="774"/>
      <c r="W22" s="775"/>
      <c r="X22" s="1812"/>
      <c r="Y22" s="3268"/>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5"/>
      <c r="Q23" s="1809" t="str">
        <f>B23</f>
        <v>自然及人文环境</v>
      </c>
      <c r="R23" s="774" t="s">
        <v>17</v>
      </c>
      <c r="S23" s="775">
        <f>F23</f>
        <v>100</v>
      </c>
      <c r="T23" s="774" t="s">
        <v>17</v>
      </c>
      <c r="U23" s="775">
        <f>H23</f>
        <v>100</v>
      </c>
      <c r="V23" s="774" t="s">
        <v>17</v>
      </c>
      <c r="W23" s="775">
        <f>J23</f>
        <v>100</v>
      </c>
      <c r="X23" s="1812"/>
      <c r="Y23" s="3268"/>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5"/>
      <c r="Q24" s="1809"/>
      <c r="R24" s="774"/>
      <c r="S24" s="775"/>
      <c r="T24" s="774"/>
      <c r="U24" s="775"/>
      <c r="V24" s="774"/>
      <c r="W24" s="775"/>
      <c r="X24" s="1812"/>
      <c r="Y24" s="3268"/>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5"/>
      <c r="Q25" s="1809" t="str">
        <f t="shared" ref="Q25:Q46" si="11">B25</f>
        <v>临街状况</v>
      </c>
      <c r="R25" s="774" t="s">
        <v>17</v>
      </c>
      <c r="S25" s="775">
        <f>F25</f>
        <v>100</v>
      </c>
      <c r="T25" s="774" t="s">
        <v>17</v>
      </c>
      <c r="U25" s="775">
        <f>H25</f>
        <v>100</v>
      </c>
      <c r="V25" s="774" t="s">
        <v>17</v>
      </c>
      <c r="W25" s="775">
        <f>J25</f>
        <v>100</v>
      </c>
      <c r="X25" s="1812"/>
      <c r="Y25" s="3268"/>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5"/>
      <c r="Q26" s="1809" t="str">
        <f t="shared" si="11"/>
        <v>平面位置/可视性</v>
      </c>
      <c r="R26" s="774" t="s">
        <v>17</v>
      </c>
      <c r="S26" s="775">
        <f>F26</f>
        <v>100</v>
      </c>
      <c r="T26" s="774" t="s">
        <v>17</v>
      </c>
      <c r="U26" s="775">
        <f>H26</f>
        <v>100</v>
      </c>
      <c r="V26" s="774" t="s">
        <v>17</v>
      </c>
      <c r="W26" s="775">
        <f>J26</f>
        <v>100</v>
      </c>
      <c r="X26" s="1812"/>
      <c r="Y26" s="3268"/>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5"/>
      <c r="Q27" s="1794" t="str">
        <f t="shared" si="11"/>
        <v>人流量</v>
      </c>
      <c r="R27" s="770" t="s">
        <v>17</v>
      </c>
      <c r="S27" s="771">
        <f>F27</f>
        <v>100</v>
      </c>
      <c r="T27" s="770" t="s">
        <v>17</v>
      </c>
      <c r="U27" s="771">
        <f>H27</f>
        <v>100</v>
      </c>
      <c r="V27" s="770" t="s">
        <v>17</v>
      </c>
      <c r="W27" s="771">
        <f>J27</f>
        <v>100</v>
      </c>
      <c r="X27" s="772"/>
      <c r="Y27" s="3268"/>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5"/>
      <c r="Q29" s="1809">
        <f t="shared" si="11"/>
        <v>111</v>
      </c>
      <c r="R29" s="774" t="s">
        <v>17</v>
      </c>
      <c r="S29" s="775">
        <f t="shared" si="12"/>
        <v>100</v>
      </c>
      <c r="T29" s="774" t="s">
        <v>17</v>
      </c>
      <c r="U29" s="775">
        <f t="shared" si="13"/>
        <v>100</v>
      </c>
      <c r="V29" s="774" t="s">
        <v>17</v>
      </c>
      <c r="W29" s="775">
        <f t="shared" si="14"/>
        <v>100</v>
      </c>
      <c r="X29" s="1812"/>
      <c r="Y29" s="326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5"/>
      <c r="Q30" s="1809">
        <f t="shared" si="11"/>
        <v>111</v>
      </c>
      <c r="R30" s="774" t="s">
        <v>17</v>
      </c>
      <c r="S30" s="775">
        <f t="shared" si="12"/>
        <v>100</v>
      </c>
      <c r="T30" s="774" t="s">
        <v>17</v>
      </c>
      <c r="U30" s="775">
        <f t="shared" si="13"/>
        <v>100</v>
      </c>
      <c r="V30" s="774" t="s">
        <v>17</v>
      </c>
      <c r="W30" s="775">
        <f t="shared" si="14"/>
        <v>100</v>
      </c>
      <c r="X30" s="1812"/>
      <c r="Y30" s="326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5"/>
      <c r="Q31" s="1809">
        <f t="shared" si="11"/>
        <v>111</v>
      </c>
      <c r="R31" s="774" t="s">
        <v>17</v>
      </c>
      <c r="S31" s="775">
        <f t="shared" si="12"/>
        <v>100</v>
      </c>
      <c r="T31" s="774" t="s">
        <v>17</v>
      </c>
      <c r="U31" s="775">
        <f t="shared" si="13"/>
        <v>100</v>
      </c>
      <c r="V31" s="774" t="s">
        <v>17</v>
      </c>
      <c r="W31" s="775">
        <f t="shared" si="14"/>
        <v>100</v>
      </c>
      <c r="X31" s="1812"/>
      <c r="Y31" s="3268"/>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69" t="s">
        <v>2566</v>
      </c>
      <c r="Q32" s="1809" t="str">
        <f t="shared" si="11"/>
        <v>商业类型</v>
      </c>
      <c r="R32" s="774" t="s">
        <v>17</v>
      </c>
      <c r="S32" s="775">
        <f t="shared" si="12"/>
        <v>100</v>
      </c>
      <c r="T32" s="774" t="s">
        <v>17</v>
      </c>
      <c r="U32" s="775">
        <f t="shared" si="13"/>
        <v>100</v>
      </c>
      <c r="V32" s="774" t="s">
        <v>17</v>
      </c>
      <c r="W32" s="775">
        <f t="shared" si="14"/>
        <v>100</v>
      </c>
      <c r="X32" s="1812"/>
      <c r="Y32" s="3272"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0"/>
      <c r="Q34" s="1809" t="str">
        <f t="shared" si="11"/>
        <v>建筑结构</v>
      </c>
      <c r="R34" s="774" t="s">
        <v>17</v>
      </c>
      <c r="S34" s="775">
        <f t="shared" si="12"/>
        <v>100</v>
      </c>
      <c r="T34" s="774" t="s">
        <v>17</v>
      </c>
      <c r="U34" s="775">
        <f t="shared" si="13"/>
        <v>100</v>
      </c>
      <c r="V34" s="774" t="s">
        <v>17</v>
      </c>
      <c r="W34" s="775">
        <f t="shared" si="14"/>
        <v>100</v>
      </c>
      <c r="X34" s="1812"/>
      <c r="Y34" s="3272"/>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0"/>
      <c r="Q35" s="1809" t="str">
        <f t="shared" si="11"/>
        <v>公共部分装修</v>
      </c>
      <c r="R35" s="774" t="s">
        <v>17</v>
      </c>
      <c r="S35" s="775">
        <f t="shared" si="12"/>
        <v>100</v>
      </c>
      <c r="T35" s="774" t="s">
        <v>17</v>
      </c>
      <c r="U35" s="775">
        <f t="shared" si="13"/>
        <v>100</v>
      </c>
      <c r="V35" s="774" t="s">
        <v>17</v>
      </c>
      <c r="W35" s="775">
        <f t="shared" si="14"/>
        <v>100</v>
      </c>
      <c r="X35" s="1812"/>
      <c r="Y35" s="3272"/>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0"/>
      <c r="Q36" s="1809" t="str">
        <f t="shared" si="11"/>
        <v>成新度</v>
      </c>
      <c r="R36" s="774" t="s">
        <v>17</v>
      </c>
      <c r="S36" s="775" t="e">
        <f t="shared" si="12"/>
        <v>#N/A</v>
      </c>
      <c r="T36" s="774" t="s">
        <v>17</v>
      </c>
      <c r="U36" s="775" t="e">
        <f t="shared" si="13"/>
        <v>#N/A</v>
      </c>
      <c r="V36" s="774" t="s">
        <v>17</v>
      </c>
      <c r="W36" s="775" t="e">
        <f t="shared" si="14"/>
        <v>#N/A</v>
      </c>
      <c r="X36" s="1812"/>
      <c r="Y36" s="3272"/>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0"/>
      <c r="Q37" s="1794"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0" t="s">
        <v>2566</v>
      </c>
      <c r="Q38" s="1809" t="str">
        <f t="shared" si="11"/>
        <v>业态</v>
      </c>
      <c r="R38" s="774" t="s">
        <v>17</v>
      </c>
      <c r="S38" s="775">
        <f t="shared" si="12"/>
        <v>100</v>
      </c>
      <c r="T38" s="774" t="s">
        <v>17</v>
      </c>
      <c r="U38" s="775">
        <f t="shared" si="13"/>
        <v>100</v>
      </c>
      <c r="V38" s="774" t="s">
        <v>17</v>
      </c>
      <c r="W38" s="775">
        <f t="shared" si="14"/>
        <v>100</v>
      </c>
      <c r="X38" s="1812"/>
      <c r="Y38" s="3272"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0"/>
      <c r="Q39" s="1809" t="str">
        <f t="shared" si="11"/>
        <v>层高</v>
      </c>
      <c r="R39" s="774" t="s">
        <v>17</v>
      </c>
      <c r="S39" s="775">
        <f t="shared" si="12"/>
        <v>100</v>
      </c>
      <c r="T39" s="774" t="s">
        <v>17</v>
      </c>
      <c r="U39" s="775">
        <f t="shared" si="13"/>
        <v>100</v>
      </c>
      <c r="V39" s="774" t="s">
        <v>17</v>
      </c>
      <c r="W39" s="775">
        <f t="shared" si="14"/>
        <v>100</v>
      </c>
      <c r="X39" s="1812"/>
      <c r="Y39" s="3272"/>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0"/>
      <c r="Q40" s="1809" t="str">
        <f t="shared" si="11"/>
        <v>单套建筑面积</v>
      </c>
      <c r="R40" s="774" t="s">
        <v>17</v>
      </c>
      <c r="S40" s="775">
        <f t="shared" si="12"/>
        <v>100</v>
      </c>
      <c r="T40" s="774" t="s">
        <v>17</v>
      </c>
      <c r="U40" s="775">
        <f t="shared" si="13"/>
        <v>100</v>
      </c>
      <c r="V40" s="774" t="s">
        <v>17</v>
      </c>
      <c r="W40" s="775">
        <f t="shared" si="14"/>
        <v>100</v>
      </c>
      <c r="X40" s="1812"/>
      <c r="Y40" s="3272"/>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0"/>
      <c r="Q42" s="1809" t="str">
        <f t="shared" si="11"/>
        <v>内部装修</v>
      </c>
      <c r="R42" s="774" t="s">
        <v>17</v>
      </c>
      <c r="S42" s="775">
        <f t="shared" si="12"/>
        <v>100</v>
      </c>
      <c r="T42" s="774" t="s">
        <v>17</v>
      </c>
      <c r="U42" s="775">
        <f t="shared" si="13"/>
        <v>100</v>
      </c>
      <c r="V42" s="774" t="s">
        <v>17</v>
      </c>
      <c r="W42" s="775">
        <f t="shared" si="14"/>
        <v>100</v>
      </c>
      <c r="X42" s="1812"/>
      <c r="Y42" s="3272"/>
      <c r="Z42" s="1813" t="str">
        <f t="shared" si="15"/>
        <v>内部装修</v>
      </c>
      <c r="AA42" s="1810">
        <f t="shared" si="3"/>
        <v>1</v>
      </c>
      <c r="AB42" s="1810">
        <f t="shared" si="4"/>
        <v>1</v>
      </c>
      <c r="AC42" s="1810">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0"/>
      <c r="Q43" s="1809" t="str">
        <f t="shared" si="11"/>
        <v>内部装修维护情况</v>
      </c>
      <c r="R43" s="774" t="s">
        <v>17</v>
      </c>
      <c r="S43" s="775">
        <f t="shared" si="12"/>
        <v>100</v>
      </c>
      <c r="T43" s="774" t="s">
        <v>17</v>
      </c>
      <c r="U43" s="775">
        <f t="shared" si="13"/>
        <v>100</v>
      </c>
      <c r="V43" s="774" t="s">
        <v>17</v>
      </c>
      <c r="W43" s="775">
        <f t="shared" si="14"/>
        <v>100</v>
      </c>
      <c r="X43" s="1812"/>
      <c r="Y43" s="327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0"/>
      <c r="Q44" s="1794">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0"/>
      <c r="Q45" s="1809">
        <f t="shared" si="11"/>
        <v>111</v>
      </c>
      <c r="R45" s="774" t="s">
        <v>17</v>
      </c>
      <c r="S45" s="775">
        <f t="shared" si="12"/>
        <v>100</v>
      </c>
      <c r="T45" s="774" t="s">
        <v>17</v>
      </c>
      <c r="U45" s="775">
        <f t="shared" si="13"/>
        <v>100</v>
      </c>
      <c r="V45" s="774" t="s">
        <v>17</v>
      </c>
      <c r="W45" s="775">
        <f t="shared" si="14"/>
        <v>100</v>
      </c>
      <c r="X45" s="1812"/>
      <c r="Y45" s="3272"/>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1"/>
      <c r="Q46" s="1809">
        <f t="shared" si="11"/>
        <v>111</v>
      </c>
      <c r="R46" s="774" t="s">
        <v>17</v>
      </c>
      <c r="S46" s="775">
        <f t="shared" si="12"/>
        <v>100</v>
      </c>
      <c r="T46" s="774" t="s">
        <v>17</v>
      </c>
      <c r="U46" s="775">
        <f t="shared" si="13"/>
        <v>100</v>
      </c>
      <c r="V46" s="774" t="s">
        <v>17</v>
      </c>
      <c r="W46" s="775">
        <f t="shared" si="14"/>
        <v>100</v>
      </c>
      <c r="X46" s="1812"/>
      <c r="Y46" s="3273"/>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65" t="str">
        <f>A47</f>
        <v>成交单价（元/平方米）</v>
      </c>
      <c r="Q47" s="3265"/>
      <c r="R47" s="3260">
        <f>E47</f>
        <v>0</v>
      </c>
      <c r="S47" s="3260"/>
      <c r="T47" s="3260">
        <f>G47</f>
        <v>0</v>
      </c>
      <c r="U47" s="3260"/>
      <c r="V47" s="3260">
        <f>I47</f>
        <v>0</v>
      </c>
      <c r="W47" s="3260"/>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2564</v>
      </c>
      <c r="B100" s="528" t="s">
        <v>2682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70" zoomScaleNormal="70" workbookViewId="0">
      <selection activeCell="A49" sqref="A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2687</v>
      </c>
      <c r="C1" s="1619" t="s">
        <v>2531</v>
      </c>
      <c r="D1" s="1620" t="s">
        <v>3117</v>
      </c>
      <c r="E1" s="1629"/>
      <c r="F1" s="2585" t="s">
        <v>3171</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1836</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41684</v>
      </c>
      <c r="C3" s="400" t="s">
        <v>2645</v>
      </c>
      <c r="D3" s="399">
        <f>IF(D1="",'数据-汇总表'!E3,SUMIF('数据-汇总表'!$C19:$C33,D1,'数据-汇总表'!$E19:$E33))</f>
        <v>440.53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84" t="s">
        <v>2652</v>
      </c>
      <c r="Q4" s="3285"/>
      <c r="R4" s="3277" t="s">
        <v>2648</v>
      </c>
      <c r="S4" s="3278"/>
      <c r="T4" s="3277" t="s">
        <v>2649</v>
      </c>
      <c r="U4" s="3278"/>
      <c r="V4" s="3288" t="s">
        <v>2650</v>
      </c>
      <c r="W4" s="3288"/>
      <c r="X4" s="2671"/>
      <c r="Y4" s="3277" t="s">
        <v>2652</v>
      </c>
      <c r="Z4" s="3278"/>
      <c r="AA4" s="3276" t="s">
        <v>2648</v>
      </c>
      <c r="AB4" s="3276" t="s">
        <v>2649</v>
      </c>
      <c r="AC4" s="3281" t="s">
        <v>2650</v>
      </c>
    </row>
    <row r="5" spans="1:29" ht="15">
      <c r="A5" s="404"/>
      <c r="B5" s="405"/>
      <c r="C5" s="3241" t="s">
        <v>2543</v>
      </c>
      <c r="D5" s="3242"/>
      <c r="E5" s="3279" t="s">
        <v>3172</v>
      </c>
      <c r="F5" s="3240"/>
      <c r="G5" s="3280" t="s">
        <v>3173</v>
      </c>
      <c r="H5" s="3242"/>
      <c r="I5" s="3280" t="s">
        <v>3174</v>
      </c>
      <c r="J5" s="3242"/>
      <c r="K5" s="610"/>
      <c r="L5" s="1130"/>
      <c r="M5" s="1131"/>
      <c r="N5" s="1131"/>
      <c r="O5" s="1131"/>
      <c r="P5" s="3286"/>
      <c r="Q5" s="3255"/>
      <c r="R5" s="3237"/>
      <c r="S5" s="3238"/>
      <c r="T5" s="3237"/>
      <c r="U5" s="3238"/>
      <c r="V5" s="3260"/>
      <c r="W5" s="3260"/>
      <c r="X5" s="1812"/>
      <c r="Y5" s="3237"/>
      <c r="Z5" s="3238"/>
      <c r="AA5" s="3231"/>
      <c r="AB5" s="3231"/>
      <c r="AC5" s="3282"/>
    </row>
    <row r="6" spans="1:29" ht="15.75" thickBot="1">
      <c r="A6" s="406"/>
      <c r="B6" s="407"/>
      <c r="C6" s="3243" t="s">
        <v>2547</v>
      </c>
      <c r="D6" s="3244"/>
      <c r="E6" s="3245" t="s">
        <v>2547</v>
      </c>
      <c r="F6" s="3246"/>
      <c r="G6" s="3243" t="s">
        <v>2547</v>
      </c>
      <c r="H6" s="3244"/>
      <c r="I6" s="3243" t="s">
        <v>2547</v>
      </c>
      <c r="J6" s="3244"/>
      <c r="K6" s="610" t="s">
        <v>2548</v>
      </c>
      <c r="L6" s="1130"/>
      <c r="M6" s="1131"/>
      <c r="N6" s="1131"/>
      <c r="O6" s="1131"/>
      <c r="P6" s="3287"/>
      <c r="Q6" s="3257"/>
      <c r="R6" s="3237"/>
      <c r="S6" s="3238"/>
      <c r="T6" s="3258"/>
      <c r="U6" s="3259"/>
      <c r="V6" s="3260"/>
      <c r="W6" s="3260"/>
      <c r="X6" s="1812"/>
      <c r="Y6" s="3258"/>
      <c r="Z6" s="3259"/>
      <c r="AA6" s="3232"/>
      <c r="AB6" s="3232"/>
      <c r="AC6" s="3283"/>
    </row>
    <row r="7" spans="1:29" s="117" customFormat="1" ht="15.7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89" t="s">
        <v>2550</v>
      </c>
      <c r="Q7" s="3261"/>
      <c r="R7" s="770" t="s">
        <v>17</v>
      </c>
      <c r="S7" s="771">
        <f t="shared" ref="S7:S15" si="0">F7</f>
        <v>100</v>
      </c>
      <c r="T7" s="770" t="s">
        <v>17</v>
      </c>
      <c r="U7" s="771">
        <f t="shared" ref="U7:U15" si="1">H7</f>
        <v>100</v>
      </c>
      <c r="V7" s="770" t="s">
        <v>17</v>
      </c>
      <c r="W7" s="771">
        <f t="shared" ref="W7:W15" si="2">J7</f>
        <v>100</v>
      </c>
      <c r="X7" s="772"/>
      <c r="Y7" s="3233" t="s">
        <v>2550</v>
      </c>
      <c r="Z7" s="3234"/>
      <c r="AA7" s="773">
        <f>D7/F7</f>
        <v>1</v>
      </c>
      <c r="AB7" s="773">
        <f>D7/H7</f>
        <v>1</v>
      </c>
      <c r="AC7" s="2672">
        <f>D7/J7</f>
        <v>1</v>
      </c>
    </row>
    <row r="8" spans="1:29" s="117" customFormat="1" ht="15.75" thickBot="1">
      <c r="A8" s="408" t="s">
        <v>2551</v>
      </c>
      <c r="B8" s="409"/>
      <c r="C8" s="414" t="s">
        <v>2653</v>
      </c>
      <c r="D8" s="411">
        <v>100</v>
      </c>
      <c r="E8" s="2978" t="s">
        <v>3175</v>
      </c>
      <c r="F8" s="413">
        <f>SUMIF(62:62,E8,63:63)-SUMIF(62:62,C8,63:63)+100</f>
        <v>100</v>
      </c>
      <c r="G8" s="2978" t="s">
        <v>3175</v>
      </c>
      <c r="H8" s="411">
        <f>SUMIF(62:62,G8,63:63)-SUMIF(62:62,C8,63:63)+100</f>
        <v>100</v>
      </c>
      <c r="I8" s="2978" t="s">
        <v>3175</v>
      </c>
      <c r="J8" s="411">
        <f>SUMIF(62:62,I8,63:63)-SUMIF(62:62,C8,63:63)+100</f>
        <v>100</v>
      </c>
      <c r="K8" s="611"/>
      <c r="L8" s="1132"/>
      <c r="M8" s="1133"/>
      <c r="N8" s="1133"/>
      <c r="O8" s="1133"/>
      <c r="P8" s="3289" t="s">
        <v>2553</v>
      </c>
      <c r="Q8" s="3234"/>
      <c r="R8" s="770" t="s">
        <v>17</v>
      </c>
      <c r="S8" s="771">
        <f t="shared" si="0"/>
        <v>100</v>
      </c>
      <c r="T8" s="770" t="s">
        <v>17</v>
      </c>
      <c r="U8" s="771">
        <f t="shared" si="1"/>
        <v>100</v>
      </c>
      <c r="V8" s="770" t="s">
        <v>17</v>
      </c>
      <c r="W8" s="771">
        <f t="shared" si="2"/>
        <v>100</v>
      </c>
      <c r="X8" s="772"/>
      <c r="Y8" s="3233" t="s">
        <v>2553</v>
      </c>
      <c r="Z8" s="3234"/>
      <c r="AA8" s="773">
        <f t="shared" ref="AA8:AA47" si="3">D8/F8</f>
        <v>1</v>
      </c>
      <c r="AB8" s="773">
        <f t="shared" ref="AB8:AB47" si="4">D8/H8</f>
        <v>1</v>
      </c>
      <c r="AC8" s="2672">
        <f t="shared" ref="AC8:AC47" si="5">D8/J8</f>
        <v>1</v>
      </c>
    </row>
    <row r="9" spans="1:29" s="117" customFormat="1">
      <c r="A9" s="415" t="s">
        <v>2554</v>
      </c>
      <c r="B9" s="71" t="s">
        <v>2555</v>
      </c>
      <c r="C9" s="2979" t="s">
        <v>3176</v>
      </c>
      <c r="D9" s="135">
        <v>100</v>
      </c>
      <c r="E9" s="2980" t="s">
        <v>3176</v>
      </c>
      <c r="F9" s="135">
        <f>SUMIF(64:64,E9,65:65)-SUMIF(64:64,C9,65:65)+100</f>
        <v>100</v>
      </c>
      <c r="G9" s="2981" t="s">
        <v>3176</v>
      </c>
      <c r="H9" s="135">
        <f>SUMIF(64:64,G9,65:65)-SUMIF(64:64,C9,65:65)+100</f>
        <v>100</v>
      </c>
      <c r="I9" s="2981" t="s">
        <v>3176</v>
      </c>
      <c r="J9" s="135">
        <f>SUMIF(64:64,I9,65:65)-SUMIF(64:64,C9,65:65)+100</f>
        <v>100</v>
      </c>
      <c r="K9" s="611"/>
      <c r="L9" s="1132"/>
      <c r="M9" s="1133"/>
      <c r="N9" s="1133"/>
      <c r="O9" s="1133"/>
      <c r="P9" s="3247"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7"/>
      <c r="Q11" s="1794" t="str">
        <f t="shared" si="6"/>
        <v>容积率</v>
      </c>
      <c r="R11" s="770" t="s">
        <v>17</v>
      </c>
      <c r="S11" s="771">
        <f t="shared" si="0"/>
        <v>100</v>
      </c>
      <c r="T11" s="770" t="s">
        <v>17</v>
      </c>
      <c r="U11" s="771">
        <f t="shared" si="1"/>
        <v>100</v>
      </c>
      <c r="V11" s="770" t="s">
        <v>17</v>
      </c>
      <c r="W11" s="771">
        <f t="shared" si="2"/>
        <v>100</v>
      </c>
      <c r="X11" s="772"/>
      <c r="Y11" s="3064"/>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7"/>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7"/>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7"/>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4" t="s">
        <v>2561</v>
      </c>
      <c r="Q15" s="1809" t="str">
        <f t="shared" si="6"/>
        <v>办公集聚程度</v>
      </c>
      <c r="R15" s="774" t="s">
        <v>17</v>
      </c>
      <c r="S15" s="775">
        <f t="shared" si="0"/>
        <v>100</v>
      </c>
      <c r="T15" s="774" t="s">
        <v>17</v>
      </c>
      <c r="U15" s="775">
        <f t="shared" si="1"/>
        <v>100</v>
      </c>
      <c r="V15" s="774" t="s">
        <v>17</v>
      </c>
      <c r="W15" s="775">
        <f t="shared" si="2"/>
        <v>100</v>
      </c>
      <c r="X15" s="1812"/>
      <c r="Y15" s="3267" t="s">
        <v>2561</v>
      </c>
      <c r="Z15" s="1813" t="str">
        <f t="shared" si="7"/>
        <v>办公集聚程度</v>
      </c>
      <c r="AA15" s="1810">
        <f t="shared" si="3"/>
        <v>1</v>
      </c>
      <c r="AB15" s="1810">
        <f t="shared" si="4"/>
        <v>1</v>
      </c>
      <c r="AC15" s="2675">
        <f t="shared" si="5"/>
        <v>1</v>
      </c>
    </row>
    <row r="16" spans="1:29" ht="15">
      <c r="A16" s="428"/>
      <c r="B16" s="630"/>
      <c r="C16" s="2982" t="s">
        <v>3177</v>
      </c>
      <c r="D16" s="448"/>
      <c r="E16" s="2983" t="s">
        <v>3177</v>
      </c>
      <c r="F16" s="448"/>
      <c r="G16" s="2982" t="s">
        <v>3177</v>
      </c>
      <c r="H16" s="450"/>
      <c r="I16" s="2983" t="s">
        <v>3177</v>
      </c>
      <c r="J16" s="448"/>
      <c r="K16" s="615"/>
      <c r="L16" s="1140"/>
      <c r="M16" s="1131"/>
      <c r="N16" s="1131"/>
      <c r="O16" s="1131"/>
      <c r="P16" s="3275"/>
      <c r="Q16" s="1809"/>
      <c r="R16" s="774"/>
      <c r="S16" s="775"/>
      <c r="T16" s="774"/>
      <c r="U16" s="775"/>
      <c r="V16" s="774"/>
      <c r="W16" s="775"/>
      <c r="X16" s="1812"/>
      <c r="Y16" s="3268"/>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5"/>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2675">
        <f t="shared" si="5"/>
        <v>1</v>
      </c>
    </row>
    <row r="18" spans="1:29" ht="15">
      <c r="A18" s="428"/>
      <c r="B18" s="632"/>
      <c r="C18" s="2984" t="s">
        <v>3177</v>
      </c>
      <c r="D18" s="450"/>
      <c r="E18" s="2985" t="s">
        <v>3177</v>
      </c>
      <c r="F18" s="450"/>
      <c r="G18" s="2986" t="s">
        <v>3177</v>
      </c>
      <c r="H18" s="448"/>
      <c r="I18" s="2986" t="s">
        <v>3177</v>
      </c>
      <c r="J18" s="448"/>
      <c r="K18" s="615"/>
      <c r="L18" s="1140"/>
      <c r="M18" s="1131"/>
      <c r="N18" s="1131"/>
      <c r="O18" s="1131"/>
      <c r="P18" s="3275"/>
      <c r="Q18" s="1809"/>
      <c r="R18" s="774"/>
      <c r="S18" s="775"/>
      <c r="T18" s="774"/>
      <c r="U18" s="775"/>
      <c r="V18" s="774"/>
      <c r="W18" s="775"/>
      <c r="X18" s="1812"/>
      <c r="Y18" s="3268"/>
      <c r="Z18" s="1813"/>
      <c r="AA18" s="1810">
        <v>1</v>
      </c>
      <c r="AB18" s="1810">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5"/>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2675">
        <f t="shared" si="5"/>
        <v>1</v>
      </c>
    </row>
    <row r="20" spans="1:29" ht="15">
      <c r="A20" s="428"/>
      <c r="B20" s="632"/>
      <c r="C20" s="2982" t="s">
        <v>3177</v>
      </c>
      <c r="D20" s="448"/>
      <c r="E20" s="2987" t="s">
        <v>3177</v>
      </c>
      <c r="F20" s="448"/>
      <c r="G20" s="2988" t="s">
        <v>3177</v>
      </c>
      <c r="H20" s="448"/>
      <c r="I20" s="2988" t="s">
        <v>3177</v>
      </c>
      <c r="J20" s="448"/>
      <c r="K20" s="615"/>
      <c r="L20" s="1140"/>
      <c r="M20" s="1131"/>
      <c r="N20" s="1131"/>
      <c r="O20" s="1131"/>
      <c r="P20" s="3275"/>
      <c r="Q20" s="1809"/>
      <c r="R20" s="774"/>
      <c r="S20" s="775"/>
      <c r="T20" s="774"/>
      <c r="U20" s="775"/>
      <c r="V20" s="774"/>
      <c r="W20" s="775"/>
      <c r="X20" s="1812"/>
      <c r="Y20" s="3268"/>
      <c r="Z20" s="1813"/>
      <c r="AA20" s="1810">
        <v>1</v>
      </c>
      <c r="AB20" s="1810">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5"/>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2675">
        <f t="shared" ref="AC21" si="10">D21/J21</f>
        <v>1</v>
      </c>
    </row>
    <row r="22" spans="1:29" ht="15">
      <c r="A22" s="428"/>
      <c r="B22" s="633"/>
      <c r="C22" s="2984" t="s">
        <v>3178</v>
      </c>
      <c r="D22" s="448"/>
      <c r="E22" s="2983" t="s">
        <v>3178</v>
      </c>
      <c r="F22" s="448"/>
      <c r="G22" s="2982" t="s">
        <v>3178</v>
      </c>
      <c r="H22" s="448"/>
      <c r="I22" s="2982" t="s">
        <v>3178</v>
      </c>
      <c r="J22" s="448"/>
      <c r="K22" s="1382"/>
      <c r="L22" s="1140"/>
      <c r="M22" s="1131"/>
      <c r="N22" s="1131"/>
      <c r="O22" s="1131"/>
      <c r="P22" s="3275"/>
      <c r="Q22" s="1809"/>
      <c r="R22" s="774"/>
      <c r="S22" s="775"/>
      <c r="T22" s="774"/>
      <c r="U22" s="775"/>
      <c r="V22" s="774"/>
      <c r="W22" s="775"/>
      <c r="X22" s="1812"/>
      <c r="Y22" s="3268"/>
      <c r="Z22" s="1813"/>
      <c r="AA22" s="1810">
        <v>1</v>
      </c>
      <c r="AB22" s="1810">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5"/>
      <c r="Q23" s="1809" t="str">
        <f>B23</f>
        <v>环境质量</v>
      </c>
      <c r="R23" s="774" t="s">
        <v>17</v>
      </c>
      <c r="S23" s="775">
        <f>F23</f>
        <v>100</v>
      </c>
      <c r="T23" s="774" t="s">
        <v>17</v>
      </c>
      <c r="U23" s="775">
        <f>H23</f>
        <v>100</v>
      </c>
      <c r="V23" s="774" t="s">
        <v>17</v>
      </c>
      <c r="W23" s="775">
        <f>J23</f>
        <v>100</v>
      </c>
      <c r="X23" s="1812"/>
      <c r="Y23" s="3268"/>
      <c r="Z23" s="1813" t="str">
        <f>Q23</f>
        <v>环境质量</v>
      </c>
      <c r="AA23" s="1810">
        <f t="shared" si="3"/>
        <v>1</v>
      </c>
      <c r="AB23" s="1810">
        <f t="shared" si="4"/>
        <v>1</v>
      </c>
      <c r="AC23" s="2675">
        <f t="shared" si="5"/>
        <v>1</v>
      </c>
    </row>
    <row r="24" spans="1:29" ht="15">
      <c r="A24" s="428"/>
      <c r="B24" s="633"/>
      <c r="C24" s="2982" t="s">
        <v>3177</v>
      </c>
      <c r="D24" s="448"/>
      <c r="E24" s="2987" t="s">
        <v>3177</v>
      </c>
      <c r="F24" s="448"/>
      <c r="G24" s="2988" t="s">
        <v>3177</v>
      </c>
      <c r="H24" s="448"/>
      <c r="I24" s="2988" t="s">
        <v>3177</v>
      </c>
      <c r="J24" s="448"/>
      <c r="K24" s="615"/>
      <c r="L24" s="1140"/>
      <c r="M24" s="1131"/>
      <c r="N24" s="1131"/>
      <c r="O24" s="1131"/>
      <c r="P24" s="3275"/>
      <c r="Q24" s="1809"/>
      <c r="R24" s="774"/>
      <c r="S24" s="775"/>
      <c r="T24" s="774"/>
      <c r="U24" s="775"/>
      <c r="V24" s="774"/>
      <c r="W24" s="775"/>
      <c r="X24" s="1812"/>
      <c r="Y24" s="3268"/>
      <c r="Z24" s="1813"/>
      <c r="AA24" s="1810">
        <v>1</v>
      </c>
      <c r="AB24" s="1810">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5"/>
      <c r="Q25" s="1809" t="str">
        <f>B25</f>
        <v>毗邻道路的类型与等级</v>
      </c>
      <c r="R25" s="774" t="s">
        <v>17</v>
      </c>
      <c r="S25" s="775">
        <f>F25</f>
        <v>100</v>
      </c>
      <c r="T25" s="774" t="s">
        <v>17</v>
      </c>
      <c r="U25" s="775">
        <f>H25</f>
        <v>100</v>
      </c>
      <c r="V25" s="774" t="s">
        <v>17</v>
      </c>
      <c r="W25" s="775">
        <f>J25</f>
        <v>100</v>
      </c>
      <c r="X25" s="1812"/>
      <c r="Y25" s="3268"/>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5"/>
      <c r="Q26" s="1809"/>
      <c r="R26" s="774"/>
      <c r="S26" s="775"/>
      <c r="T26" s="774"/>
      <c r="U26" s="775"/>
      <c r="V26" s="774"/>
      <c r="W26" s="775"/>
      <c r="X26" s="1812"/>
      <c r="Y26" s="3268"/>
      <c r="Z26" s="1813"/>
      <c r="AA26" s="1810">
        <v>1</v>
      </c>
      <c r="AB26" s="1810">
        <v>1</v>
      </c>
      <c r="AC26" s="2675">
        <v>1</v>
      </c>
    </row>
    <row r="27" spans="1:29" ht="15">
      <c r="A27" s="428"/>
      <c r="B27" s="632" t="s">
        <v>2660</v>
      </c>
      <c r="C27" s="2989" t="s">
        <v>3179</v>
      </c>
      <c r="D27" s="435">
        <v>100</v>
      </c>
      <c r="E27" s="2990" t="s">
        <v>3180</v>
      </c>
      <c r="F27" s="435">
        <f>SUMIF(89:89,E27,90:90)-SUMIF(89:89,C27,90:90)+100</f>
        <v>105</v>
      </c>
      <c r="G27" s="2989" t="s">
        <v>3180</v>
      </c>
      <c r="H27" s="435">
        <f>SUMIF(89:89,G27,90:90)-SUMIF(89:89,C27,90:90)+100</f>
        <v>105</v>
      </c>
      <c r="I27" s="2990" t="s">
        <v>3180</v>
      </c>
      <c r="J27" s="435">
        <f>SUMIF(89:89,I27,90:90)-SUMIF(89:89,C27,90:90)+100</f>
        <v>105</v>
      </c>
      <c r="K27" s="612">
        <v>5</v>
      </c>
      <c r="L27" s="1140"/>
      <c r="M27" s="1131"/>
      <c r="N27" s="1131"/>
      <c r="O27" s="1131"/>
      <c r="P27" s="3275"/>
      <c r="Q27" s="1809" t="str">
        <f t="shared" ref="Q27:Q47" si="11">B27</f>
        <v>楼层</v>
      </c>
      <c r="R27" s="774" t="s">
        <v>17</v>
      </c>
      <c r="S27" s="775">
        <f>F27</f>
        <v>105</v>
      </c>
      <c r="T27" s="774" t="s">
        <v>17</v>
      </c>
      <c r="U27" s="775">
        <f>H27</f>
        <v>105</v>
      </c>
      <c r="V27" s="774" t="s">
        <v>17</v>
      </c>
      <c r="W27" s="775">
        <f>J27</f>
        <v>105</v>
      </c>
      <c r="X27" s="1812"/>
      <c r="Y27" s="3268"/>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5"/>
      <c r="Q28" s="1794" t="str">
        <f t="shared" si="11"/>
        <v>朝向</v>
      </c>
      <c r="R28" s="770" t="s">
        <v>17</v>
      </c>
      <c r="S28" s="771">
        <f>F28</f>
        <v>100</v>
      </c>
      <c r="T28" s="770" t="s">
        <v>17</v>
      </c>
      <c r="U28" s="771">
        <f>H28</f>
        <v>100</v>
      </c>
      <c r="V28" s="770" t="s">
        <v>17</v>
      </c>
      <c r="W28" s="771">
        <f>J28</f>
        <v>100</v>
      </c>
      <c r="X28" s="772"/>
      <c r="Y28" s="3268"/>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5"/>
      <c r="Q29" s="1809">
        <f t="shared" si="11"/>
        <v>111</v>
      </c>
      <c r="R29" s="774" t="s">
        <v>17</v>
      </c>
      <c r="S29" s="775">
        <f t="shared" ref="S29:S47" si="12">F29</f>
        <v>100</v>
      </c>
      <c r="T29" s="774" t="s">
        <v>17</v>
      </c>
      <c r="U29" s="775">
        <f t="shared" ref="U29:U47" si="13">H29</f>
        <v>100</v>
      </c>
      <c r="V29" s="774" t="s">
        <v>17</v>
      </c>
      <c r="W29" s="775">
        <f t="shared" ref="W29:W47" si="14">J29</f>
        <v>100</v>
      </c>
      <c r="X29" s="1812"/>
      <c r="Y29" s="3268"/>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5"/>
      <c r="Q30" s="1809">
        <f t="shared" si="11"/>
        <v>111</v>
      </c>
      <c r="R30" s="774" t="s">
        <v>17</v>
      </c>
      <c r="S30" s="775">
        <f t="shared" si="12"/>
        <v>100</v>
      </c>
      <c r="T30" s="774" t="s">
        <v>17</v>
      </c>
      <c r="U30" s="775">
        <f t="shared" si="13"/>
        <v>100</v>
      </c>
      <c r="V30" s="774" t="s">
        <v>17</v>
      </c>
      <c r="W30" s="775">
        <f t="shared" si="14"/>
        <v>100</v>
      </c>
      <c r="X30" s="1812"/>
      <c r="Y30" s="3268"/>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5"/>
      <c r="Q31" s="1809">
        <f t="shared" si="11"/>
        <v>111</v>
      </c>
      <c r="R31" s="774" t="s">
        <v>17</v>
      </c>
      <c r="S31" s="775">
        <f t="shared" si="12"/>
        <v>100</v>
      </c>
      <c r="T31" s="774" t="s">
        <v>17</v>
      </c>
      <c r="U31" s="775">
        <f t="shared" si="13"/>
        <v>100</v>
      </c>
      <c r="V31" s="774" t="s">
        <v>17</v>
      </c>
      <c r="W31" s="775">
        <f t="shared" si="14"/>
        <v>100</v>
      </c>
      <c r="X31" s="1812"/>
      <c r="Y31" s="3268"/>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5"/>
      <c r="Q32" s="1809">
        <f t="shared" si="11"/>
        <v>111</v>
      </c>
      <c r="R32" s="774" t="s">
        <v>17</v>
      </c>
      <c r="S32" s="775">
        <f t="shared" si="12"/>
        <v>100</v>
      </c>
      <c r="T32" s="774" t="s">
        <v>17</v>
      </c>
      <c r="U32" s="775">
        <f t="shared" si="13"/>
        <v>100</v>
      </c>
      <c r="V32" s="774" t="s">
        <v>17</v>
      </c>
      <c r="W32" s="775">
        <f t="shared" si="14"/>
        <v>100</v>
      </c>
      <c r="X32" s="1812"/>
      <c r="Y32" s="3268"/>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69" t="s">
        <v>2566</v>
      </c>
      <c r="Q33" s="1809" t="str">
        <f t="shared" si="11"/>
        <v>建筑类型</v>
      </c>
      <c r="R33" s="774" t="s">
        <v>17</v>
      </c>
      <c r="S33" s="775">
        <f t="shared" si="12"/>
        <v>100</v>
      </c>
      <c r="T33" s="774" t="s">
        <v>17</v>
      </c>
      <c r="U33" s="775">
        <f t="shared" si="13"/>
        <v>100</v>
      </c>
      <c r="V33" s="774" t="s">
        <v>17</v>
      </c>
      <c r="W33" s="775">
        <f t="shared" si="14"/>
        <v>100</v>
      </c>
      <c r="X33" s="1812"/>
      <c r="Y33" s="3272"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440.53</v>
      </c>
      <c r="D34" s="136">
        <v>100</v>
      </c>
      <c r="E34" s="430">
        <v>1540</v>
      </c>
      <c r="F34" s="425">
        <f>LOOKUP(E34,104:104,105:105)-LOOKUP(C34,104:104,105:105)+100</f>
        <v>92</v>
      </c>
      <c r="G34" s="429">
        <v>363</v>
      </c>
      <c r="H34" s="136">
        <f>LOOKUP(G34,104:104,105:105)-LOOKUP(C34,104:104,105:105)+100</f>
        <v>100</v>
      </c>
      <c r="I34" s="429">
        <v>1582</v>
      </c>
      <c r="J34" s="136">
        <f>LOOKUP(I34,104:104,105:105)-LOOKUP(C34,104:104,105:105)+100</f>
        <v>92</v>
      </c>
      <c r="K34" s="613"/>
      <c r="L34" s="1138"/>
      <c r="M34" s="1141"/>
      <c r="N34" s="1141"/>
      <c r="O34" s="1141"/>
      <c r="P34" s="3270"/>
      <c r="Q34" s="776" t="str">
        <f t="shared" si="11"/>
        <v>项目建筑规模</v>
      </c>
      <c r="R34" s="777" t="s">
        <v>17</v>
      </c>
      <c r="S34" s="778">
        <f t="shared" si="12"/>
        <v>92</v>
      </c>
      <c r="T34" s="777" t="s">
        <v>17</v>
      </c>
      <c r="U34" s="778">
        <f t="shared" si="13"/>
        <v>100</v>
      </c>
      <c r="V34" s="777" t="s">
        <v>17</v>
      </c>
      <c r="W34" s="778">
        <f t="shared" si="14"/>
        <v>92</v>
      </c>
      <c r="X34" s="779"/>
      <c r="Y34" s="3272"/>
      <c r="Z34" s="780" t="str">
        <f t="shared" si="15"/>
        <v>项目建筑规模</v>
      </c>
      <c r="AA34" s="1810">
        <f t="shared" si="3"/>
        <v>1.0869565217391304</v>
      </c>
      <c r="AB34" s="1810">
        <f t="shared" si="4"/>
        <v>1</v>
      </c>
      <c r="AC34" s="2675">
        <f t="shared" si="5"/>
        <v>1.0869565217391304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0"/>
      <c r="Q35" s="1809" t="str">
        <f t="shared" si="11"/>
        <v>建筑结构</v>
      </c>
      <c r="R35" s="774" t="s">
        <v>17</v>
      </c>
      <c r="S35" s="775">
        <f t="shared" si="12"/>
        <v>100</v>
      </c>
      <c r="T35" s="774" t="s">
        <v>17</v>
      </c>
      <c r="U35" s="775">
        <f t="shared" si="13"/>
        <v>100</v>
      </c>
      <c r="V35" s="774" t="s">
        <v>17</v>
      </c>
      <c r="W35" s="775">
        <f t="shared" si="14"/>
        <v>100</v>
      </c>
      <c r="X35" s="1812"/>
      <c r="Y35" s="3272"/>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0"/>
      <c r="Q36" s="1809" t="str">
        <f t="shared" si="11"/>
        <v>公共部分装修</v>
      </c>
      <c r="R36" s="774" t="s">
        <v>17</v>
      </c>
      <c r="S36" s="775">
        <f t="shared" si="12"/>
        <v>100</v>
      </c>
      <c r="T36" s="774" t="s">
        <v>17</v>
      </c>
      <c r="U36" s="775">
        <f t="shared" si="13"/>
        <v>100</v>
      </c>
      <c r="V36" s="774" t="s">
        <v>17</v>
      </c>
      <c r="W36" s="775">
        <f t="shared" si="14"/>
        <v>100</v>
      </c>
      <c r="X36" s="1812"/>
      <c r="Y36" s="3272"/>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0"/>
      <c r="Q37" s="1809" t="str">
        <f t="shared" si="11"/>
        <v>成新度</v>
      </c>
      <c r="R37" s="774" t="s">
        <v>17</v>
      </c>
      <c r="S37" s="775">
        <f t="shared" si="12"/>
        <v>100</v>
      </c>
      <c r="T37" s="774" t="s">
        <v>17</v>
      </c>
      <c r="U37" s="775">
        <f t="shared" si="13"/>
        <v>100</v>
      </c>
      <c r="V37" s="774" t="s">
        <v>17</v>
      </c>
      <c r="W37" s="775">
        <f t="shared" si="14"/>
        <v>100</v>
      </c>
      <c r="X37" s="1812"/>
      <c r="Y37" s="3272"/>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0"/>
      <c r="Q38" s="1794"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0" t="s">
        <v>2566</v>
      </c>
      <c r="Q39" s="1809" t="str">
        <f t="shared" si="11"/>
        <v>物业管理</v>
      </c>
      <c r="R39" s="774" t="s">
        <v>17</v>
      </c>
      <c r="S39" s="775">
        <f t="shared" si="12"/>
        <v>100</v>
      </c>
      <c r="T39" s="774" t="s">
        <v>17</v>
      </c>
      <c r="U39" s="775">
        <f t="shared" si="13"/>
        <v>100</v>
      </c>
      <c r="V39" s="774" t="s">
        <v>17</v>
      </c>
      <c r="W39" s="775">
        <f t="shared" si="14"/>
        <v>100</v>
      </c>
      <c r="X39" s="1812"/>
      <c r="Y39" s="3272"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0"/>
      <c r="Q40" s="1809" t="str">
        <f t="shared" si="11"/>
        <v>市政基础设施</v>
      </c>
      <c r="R40" s="774" t="s">
        <v>17</v>
      </c>
      <c r="S40" s="775">
        <f t="shared" si="12"/>
        <v>100</v>
      </c>
      <c r="T40" s="774" t="s">
        <v>17</v>
      </c>
      <c r="U40" s="775">
        <f t="shared" si="13"/>
        <v>100</v>
      </c>
      <c r="V40" s="774" t="s">
        <v>17</v>
      </c>
      <c r="W40" s="775">
        <f t="shared" si="14"/>
        <v>100</v>
      </c>
      <c r="X40" s="1812"/>
      <c r="Y40" s="3272"/>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0"/>
      <c r="Q41" s="1809" t="str">
        <f t="shared" si="11"/>
        <v>层高</v>
      </c>
      <c r="R41" s="774" t="s">
        <v>17</v>
      </c>
      <c r="S41" s="775">
        <f t="shared" si="12"/>
        <v>100</v>
      </c>
      <c r="T41" s="774" t="s">
        <v>17</v>
      </c>
      <c r="U41" s="775">
        <f t="shared" si="13"/>
        <v>100</v>
      </c>
      <c r="V41" s="774" t="s">
        <v>17</v>
      </c>
      <c r="W41" s="775">
        <f t="shared" si="14"/>
        <v>100</v>
      </c>
      <c r="X41" s="1812"/>
      <c r="Y41" s="3272"/>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0"/>
      <c r="Q43" s="1809" t="str">
        <f t="shared" si="11"/>
        <v>内部装修</v>
      </c>
      <c r="R43" s="774" t="s">
        <v>17</v>
      </c>
      <c r="S43" s="775">
        <f t="shared" si="12"/>
        <v>100</v>
      </c>
      <c r="T43" s="774" t="s">
        <v>17</v>
      </c>
      <c r="U43" s="775">
        <f t="shared" si="13"/>
        <v>100</v>
      </c>
      <c r="V43" s="774" t="s">
        <v>17</v>
      </c>
      <c r="W43" s="775">
        <f t="shared" si="14"/>
        <v>100</v>
      </c>
      <c r="X43" s="1812"/>
      <c r="Y43" s="3272"/>
      <c r="Z43" s="1813" t="str">
        <f t="shared" si="15"/>
        <v>内部装修</v>
      </c>
      <c r="AA43" s="1810">
        <f t="shared" si="3"/>
        <v>1</v>
      </c>
      <c r="AB43" s="1810">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0"/>
      <c r="Q44" s="1809" t="str">
        <f t="shared" si="11"/>
        <v>内部装修维护情况</v>
      </c>
      <c r="R44" s="774" t="s">
        <v>17</v>
      </c>
      <c r="S44" s="775">
        <f t="shared" si="12"/>
        <v>100</v>
      </c>
      <c r="T44" s="774" t="s">
        <v>17</v>
      </c>
      <c r="U44" s="775">
        <f t="shared" si="13"/>
        <v>100</v>
      </c>
      <c r="V44" s="774" t="s">
        <v>17</v>
      </c>
      <c r="W44" s="775">
        <f t="shared" si="14"/>
        <v>100</v>
      </c>
      <c r="X44" s="1812"/>
      <c r="Y44" s="3272"/>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0"/>
      <c r="Q45" s="1794">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0"/>
      <c r="Q46" s="1809">
        <f t="shared" si="11"/>
        <v>111</v>
      </c>
      <c r="R46" s="774" t="s">
        <v>17</v>
      </c>
      <c r="S46" s="775">
        <f t="shared" si="12"/>
        <v>100</v>
      </c>
      <c r="T46" s="774" t="s">
        <v>17</v>
      </c>
      <c r="U46" s="775">
        <f t="shared" si="13"/>
        <v>100</v>
      </c>
      <c r="V46" s="774" t="s">
        <v>17</v>
      </c>
      <c r="W46" s="775">
        <f t="shared" si="14"/>
        <v>100</v>
      </c>
      <c r="X46" s="1812"/>
      <c r="Y46" s="3272"/>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1"/>
      <c r="Q47" s="1809">
        <f t="shared" si="11"/>
        <v>111</v>
      </c>
      <c r="R47" s="774" t="s">
        <v>17</v>
      </c>
      <c r="S47" s="775">
        <f t="shared" si="12"/>
        <v>100</v>
      </c>
      <c r="T47" s="774" t="s">
        <v>17</v>
      </c>
      <c r="U47" s="775">
        <f t="shared" si="13"/>
        <v>100</v>
      </c>
      <c r="V47" s="774" t="s">
        <v>17</v>
      </c>
      <c r="W47" s="775">
        <f t="shared" si="14"/>
        <v>100</v>
      </c>
      <c r="X47" s="1812"/>
      <c r="Y47" s="3273"/>
      <c r="Z47" s="1813">
        <f t="shared" si="15"/>
        <v>111</v>
      </c>
      <c r="AA47" s="1810">
        <f t="shared" si="3"/>
        <v>1</v>
      </c>
      <c r="AB47" s="1810">
        <f t="shared" si="4"/>
        <v>1</v>
      </c>
      <c r="AC47" s="2675">
        <f t="shared" si="5"/>
        <v>1</v>
      </c>
    </row>
    <row r="48" spans="1:29" ht="15">
      <c r="A48" s="479" t="s">
        <v>2578</v>
      </c>
      <c r="B48" s="480"/>
      <c r="C48" s="1406" t="s">
        <v>1</v>
      </c>
      <c r="D48" s="1407"/>
      <c r="E48" s="1408">
        <v>40000</v>
      </c>
      <c r="F48" s="1409"/>
      <c r="G48" s="1410">
        <v>40000</v>
      </c>
      <c r="H48" s="1411"/>
      <c r="I48" s="1408">
        <v>44000</v>
      </c>
      <c r="J48" s="485"/>
      <c r="K48" s="783"/>
      <c r="L48" s="1143"/>
      <c r="M48" s="1131"/>
      <c r="N48" s="1131"/>
      <c r="O48" s="1131"/>
      <c r="P48" s="3247" t="str">
        <f>A48</f>
        <v>成交单价（元/平方米）</v>
      </c>
      <c r="Q48" s="3265"/>
      <c r="R48" s="3266">
        <f>E48</f>
        <v>40000</v>
      </c>
      <c r="S48" s="3266"/>
      <c r="T48" s="3266">
        <f>G48</f>
        <v>40000</v>
      </c>
      <c r="U48" s="3266"/>
      <c r="V48" s="3266">
        <f>I48</f>
        <v>44000</v>
      </c>
      <c r="W48" s="3266"/>
      <c r="X48" s="446"/>
      <c r="Y48" s="781"/>
      <c r="Z48" s="446"/>
      <c r="AA48" s="446"/>
      <c r="AB48" s="446"/>
      <c r="AC48" s="630"/>
    </row>
    <row r="49" spans="1:29" ht="15.75" thickBot="1">
      <c r="A49" s="486" t="s">
        <v>2670</v>
      </c>
      <c r="B49" s="487"/>
      <c r="C49" s="1412">
        <f>R50</f>
        <v>41684</v>
      </c>
      <c r="D49" s="1413"/>
      <c r="E49" s="1414">
        <f>R49</f>
        <v>41408</v>
      </c>
      <c r="F49" s="1414"/>
      <c r="G49" s="1412">
        <f>T49</f>
        <v>38095</v>
      </c>
      <c r="H49" s="1413"/>
      <c r="I49" s="1414">
        <f>V49</f>
        <v>45549</v>
      </c>
      <c r="J49" s="489"/>
      <c r="K49" s="784"/>
      <c r="L49" s="1143"/>
      <c r="M49" s="1131"/>
      <c r="N49" s="1131"/>
      <c r="O49" s="1131"/>
      <c r="P49" s="3247" t="str">
        <f>A49</f>
        <v>比较价值（元/平方米）</v>
      </c>
      <c r="Q49" s="3265"/>
      <c r="R49" s="3266">
        <f>IF(F1="售价",ROUND(PRODUCT(R48,AA7:AA47),0),ROUND(PRODUCT(R48,AA7:AA47),1))</f>
        <v>41408</v>
      </c>
      <c r="S49" s="3266"/>
      <c r="T49" s="3266">
        <f>IF(F1="售价",ROUND(PRODUCT(T48,AB7:AB47),0),ROUND(PRODUCT(T48,AB7:AB47),1))</f>
        <v>38095</v>
      </c>
      <c r="U49" s="3266"/>
      <c r="V49" s="3266">
        <f>IF(F1="售价",ROUND(PRODUCT(V48,AC7:AC47),0),ROUND(PRODUCT(V48,AC7:AC47),1))</f>
        <v>45549</v>
      </c>
      <c r="W49" s="3266"/>
      <c r="X49" s="446"/>
      <c r="Y49" s="446"/>
      <c r="Z49" s="446"/>
      <c r="AA49" s="446"/>
      <c r="AB49" s="446"/>
      <c r="AC49" s="630"/>
    </row>
    <row r="50" spans="1:29" ht="15.75" thickBot="1">
      <c r="A50" s="492" t="s">
        <v>2671</v>
      </c>
      <c r="B50" s="493"/>
      <c r="C50" s="1416">
        <f>R50</f>
        <v>41684</v>
      </c>
      <c r="D50" s="1416"/>
      <c r="E50" s="1416"/>
      <c r="F50" s="1416"/>
      <c r="G50" s="1416"/>
      <c r="H50" s="1416"/>
      <c r="I50" s="1416"/>
      <c r="J50" s="494"/>
      <c r="K50" s="785"/>
      <c r="L50" s="1143"/>
      <c r="M50" s="1131"/>
      <c r="N50" s="1131"/>
      <c r="O50" s="1131"/>
      <c r="P50" s="3290" t="str">
        <f>A50</f>
        <v>估价对象XX用房的比较价值（楼面单价，元/平方米）</v>
      </c>
      <c r="Q50" s="3291"/>
      <c r="R50" s="3292">
        <f>IF(F1="售价",ROUND(AVERAGE(R49:V49),0),ROUND(AVERAGE(R49:V49),1))</f>
        <v>41684</v>
      </c>
      <c r="S50" s="3292"/>
      <c r="T50" s="3292"/>
      <c r="U50" s="3292"/>
      <c r="V50" s="3292"/>
      <c r="W50" s="3292"/>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3.5199999999999898E-2</v>
      </c>
      <c r="F53" s="500" t="str">
        <f>IF(OR(E53&gt;=0.3,E53&lt;=-0.3),"超过30%","")</f>
        <v/>
      </c>
      <c r="G53" s="499">
        <f>IF(G48&lt;G49,G49/G48-1,G48/G49-1)</f>
        <v>5.0006562541015986E-2</v>
      </c>
      <c r="H53" s="500" t="str">
        <f>IF(OR(G53&gt;=0.3,G53&lt;=-0.3),"超过30%","")</f>
        <v/>
      </c>
      <c r="I53" s="499">
        <f>IF(I48&lt;I49,I49/I48-1,I48/I49-1)</f>
        <v>3.5204545454545544E-2</v>
      </c>
      <c r="J53" s="500" t="str">
        <f>IF(OR(I53&gt;=0.3,I53&lt;=-0.3),"超过30%","")</f>
        <v/>
      </c>
      <c r="K53" s="1105"/>
      <c r="L53" s="1106"/>
      <c r="M53" s="1144"/>
      <c r="N53" s="1144"/>
      <c r="O53" s="1144"/>
    </row>
    <row r="54" spans="1:29" ht="13.5" customHeight="1">
      <c r="A54" s="1144"/>
      <c r="B54" s="1144"/>
      <c r="C54" s="497" t="s">
        <v>2673</v>
      </c>
      <c r="D54" s="501"/>
      <c r="E54" s="499">
        <f>IF(E49&lt;G49,G49/E49-1,E49/G49-1)</f>
        <v>8.6966793542459619E-2</v>
      </c>
      <c r="F54" s="500" t="str">
        <f>IF(OR(E54&gt;=0.2,E54&lt;=-0.2),"超过20%","")</f>
        <v/>
      </c>
      <c r="G54" s="499">
        <f>IF(G49&lt;I49,I49/G49-1,G49/I49-1)</f>
        <v>0.1956687229295182</v>
      </c>
      <c r="H54" s="500" t="str">
        <f>IF(OR(G54&gt;=0.2,G54&lt;=-0.2),"超过20%","")</f>
        <v/>
      </c>
      <c r="I54" s="499">
        <f>IF(I49&lt;E49,E49/I49-1,I49/E49-1)</f>
        <v>0.10000482998454396</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3180</v>
      </c>
      <c r="D89" s="2991" t="s">
        <v>3179</v>
      </c>
      <c r="E89" s="2991" t="s">
        <v>3181</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估价对象为北京市出让国有建设用地使用权及在建建筑物房地产，为所有。根据《国有土地使用证》[]，估价对象（分摊）出让国有建设用地使用权面积为21.35平方米，建筑面积为440.53平方米。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21.35平方米，规划建筑面积为440.53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1"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2778</v>
      </c>
      <c r="C2" s="1844" t="s">
        <v>1585</v>
      </c>
      <c r="D2" s="1936">
        <f ca="1">C40+J29+L46</f>
        <v>27775249</v>
      </c>
      <c r="E2" s="1845" t="s">
        <v>1586</v>
      </c>
      <c r="F2" s="1846"/>
      <c r="G2" s="1847"/>
      <c r="H2" s="1839"/>
      <c r="I2" s="1839"/>
      <c r="J2" s="1839"/>
      <c r="K2" s="1840"/>
      <c r="L2" s="1839"/>
      <c r="M2" s="1839"/>
    </row>
    <row r="3" spans="1:37" ht="18" customHeight="1" thickBot="1">
      <c r="A3" s="1848" t="s">
        <v>1587</v>
      </c>
      <c r="B3" s="1849">
        <f ca="1">IF(ISERROR(D2/F43),0,ROUND(D2/F43,0))</f>
        <v>63050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1521397</v>
      </c>
      <c r="D5" s="1821" t="s">
        <v>1595</v>
      </c>
      <c r="E5" s="1292"/>
      <c r="F5" s="1293"/>
      <c r="G5" s="1850"/>
      <c r="H5" s="344">
        <v>1</v>
      </c>
      <c r="I5" s="345" t="s">
        <v>1594</v>
      </c>
      <c r="J5" s="1291">
        <f ca="1">J6+J10+J12</f>
        <v>0</v>
      </c>
      <c r="K5" s="1821" t="s">
        <v>1595</v>
      </c>
      <c r="L5" s="1292"/>
      <c r="M5" s="1293"/>
    </row>
    <row r="6" spans="1:37" ht="18" customHeight="1">
      <c r="A6" s="1290" t="s">
        <v>1031</v>
      </c>
      <c r="B6" s="3205" t="s">
        <v>1397</v>
      </c>
      <c r="C6" s="1295">
        <f ca="1">ROUND(F6*F8*F7*(1-F9),0)</f>
        <v>1519498</v>
      </c>
      <c r="D6" s="164" t="s">
        <v>3028</v>
      </c>
      <c r="E6" s="347" t="s">
        <v>1399</v>
      </c>
      <c r="F6" s="348">
        <f ca="1">INDIRECT("'数据-取费表'!u"&amp;$G$1)</f>
        <v>10.5</v>
      </c>
      <c r="G6" s="1850"/>
      <c r="H6" s="1290" t="s">
        <v>1031</v>
      </c>
      <c r="I6" s="3205" t="s">
        <v>1397</v>
      </c>
      <c r="J6" s="346">
        <f ca="1">ROUND(M6*M8*M7*(1-M9),0)</f>
        <v>0</v>
      </c>
      <c r="K6" s="1833" t="s">
        <v>3029</v>
      </c>
      <c r="L6" s="347" t="s">
        <v>1399</v>
      </c>
      <c r="M6" s="348">
        <f ca="1">INDIRECT("'数据-取费表'!z"&amp;$G$1)</f>
        <v>0</v>
      </c>
    </row>
    <row r="7" spans="1:37" ht="18" customHeight="1">
      <c r="A7" s="1294"/>
      <c r="B7" s="3206"/>
      <c r="C7" s="1296"/>
      <c r="D7" s="352"/>
      <c r="E7" s="1297" t="s">
        <v>1400</v>
      </c>
      <c r="F7" s="348">
        <f ca="1">IF(INDIRECT("'数据-取费表'!ah"&amp;$G$1)="",INDIRECT("'数据-取费表'!k"&amp;$G$1),INDIRECT("'数据-取费表'!ah"&amp;$G$1))</f>
        <v>440.53</v>
      </c>
      <c r="G7" s="1850"/>
      <c r="H7" s="349"/>
      <c r="I7" s="3206"/>
      <c r="J7" s="351"/>
      <c r="K7" s="352"/>
      <c r="L7" s="347" t="s">
        <v>1400</v>
      </c>
      <c r="M7" s="348">
        <f ca="1">F7</f>
        <v>440.53</v>
      </c>
    </row>
    <row r="8" spans="1:37" ht="18" customHeight="1">
      <c r="A8" s="349"/>
      <c r="B8" s="3206"/>
      <c r="C8" s="351"/>
      <c r="D8" s="352"/>
      <c r="E8" s="347" t="s">
        <v>1401</v>
      </c>
      <c r="F8" s="348">
        <f ca="1">INDIRECT("'数据-取费表'!ai"&amp;$G$1)</f>
        <v>365</v>
      </c>
      <c r="G8" s="1850"/>
      <c r="H8" s="349"/>
      <c r="I8" s="3206"/>
      <c r="J8" s="351"/>
      <c r="K8" s="352"/>
      <c r="L8" s="347" t="s">
        <v>1401</v>
      </c>
      <c r="M8" s="348">
        <f ca="1">INDIRECT("'数据-取费表'!ai"&amp;$G$1)</f>
        <v>365</v>
      </c>
    </row>
    <row r="9" spans="1:37" ht="18" customHeight="1">
      <c r="A9" s="349"/>
      <c r="B9" s="3207"/>
      <c r="C9" s="351"/>
      <c r="D9" s="352"/>
      <c r="E9" s="347" t="s">
        <v>1402</v>
      </c>
      <c r="F9" s="357">
        <f ca="1">INDIRECT("'数据-取费表'!w"&amp;$G$1)</f>
        <v>0.1</v>
      </c>
      <c r="G9" s="1850"/>
      <c r="H9" s="349"/>
      <c r="I9" s="3207"/>
      <c r="J9" s="351"/>
      <c r="K9" s="352"/>
      <c r="L9" s="358" t="s">
        <v>1402</v>
      </c>
      <c r="M9" s="359">
        <f ca="1">INDIRECT("'数据-取费表'!ab"&amp;$G$1)</f>
        <v>0</v>
      </c>
    </row>
    <row r="10" spans="1:37" ht="18" customHeight="1">
      <c r="A10" s="1290" t="s">
        <v>1035</v>
      </c>
      <c r="B10" s="1822" t="s">
        <v>1403</v>
      </c>
      <c r="C10" s="361">
        <f ca="1">ROUND(IF(F10="押一",C6/12*F11,IF(F10="押二",C6/12*2*F11,IF(F10="押三",C6/12*3*F11,C11*F11))),0)</f>
        <v>1899</v>
      </c>
      <c r="D10" s="1823" t="s">
        <v>3039</v>
      </c>
      <c r="E10" s="358" t="s">
        <v>1404</v>
      </c>
      <c r="F10" s="1365" t="s">
        <v>3169</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1866779</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1541855</v>
      </c>
      <c r="D14" s="1799" t="s">
        <v>1412</v>
      </c>
      <c r="E14" s="1793"/>
      <c r="F14" s="364"/>
      <c r="G14" s="1850"/>
      <c r="H14" s="1201" t="s">
        <v>1031</v>
      </c>
      <c r="I14" s="347" t="s">
        <v>1413</v>
      </c>
      <c r="J14" s="24">
        <f ca="1">C29</f>
        <v>2393306</v>
      </c>
      <c r="K14" s="15"/>
      <c r="L14" s="979"/>
      <c r="M14" s="980"/>
    </row>
    <row r="15" spans="1:37" s="1857" customFormat="1" ht="18" customHeight="1" thickBot="1">
      <c r="A15" s="1201" t="s">
        <v>1032</v>
      </c>
      <c r="B15" s="347" t="s">
        <v>1414</v>
      </c>
      <c r="C15" s="24">
        <f ca="1">ROUND(C14*F15,0)</f>
        <v>46256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56516</v>
      </c>
      <c r="K16" s="1336" t="s">
        <v>1419</v>
      </c>
      <c r="L16" s="1337"/>
      <c r="M16" s="1293"/>
    </row>
    <row r="17" spans="1:37" s="1857" customFormat="1" ht="18" customHeight="1">
      <c r="A17" s="1201" t="s">
        <v>1384</v>
      </c>
      <c r="B17" s="347" t="s">
        <v>1420</v>
      </c>
      <c r="C17" s="24">
        <f ca="1">ROUND(F17*(F43+INDIRECT("'数据-取费表'!S"&amp;$G$1)),0)</f>
        <v>88106</v>
      </c>
      <c r="D17" s="347" t="s">
        <v>1421</v>
      </c>
      <c r="E17" s="347" t="s">
        <v>1422</v>
      </c>
      <c r="F17" s="26">
        <f>'数据-取费表'!B35</f>
        <v>200</v>
      </c>
      <c r="G17" s="1853"/>
      <c r="H17" s="1201" t="s">
        <v>1031</v>
      </c>
      <c r="I17" s="347" t="s">
        <v>1423</v>
      </c>
      <c r="J17" s="24">
        <f ca="1">ROUND(IF(项目基本情况!B11="自然人",J6*M17/(1+'数据-取费表'!C42),J18+J19+J20),0)</f>
        <v>20616</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23128</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1699345</v>
      </c>
      <c r="D19" s="140" t="s">
        <v>1430</v>
      </c>
      <c r="E19" s="1817"/>
      <c r="F19" s="26"/>
      <c r="G19" s="1850"/>
      <c r="H19" s="1201" t="s">
        <v>1032</v>
      </c>
      <c r="I19" s="347" t="s">
        <v>1431</v>
      </c>
      <c r="J19" s="24">
        <f ca="1">IF(K19="按租金收入计税",ROUND(J6*M19/(1+'数据-取费表'!C42),0),ROUND(C29*M19*0.7,0))</f>
        <v>20104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33987</v>
      </c>
      <c r="D20" s="369" t="s">
        <v>1434</v>
      </c>
      <c r="E20" s="347" t="s">
        <v>1416</v>
      </c>
      <c r="F20" s="367">
        <f>'数据-取费表'!B37</f>
        <v>0.02</v>
      </c>
      <c r="G20" s="1853"/>
      <c r="H20" s="1201" t="s">
        <v>1383</v>
      </c>
      <c r="I20" s="164" t="s">
        <v>1435</v>
      </c>
      <c r="J20" s="25">
        <f ca="1">ROUND(M20*M21,0)</f>
        <v>512</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21.35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35900</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-56516</v>
      </c>
      <c r="K25" s="1344" t="s">
        <v>1458</v>
      </c>
      <c r="L25" s="1345"/>
      <c r="M25" s="1346"/>
    </row>
    <row r="26" spans="1:37" ht="18" customHeight="1">
      <c r="A26" s="1201" t="s">
        <v>1030</v>
      </c>
      <c r="B26" s="347" t="s">
        <v>1459</v>
      </c>
      <c r="C26" s="24">
        <f ca="1">ROUND((C19+C20)*F26,0)</f>
        <v>346666</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2393306</v>
      </c>
      <c r="D29" s="1341"/>
      <c r="E29" s="1339"/>
      <c r="F29" s="1342"/>
      <c r="G29" s="1853"/>
      <c r="H29" s="380" t="s">
        <v>1029</v>
      </c>
      <c r="I29" s="381" t="s">
        <v>1473</v>
      </c>
      <c r="J29" s="382">
        <f ca="1">ROUND(J26/(1+F40)^F41,0)</f>
        <v>0</v>
      </c>
      <c r="K29" s="383" t="s">
        <v>1474</v>
      </c>
      <c r="L29" s="384"/>
      <c r="M29" s="385">
        <f ca="1">INDIRECT("'数据-取费表'!k"&amp;$G$1)</f>
        <v>440.53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324337</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255209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81040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173657</v>
      </c>
      <c r="D33" s="1827" t="s">
        <v>3170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512</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21.35</v>
      </c>
      <c r="G35" s="1850"/>
      <c r="H35" s="745"/>
      <c r="I35" s="1859"/>
      <c r="J35" s="1860"/>
      <c r="K35" s="1861"/>
      <c r="L35" s="1858"/>
      <c r="M35" s="1858"/>
    </row>
    <row r="36" spans="1:18" ht="18" customHeight="1">
      <c r="A36" s="1351" t="s">
        <v>1035</v>
      </c>
      <c r="B36" s="347" t="s">
        <v>1443</v>
      </c>
      <c r="C36" s="24">
        <f ca="1">ROUND(C29*F36,0)</f>
        <v>35900</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2800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30427.9</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1197060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27775249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63050</v>
      </c>
      <c r="D43" s="383" t="s">
        <v>1482</v>
      </c>
      <c r="E43" s="384" t="s">
        <v>1483</v>
      </c>
      <c r="F43" s="385">
        <f ca="1">INDIRECT("'数据-取费表'!k"&amp;$G$1)</f>
        <v>440.53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-33349743</v>
      </c>
      <c r="D45" s="1938" t="s">
        <v>1598</v>
      </c>
      <c r="E45" s="1865"/>
      <c r="F45" s="1865"/>
      <c r="O45" s="1868" t="s">
        <v>1513</v>
      </c>
      <c r="P45" s="1838"/>
      <c r="Q45" s="1838"/>
      <c r="R45" s="1838"/>
    </row>
    <row r="46" spans="1:18" s="1841" customFormat="1" ht="13.5" thickBot="1">
      <c r="A46" s="1869" t="s">
        <v>1514</v>
      </c>
      <c r="C46" s="1870">
        <f ca="1">ROUND(C45/10000,0)</f>
        <v>-3335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3167</v>
      </c>
      <c r="K47" s="1881" t="s">
        <v>1521</v>
      </c>
      <c r="L47" s="1882">
        <f ca="1">INDIRECT("'数据-取费表'!d"&amp;$G$1)</f>
        <v>50</v>
      </c>
      <c r="M47" s="1837" t="str">
        <f>IF(ISNUMBER(FIND("住宅",C1)),"住宅","非住宅")</f>
        <v>非住宅</v>
      </c>
      <c r="O47" s="1883" t="s">
        <v>1036</v>
      </c>
      <c r="P47" s="1884" t="s">
        <v>1522</v>
      </c>
      <c r="Q47" s="1885">
        <f ca="1">C40+J29</f>
        <v>27775249</v>
      </c>
      <c r="R47" s="1885" t="s">
        <v>1523</v>
      </c>
    </row>
    <row r="48" spans="1:18" s="1841" customFormat="1" ht="28.5" thickBot="1">
      <c r="A48" s="1359" t="s">
        <v>1131</v>
      </c>
      <c r="B48" s="345" t="s">
        <v>1395</v>
      </c>
      <c r="C48" s="1816">
        <f ca="1">C49+C53+C55</f>
        <v>0</v>
      </c>
      <c r="D48" s="1361"/>
      <c r="E48" s="1362"/>
      <c r="F48" s="1181"/>
      <c r="G48" s="792"/>
      <c r="H48" s="793"/>
      <c r="I48" s="1886" t="s">
        <v>1524</v>
      </c>
      <c r="J48" s="1887" t="s">
        <v>3168</v>
      </c>
      <c r="K48" s="1888" t="s">
        <v>1525</v>
      </c>
      <c r="L48" s="1889">
        <f ca="1">INDIRECT("'数据-取费表'!f"&amp;$G$1)</f>
        <v>29.73</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2393306</v>
      </c>
      <c r="R49" s="1885" t="s">
        <v>1523</v>
      </c>
    </row>
    <row r="50" spans="1:18" s="1841" customFormat="1" ht="13.5" thickBot="1">
      <c r="A50" s="1195"/>
      <c r="B50" s="1198"/>
      <c r="C50" s="1199"/>
      <c r="D50" s="1172"/>
      <c r="E50" s="1276" t="s">
        <v>1400</v>
      </c>
      <c r="F50" s="1277">
        <f ca="1">F7</f>
        <v>440.53</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16991836</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3" t="s">
        <v>1542</v>
      </c>
      <c r="L53" s="3204"/>
      <c r="O53" s="1883" t="s">
        <v>1042</v>
      </c>
      <c r="P53" s="1884" t="s">
        <v>1543</v>
      </c>
      <c r="Q53" s="1885">
        <f ca="1">Q47+Q48</f>
        <v>27775249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1866779</v>
      </c>
      <c r="D56" s="1912"/>
      <c r="E56" s="1913"/>
      <c r="F56" s="1905"/>
      <c r="I56" s="1914" t="s">
        <v>1548</v>
      </c>
      <c r="J56" s="1915" t="s">
        <v>3161</v>
      </c>
      <c r="K56" s="1886" t="s">
        <v>1549</v>
      </c>
      <c r="L56" s="1889" t="str">
        <f ca="1">IF(L48&lt;J51,"——",L48-J51)</f>
        <v>——</v>
      </c>
      <c r="O56" s="1883" t="s">
        <v>1036</v>
      </c>
      <c r="P56" s="1884" t="s">
        <v>1522</v>
      </c>
      <c r="Q56" s="1885">
        <f ca="1">C40+J29</f>
        <v>27775249</v>
      </c>
      <c r="R56" s="1885" t="s">
        <v>1523</v>
      </c>
    </row>
    <row r="57" spans="1:18" s="1841" customFormat="1" ht="24.75" thickBot="1">
      <c r="A57" s="1916"/>
      <c r="B57" s="1169" t="s">
        <v>1472</v>
      </c>
      <c r="C57" s="282">
        <f ca="1">C29</f>
        <v>2393306</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240250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201550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201038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512</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27775249</v>
      </c>
      <c r="R62" s="1885" t="s">
        <v>1043</v>
      </c>
    </row>
    <row r="63" spans="1:18" s="1841" customFormat="1" ht="13.5" thickBot="1">
      <c r="A63" s="372"/>
      <c r="B63" s="1175"/>
      <c r="C63" s="29"/>
      <c r="D63" s="1185"/>
      <c r="E63" s="1169" t="s">
        <v>1493</v>
      </c>
      <c r="F63" s="348">
        <f t="shared" ca="1" si="0"/>
        <v>21.35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35900</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2800</v>
      </c>
      <c r="D65" s="1183" t="s">
        <v>1448</v>
      </c>
      <c r="E65" s="1169" t="s">
        <v>1449</v>
      </c>
      <c r="F65" s="376">
        <f t="shared" ca="1" si="0"/>
        <v>1.5E-3</v>
      </c>
      <c r="I65" s="1927" t="s">
        <v>1573</v>
      </c>
      <c r="J65" s="1928">
        <v>40</v>
      </c>
      <c r="K65" s="1928">
        <v>30</v>
      </c>
      <c r="L65" s="1928">
        <v>50</v>
      </c>
      <c r="M65" s="1930">
        <v>0.02</v>
      </c>
      <c r="O65" s="1883" t="s">
        <v>1036</v>
      </c>
      <c r="P65" s="1884" t="s">
        <v>1574</v>
      </c>
      <c r="Q65" s="1885">
        <f ca="1">C40+J29</f>
        <v>27775249</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-240250</v>
      </c>
      <c r="D67" s="1182" t="s">
        <v>1458</v>
      </c>
      <c r="E67" s="1187"/>
      <c r="F67" s="1188"/>
      <c r="O67" s="1893" t="s">
        <v>1038</v>
      </c>
      <c r="P67" s="1884" t="s">
        <v>1556</v>
      </c>
      <c r="Q67" s="1931">
        <f ca="1">L51</f>
        <v>16991836</v>
      </c>
      <c r="R67" s="1885" t="s">
        <v>1576</v>
      </c>
    </row>
    <row r="68" spans="1:18" s="1841" customFormat="1" ht="16.5" thickBot="1">
      <c r="A68" s="1166" t="s">
        <v>1028</v>
      </c>
      <c r="B68" s="1167" t="s">
        <v>1479</v>
      </c>
      <c r="C68" s="346">
        <f ca="1">ROUND(C67*(1-((1+F70)/(1+F68))^F69)/(F68-F70),0)</f>
        <v>-5574494</v>
      </c>
      <c r="D68" s="1184" t="s">
        <v>1463</v>
      </c>
      <c r="E68" s="1169" t="s">
        <v>1464</v>
      </c>
      <c r="F68" s="357">
        <f ca="1">F40</f>
        <v>0.05</v>
      </c>
      <c r="O68" s="1893" t="s">
        <v>1039</v>
      </c>
      <c r="P68" s="1932" t="s">
        <v>1577</v>
      </c>
      <c r="Q68" s="1885">
        <f ca="1">ROUND(Q69-Q70*Q71,0)</f>
        <v>1047718</v>
      </c>
      <c r="R68" s="1885" t="s">
        <v>1047</v>
      </c>
    </row>
    <row r="69" spans="1:18" s="1841" customFormat="1" ht="13.5" thickBot="1">
      <c r="A69" s="1170"/>
      <c r="B69" s="1171"/>
      <c r="C69" s="351"/>
      <c r="D69" s="1189" t="s">
        <v>1467</v>
      </c>
      <c r="E69" s="1169" t="s">
        <v>1468</v>
      </c>
      <c r="F69" s="379">
        <f ca="1">F41</f>
        <v>29.73</v>
      </c>
      <c r="O69" s="1893" t="s">
        <v>1044</v>
      </c>
      <c r="P69" s="1932" t="s">
        <v>1578</v>
      </c>
      <c r="Q69" s="1885">
        <f ca="1">C39</f>
        <v>1197060</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1866779</v>
      </c>
      <c r="R70" s="1885" t="s">
        <v>1523</v>
      </c>
    </row>
    <row r="71" spans="1:18" s="1841" customFormat="1" ht="13.5" thickBot="1">
      <c r="A71" s="1190" t="s">
        <v>1029</v>
      </c>
      <c r="B71" s="1191" t="s">
        <v>1481</v>
      </c>
      <c r="C71" s="382">
        <f ca="1">ROUND(C68/F71,0)</f>
        <v>-12654</v>
      </c>
      <c r="D71" s="1192" t="s">
        <v>1482</v>
      </c>
      <c r="E71" s="1193" t="s">
        <v>1483</v>
      </c>
      <c r="F71" s="385">
        <f ca="1">F43</f>
        <v>440.53</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149342</v>
      </c>
      <c r="D75" s="1841"/>
      <c r="E75" s="1841"/>
      <c r="F75" s="1841"/>
      <c r="K75" s="1867"/>
      <c r="L75" s="1841"/>
      <c r="O75" s="1883" t="s">
        <v>1042</v>
      </c>
      <c r="P75" s="1884" t="s">
        <v>1543</v>
      </c>
      <c r="Q75" s="1885">
        <f ca="1">Q65+Q66</f>
        <v>27775249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440.53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0"/>
      <c r="M6" s="1131"/>
      <c r="N6" s="1131"/>
      <c r="O6" s="1131"/>
      <c r="P6" s="3256"/>
      <c r="Q6" s="3257"/>
      <c r="R6" s="3237"/>
      <c r="S6" s="3238"/>
      <c r="T6" s="3258"/>
      <c r="U6" s="3259"/>
      <c r="V6" s="3260"/>
      <c r="W6" s="3260"/>
      <c r="X6" s="1812"/>
      <c r="Y6" s="3258"/>
      <c r="Z6" s="3259"/>
      <c r="AA6" s="3232"/>
      <c r="AB6" s="3232"/>
      <c r="AC6" s="3232"/>
    </row>
    <row r="7" spans="1:29" s="117" customFormat="1" ht="15.7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5"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5"/>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7" t="s">
        <v>2561</v>
      </c>
      <c r="Q15" s="1809" t="str">
        <f t="shared" si="6"/>
        <v>产业集聚程度</v>
      </c>
      <c r="R15" s="774" t="s">
        <v>17</v>
      </c>
      <c r="S15" s="775">
        <f t="shared" si="0"/>
        <v>100</v>
      </c>
      <c r="T15" s="774" t="s">
        <v>17</v>
      </c>
      <c r="U15" s="775">
        <f t="shared" si="1"/>
        <v>100</v>
      </c>
      <c r="V15" s="774" t="s">
        <v>17</v>
      </c>
      <c r="W15" s="775">
        <f t="shared" si="2"/>
        <v>100</v>
      </c>
      <c r="X15" s="1812"/>
      <c r="Y15" s="3267"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8"/>
      <c r="Q16" s="1809"/>
      <c r="R16" s="774"/>
      <c r="S16" s="775"/>
      <c r="T16" s="774"/>
      <c r="U16" s="775"/>
      <c r="V16" s="774"/>
      <c r="W16" s="775"/>
      <c r="X16" s="1812"/>
      <c r="Y16" s="3268"/>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8"/>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68"/>
      <c r="Q18" s="1809"/>
      <c r="R18" s="774"/>
      <c r="S18" s="775"/>
      <c r="T18" s="774"/>
      <c r="U18" s="775"/>
      <c r="V18" s="774"/>
      <c r="W18" s="775"/>
      <c r="X18" s="1812"/>
      <c r="Y18" s="3268"/>
      <c r="Z18" s="1813"/>
      <c r="AA18" s="1810">
        <v>1</v>
      </c>
      <c r="AB18" s="1810">
        <v>1</v>
      </c>
      <c r="AC18" s="1810">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8"/>
      <c r="Q19" s="1809" t="str">
        <f>B19</f>
        <v>公共配套设施</v>
      </c>
      <c r="R19" s="774" t="s">
        <v>17</v>
      </c>
      <c r="S19" s="775">
        <f>F19</f>
        <v>100</v>
      </c>
      <c r="T19" s="774" t="s">
        <v>17</v>
      </c>
      <c r="U19" s="775">
        <f>H19</f>
        <v>100</v>
      </c>
      <c r="V19" s="774" t="s">
        <v>17</v>
      </c>
      <c r="W19" s="775">
        <f>J19</f>
        <v>100</v>
      </c>
      <c r="X19" s="1812"/>
      <c r="Y19" s="3268"/>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68"/>
      <c r="Q20" s="1809"/>
      <c r="R20" s="774"/>
      <c r="S20" s="775"/>
      <c r="T20" s="774"/>
      <c r="U20" s="775"/>
      <c r="V20" s="774"/>
      <c r="W20" s="775"/>
      <c r="X20" s="1812"/>
      <c r="Y20" s="3268"/>
      <c r="Z20" s="1813"/>
      <c r="AA20" s="1810">
        <v>1</v>
      </c>
      <c r="AB20" s="1810">
        <v>1</v>
      </c>
      <c r="AC20" s="1810">
        <v>1</v>
      </c>
    </row>
    <row r="21" spans="1:29" ht="28.5">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8"/>
      <c r="Q21" s="1809" t="str">
        <f>B21</f>
        <v>基础设施水平</v>
      </c>
      <c r="R21" s="774" t="s">
        <v>17</v>
      </c>
      <c r="S21" s="775">
        <f>F21</f>
        <v>100</v>
      </c>
      <c r="T21" s="774" t="s">
        <v>17</v>
      </c>
      <c r="U21" s="775">
        <f>H21</f>
        <v>100</v>
      </c>
      <c r="V21" s="774" t="s">
        <v>17</v>
      </c>
      <c r="W21" s="775">
        <f>J21</f>
        <v>100</v>
      </c>
      <c r="X21" s="1812"/>
      <c r="Y21" s="3268"/>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68"/>
      <c r="Q22" s="1809"/>
      <c r="R22" s="774"/>
      <c r="S22" s="775"/>
      <c r="T22" s="774"/>
      <c r="U22" s="775"/>
      <c r="V22" s="774"/>
      <c r="W22" s="775"/>
      <c r="X22" s="1812"/>
      <c r="Y22" s="3268"/>
      <c r="Z22" s="1813"/>
      <c r="AA22" s="1810">
        <v>1</v>
      </c>
      <c r="AB22" s="1810">
        <v>1</v>
      </c>
      <c r="AC22" s="1810">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8"/>
      <c r="Q23" s="1809" t="str">
        <f>B23</f>
        <v>环境质量</v>
      </c>
      <c r="R23" s="774" t="s">
        <v>17</v>
      </c>
      <c r="S23" s="775">
        <f>F23</f>
        <v>100</v>
      </c>
      <c r="T23" s="774" t="s">
        <v>17</v>
      </c>
      <c r="U23" s="775">
        <f>H23</f>
        <v>100</v>
      </c>
      <c r="V23" s="774" t="s">
        <v>17</v>
      </c>
      <c r="W23" s="775">
        <f>J23</f>
        <v>100</v>
      </c>
      <c r="X23" s="1812"/>
      <c r="Y23" s="3268"/>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68"/>
      <c r="Q24" s="1809"/>
      <c r="R24" s="774"/>
      <c r="S24" s="775"/>
      <c r="T24" s="774"/>
      <c r="U24" s="775"/>
      <c r="V24" s="774"/>
      <c r="W24" s="775"/>
      <c r="X24" s="1812"/>
      <c r="Y24" s="326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8"/>
      <c r="Q25" s="1809">
        <f>B25</f>
        <v>111</v>
      </c>
      <c r="R25" s="774" t="s">
        <v>17</v>
      </c>
      <c r="S25" s="775">
        <f>F25</f>
        <v>100</v>
      </c>
      <c r="T25" s="774" t="s">
        <v>17</v>
      </c>
      <c r="U25" s="775">
        <f>H25</f>
        <v>100</v>
      </c>
      <c r="V25" s="774" t="s">
        <v>17</v>
      </c>
      <c r="W25" s="775">
        <f>J25</f>
        <v>100</v>
      </c>
      <c r="X25" s="1812"/>
      <c r="Y25" s="326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8"/>
      <c r="Q26" s="1809">
        <f t="shared" ref="Q26:Q40" si="11">B26</f>
        <v>111</v>
      </c>
      <c r="R26" s="774" t="s">
        <v>17</v>
      </c>
      <c r="S26" s="775">
        <f>F26</f>
        <v>100</v>
      </c>
      <c r="T26" s="774" t="s">
        <v>17</v>
      </c>
      <c r="U26" s="775">
        <f>H26</f>
        <v>100</v>
      </c>
      <c r="V26" s="774" t="s">
        <v>17</v>
      </c>
      <c r="W26" s="775">
        <f>J26</f>
        <v>100</v>
      </c>
      <c r="X26" s="1812"/>
      <c r="Y26" s="326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8"/>
      <c r="Q27" s="1794">
        <f t="shared" si="11"/>
        <v>111</v>
      </c>
      <c r="R27" s="770" t="s">
        <v>17</v>
      </c>
      <c r="S27" s="771">
        <f>F27</f>
        <v>100</v>
      </c>
      <c r="T27" s="770" t="s">
        <v>17</v>
      </c>
      <c r="U27" s="771">
        <f>H27</f>
        <v>100</v>
      </c>
      <c r="V27" s="770" t="s">
        <v>17</v>
      </c>
      <c r="W27" s="771">
        <f>J27</f>
        <v>100</v>
      </c>
      <c r="X27" s="772"/>
      <c r="Y27" s="326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8"/>
      <c r="Q28" s="1809">
        <f t="shared" si="11"/>
        <v>111</v>
      </c>
      <c r="R28" s="774" t="s">
        <v>17</v>
      </c>
      <c r="S28" s="775">
        <f t="shared" ref="S28:S40" si="12">F28</f>
        <v>100</v>
      </c>
      <c r="T28" s="774" t="s">
        <v>17</v>
      </c>
      <c r="U28" s="775">
        <f t="shared" ref="U28:U40" si="13">H28</f>
        <v>100</v>
      </c>
      <c r="V28" s="774" t="s">
        <v>17</v>
      </c>
      <c r="W28" s="775">
        <f t="shared" ref="W28:W40" si="14">J28</f>
        <v>100</v>
      </c>
      <c r="X28" s="1812"/>
      <c r="Y28" s="3268"/>
      <c r="Z28" s="1813">
        <f t="shared" ref="Z28:Z40" si="15">Q28</f>
        <v>111</v>
      </c>
      <c r="AA28" s="1810">
        <f t="shared" si="3"/>
        <v>1</v>
      </c>
      <c r="AB28" s="1810">
        <f t="shared" si="4"/>
        <v>1</v>
      </c>
      <c r="AC28" s="1810">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3" t="s">
        <v>2566</v>
      </c>
      <c r="Q29" s="1809" t="str">
        <f t="shared" si="11"/>
        <v>建筑类型</v>
      </c>
      <c r="R29" s="774" t="s">
        <v>17</v>
      </c>
      <c r="S29" s="775">
        <f t="shared" si="12"/>
        <v>100</v>
      </c>
      <c r="T29" s="774" t="s">
        <v>17</v>
      </c>
      <c r="U29" s="775">
        <f t="shared" si="13"/>
        <v>100</v>
      </c>
      <c r="V29" s="774" t="s">
        <v>17</v>
      </c>
      <c r="W29" s="775">
        <f t="shared" si="14"/>
        <v>100</v>
      </c>
      <c r="X29" s="1812"/>
      <c r="Y29" s="3272"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2"/>
      <c r="Q31" s="1809" t="str">
        <f t="shared" si="11"/>
        <v>建筑结构</v>
      </c>
      <c r="R31" s="774" t="s">
        <v>17</v>
      </c>
      <c r="S31" s="775">
        <f t="shared" si="12"/>
        <v>100</v>
      </c>
      <c r="T31" s="774" t="s">
        <v>17</v>
      </c>
      <c r="U31" s="775">
        <f t="shared" si="13"/>
        <v>100</v>
      </c>
      <c r="V31" s="774" t="s">
        <v>17</v>
      </c>
      <c r="W31" s="775">
        <f t="shared" si="14"/>
        <v>100</v>
      </c>
      <c r="X31" s="1812"/>
      <c r="Y31" s="3272"/>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2"/>
      <c r="Q32" s="1809" t="str">
        <f t="shared" si="11"/>
        <v>公共部分装修</v>
      </c>
      <c r="R32" s="774" t="s">
        <v>17</v>
      </c>
      <c r="S32" s="775">
        <f t="shared" si="12"/>
        <v>100</v>
      </c>
      <c r="T32" s="774" t="s">
        <v>17</v>
      </c>
      <c r="U32" s="775">
        <f t="shared" si="13"/>
        <v>100</v>
      </c>
      <c r="V32" s="774" t="s">
        <v>17</v>
      </c>
      <c r="W32" s="775">
        <f t="shared" si="14"/>
        <v>100</v>
      </c>
      <c r="X32" s="1812"/>
      <c r="Y32" s="3272"/>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2"/>
      <c r="Q33" s="1809" t="str">
        <f t="shared" si="11"/>
        <v>成新度</v>
      </c>
      <c r="R33" s="774" t="s">
        <v>17</v>
      </c>
      <c r="S33" s="775" t="e">
        <f t="shared" si="12"/>
        <v>#N/A</v>
      </c>
      <c r="T33" s="774" t="s">
        <v>17</v>
      </c>
      <c r="U33" s="775" t="e">
        <f t="shared" si="13"/>
        <v>#N/A</v>
      </c>
      <c r="V33" s="774" t="s">
        <v>17</v>
      </c>
      <c r="W33" s="775" t="e">
        <f t="shared" si="14"/>
        <v>#N/A</v>
      </c>
      <c r="X33" s="1812"/>
      <c r="Y33" s="3272"/>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2"/>
      <c r="Q34" s="1794"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2" t="s">
        <v>2566</v>
      </c>
      <c r="Q35" s="1809" t="str">
        <f t="shared" si="11"/>
        <v>市政基础设施</v>
      </c>
      <c r="R35" s="774" t="s">
        <v>17</v>
      </c>
      <c r="S35" s="775">
        <f t="shared" si="12"/>
        <v>100</v>
      </c>
      <c r="T35" s="774" t="s">
        <v>17</v>
      </c>
      <c r="U35" s="775">
        <f t="shared" si="13"/>
        <v>100</v>
      </c>
      <c r="V35" s="774" t="s">
        <v>17</v>
      </c>
      <c r="W35" s="775">
        <f t="shared" si="14"/>
        <v>100</v>
      </c>
      <c r="X35" s="1812"/>
      <c r="Y35" s="3272"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2"/>
      <c r="Q36" s="1809" t="str">
        <f t="shared" si="11"/>
        <v>内部装修</v>
      </c>
      <c r="R36" s="774" t="s">
        <v>17</v>
      </c>
      <c r="S36" s="775">
        <f t="shared" si="12"/>
        <v>100</v>
      </c>
      <c r="T36" s="774" t="s">
        <v>17</v>
      </c>
      <c r="U36" s="775">
        <f t="shared" si="13"/>
        <v>100</v>
      </c>
      <c r="V36" s="774" t="s">
        <v>17</v>
      </c>
      <c r="W36" s="775">
        <f t="shared" si="14"/>
        <v>100</v>
      </c>
      <c r="X36" s="1812"/>
      <c r="Y36" s="3272"/>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2"/>
      <c r="Q37" s="1809" t="str">
        <f t="shared" si="11"/>
        <v>内部装修状况</v>
      </c>
      <c r="R37" s="774" t="s">
        <v>17</v>
      </c>
      <c r="S37" s="775">
        <f t="shared" si="12"/>
        <v>100</v>
      </c>
      <c r="T37" s="774" t="s">
        <v>17</v>
      </c>
      <c r="U37" s="775">
        <f t="shared" si="13"/>
        <v>100</v>
      </c>
      <c r="V37" s="774" t="s">
        <v>17</v>
      </c>
      <c r="W37" s="775">
        <f t="shared" si="14"/>
        <v>100</v>
      </c>
      <c r="X37" s="1812"/>
      <c r="Y37" s="327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2"/>
      <c r="Q39" s="1809">
        <f t="shared" si="11"/>
        <v>111</v>
      </c>
      <c r="R39" s="774" t="s">
        <v>17</v>
      </c>
      <c r="S39" s="775">
        <f t="shared" si="12"/>
        <v>100</v>
      </c>
      <c r="T39" s="774" t="s">
        <v>17</v>
      </c>
      <c r="U39" s="775">
        <f t="shared" si="13"/>
        <v>100</v>
      </c>
      <c r="V39" s="774" t="s">
        <v>17</v>
      </c>
      <c r="W39" s="775">
        <f t="shared" si="14"/>
        <v>100</v>
      </c>
      <c r="X39" s="1812"/>
      <c r="Y39" s="3272"/>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3"/>
      <c r="Q40" s="1809">
        <f t="shared" si="11"/>
        <v>111</v>
      </c>
      <c r="R40" s="774" t="s">
        <v>17</v>
      </c>
      <c r="S40" s="775">
        <f t="shared" si="12"/>
        <v>100</v>
      </c>
      <c r="T40" s="774" t="s">
        <v>17</v>
      </c>
      <c r="U40" s="775">
        <f t="shared" si="13"/>
        <v>100</v>
      </c>
      <c r="V40" s="774" t="s">
        <v>17</v>
      </c>
      <c r="W40" s="775">
        <f t="shared" si="14"/>
        <v>100</v>
      </c>
      <c r="X40" s="1812"/>
      <c r="Y40" s="3273"/>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65" t="str">
        <f>A41</f>
        <v>成交单价（元/平方米）</v>
      </c>
      <c r="Q41" s="3265"/>
      <c r="R41" s="3266">
        <f>E41</f>
        <v>0</v>
      </c>
      <c r="S41" s="3266"/>
      <c r="T41" s="3266">
        <f>G41</f>
        <v>0</v>
      </c>
      <c r="U41" s="3266"/>
      <c r="V41" s="3266">
        <f>I41</f>
        <v>0</v>
      </c>
      <c r="W41" s="3266"/>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0"/>
      <c r="M6" s="1131"/>
      <c r="N6" s="1131"/>
      <c r="O6" s="1131"/>
      <c r="P6" s="3256"/>
      <c r="Q6" s="3257"/>
      <c r="R6" s="3237"/>
      <c r="S6" s="3238"/>
      <c r="T6" s="3258"/>
      <c r="U6" s="3259"/>
      <c r="V6" s="3260"/>
      <c r="W6" s="3260"/>
      <c r="X6" s="1812"/>
      <c r="Y6" s="3258"/>
      <c r="Z6" s="3259"/>
      <c r="AA6" s="3232"/>
      <c r="AB6" s="3232"/>
      <c r="AC6" s="3232"/>
    </row>
    <row r="7" spans="1:29" s="117" customFormat="1" ht="15.7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3" t="s">
        <v>2550</v>
      </c>
      <c r="Q7" s="3261"/>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5" t="s">
        <v>2556</v>
      </c>
      <c r="Q9" s="1794" t="str">
        <f t="shared" ref="Q9:Q14" si="6">B9</f>
        <v>用途</v>
      </c>
      <c r="R9" s="770" t="s">
        <v>17</v>
      </c>
      <c r="S9" s="771">
        <f t="shared" si="0"/>
        <v>100</v>
      </c>
      <c r="T9" s="770" t="s">
        <v>17</v>
      </c>
      <c r="U9" s="771">
        <f t="shared" si="1"/>
        <v>100</v>
      </c>
      <c r="V9" s="770" t="s">
        <v>17</v>
      </c>
      <c r="W9" s="771">
        <f t="shared" si="2"/>
        <v>100</v>
      </c>
      <c r="X9" s="772"/>
      <c r="Y9" s="306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5"/>
      <c r="Q11" s="1794">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7" t="s">
        <v>2561</v>
      </c>
      <c r="Q14" s="1809" t="str">
        <f t="shared" si="6"/>
        <v>交通便捷度</v>
      </c>
      <c r="R14" s="774" t="s">
        <v>17</v>
      </c>
      <c r="S14" s="775">
        <f t="shared" si="0"/>
        <v>100</v>
      </c>
      <c r="T14" s="774" t="s">
        <v>17</v>
      </c>
      <c r="U14" s="775">
        <f t="shared" si="1"/>
        <v>100</v>
      </c>
      <c r="V14" s="774" t="s">
        <v>17</v>
      </c>
      <c r="W14" s="775">
        <f t="shared" si="2"/>
        <v>100</v>
      </c>
      <c r="X14" s="1812"/>
      <c r="Y14" s="3267"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8"/>
      <c r="Q15" s="1809"/>
      <c r="R15" s="774"/>
      <c r="S15" s="775"/>
      <c r="T15" s="774"/>
      <c r="U15" s="775"/>
      <c r="V15" s="774"/>
      <c r="W15" s="775"/>
      <c r="X15" s="1812"/>
      <c r="Y15" s="3268"/>
      <c r="Z15" s="1813"/>
      <c r="AA15" s="1810">
        <v>1</v>
      </c>
      <c r="AB15" s="1810">
        <v>1</v>
      </c>
      <c r="AC15" s="1810">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8"/>
      <c r="Q16" s="1809" t="str">
        <f>B16</f>
        <v>公共配套设施</v>
      </c>
      <c r="R16" s="774" t="s">
        <v>17</v>
      </c>
      <c r="S16" s="775">
        <f>F16</f>
        <v>100</v>
      </c>
      <c r="T16" s="774" t="s">
        <v>17</v>
      </c>
      <c r="U16" s="775">
        <f>H16</f>
        <v>100</v>
      </c>
      <c r="V16" s="774" t="s">
        <v>17</v>
      </c>
      <c r="W16" s="775">
        <f>J16</f>
        <v>100</v>
      </c>
      <c r="X16" s="1812"/>
      <c r="Y16" s="3268"/>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68"/>
      <c r="Q17" s="1809"/>
      <c r="R17" s="774"/>
      <c r="S17" s="775"/>
      <c r="T17" s="774"/>
      <c r="U17" s="775"/>
      <c r="V17" s="774"/>
      <c r="W17" s="775"/>
      <c r="X17" s="1812"/>
      <c r="Y17" s="3268"/>
      <c r="Z17" s="1813"/>
      <c r="AA17" s="1810">
        <v>1</v>
      </c>
      <c r="AB17" s="1810">
        <v>1</v>
      </c>
      <c r="AC17" s="1810">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8"/>
      <c r="Q18" s="1809" t="str">
        <f>B18</f>
        <v>基础设施水平</v>
      </c>
      <c r="R18" s="774" t="s">
        <v>17</v>
      </c>
      <c r="S18" s="775">
        <f>F18</f>
        <v>100</v>
      </c>
      <c r="T18" s="774" t="s">
        <v>17</v>
      </c>
      <c r="U18" s="775">
        <f>H18</f>
        <v>100</v>
      </c>
      <c r="V18" s="774" t="s">
        <v>17</v>
      </c>
      <c r="W18" s="775">
        <f>J18</f>
        <v>100</v>
      </c>
      <c r="X18" s="1812"/>
      <c r="Y18" s="3268"/>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68"/>
      <c r="Q19" s="1809"/>
      <c r="R19" s="774"/>
      <c r="S19" s="775"/>
      <c r="T19" s="774"/>
      <c r="U19" s="775"/>
      <c r="V19" s="774"/>
      <c r="W19" s="775"/>
      <c r="X19" s="1812"/>
      <c r="Y19" s="3268"/>
      <c r="Z19" s="1813"/>
      <c r="AA19" s="1810">
        <v>1</v>
      </c>
      <c r="AB19" s="1810">
        <v>1</v>
      </c>
      <c r="AC19" s="1810">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8"/>
      <c r="Q20" s="1809" t="str">
        <f>B20</f>
        <v>自然及人文环境</v>
      </c>
      <c r="R20" s="774" t="s">
        <v>17</v>
      </c>
      <c r="S20" s="775">
        <f>F20</f>
        <v>100</v>
      </c>
      <c r="T20" s="774" t="s">
        <v>17</v>
      </c>
      <c r="U20" s="775">
        <f>H20</f>
        <v>100</v>
      </c>
      <c r="V20" s="774" t="s">
        <v>17</v>
      </c>
      <c r="W20" s="775">
        <f>J20</f>
        <v>100</v>
      </c>
      <c r="X20" s="1812"/>
      <c r="Y20" s="326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8"/>
      <c r="Q21" s="1809"/>
      <c r="R21" s="774"/>
      <c r="S21" s="775"/>
      <c r="T21" s="774"/>
      <c r="U21" s="775"/>
      <c r="V21" s="774"/>
      <c r="W21" s="775"/>
      <c r="X21" s="1812"/>
      <c r="Y21" s="3268"/>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8"/>
      <c r="Q22" s="1809" t="str">
        <f>B22</f>
        <v>楼层</v>
      </c>
      <c r="R22" s="774" t="s">
        <v>17</v>
      </c>
      <c r="S22" s="775">
        <f>F22</f>
        <v>100</v>
      </c>
      <c r="T22" s="774" t="s">
        <v>17</v>
      </c>
      <c r="U22" s="775">
        <f>H22</f>
        <v>100</v>
      </c>
      <c r="V22" s="774" t="s">
        <v>17</v>
      </c>
      <c r="W22" s="775">
        <f>J22</f>
        <v>100</v>
      </c>
      <c r="X22" s="1812"/>
      <c r="Y22" s="326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8"/>
      <c r="Q23" s="1809">
        <f>B23</f>
        <v>111</v>
      </c>
      <c r="R23" s="774" t="s">
        <v>17</v>
      </c>
      <c r="S23" s="775">
        <f>F23</f>
        <v>100</v>
      </c>
      <c r="T23" s="774" t="s">
        <v>17</v>
      </c>
      <c r="U23" s="775">
        <f>H23</f>
        <v>100</v>
      </c>
      <c r="V23" s="774" t="s">
        <v>17</v>
      </c>
      <c r="W23" s="775">
        <f>J23</f>
        <v>100</v>
      </c>
      <c r="X23" s="1812"/>
      <c r="Y23" s="326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8"/>
      <c r="Q24" s="1809">
        <f t="shared" ref="Q24:Q36" si="11">B24</f>
        <v>111</v>
      </c>
      <c r="R24" s="774" t="s">
        <v>17</v>
      </c>
      <c r="S24" s="775">
        <f>F24</f>
        <v>100</v>
      </c>
      <c r="T24" s="774" t="s">
        <v>17</v>
      </c>
      <c r="U24" s="775">
        <f>H24</f>
        <v>100</v>
      </c>
      <c r="V24" s="774" t="s">
        <v>17</v>
      </c>
      <c r="W24" s="775">
        <f>J24</f>
        <v>100</v>
      </c>
      <c r="X24" s="1812"/>
      <c r="Y24" s="326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8"/>
      <c r="Q25" s="1794">
        <f t="shared" si="11"/>
        <v>111</v>
      </c>
      <c r="R25" s="770" t="s">
        <v>17</v>
      </c>
      <c r="S25" s="771">
        <f>F25</f>
        <v>100</v>
      </c>
      <c r="T25" s="770" t="s">
        <v>17</v>
      </c>
      <c r="U25" s="771">
        <f>H25</f>
        <v>100</v>
      </c>
      <c r="V25" s="770" t="s">
        <v>17</v>
      </c>
      <c r="W25" s="771">
        <f>J25</f>
        <v>100</v>
      </c>
      <c r="X25" s="772"/>
      <c r="Y25" s="3268"/>
      <c r="Z25" s="55">
        <f>Q25</f>
        <v>111</v>
      </c>
      <c r="AA25" s="1810">
        <f>D25/F25</f>
        <v>1</v>
      </c>
      <c r="AB25" s="1810">
        <f>D25/H25</f>
        <v>1</v>
      </c>
      <c r="AC25" s="1810">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3"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2"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2"/>
      <c r="Q28" s="1809" t="str">
        <f t="shared" si="11"/>
        <v>公共部分装修</v>
      </c>
      <c r="R28" s="774" t="s">
        <v>17</v>
      </c>
      <c r="S28" s="775">
        <f t="shared" si="12"/>
        <v>100</v>
      </c>
      <c r="T28" s="774" t="s">
        <v>17</v>
      </c>
      <c r="U28" s="775">
        <f t="shared" si="13"/>
        <v>100</v>
      </c>
      <c r="V28" s="774" t="s">
        <v>17</v>
      </c>
      <c r="W28" s="775">
        <f t="shared" si="14"/>
        <v>100</v>
      </c>
      <c r="X28" s="1812"/>
      <c r="Y28" s="3272"/>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2"/>
      <c r="Q29" s="1809" t="str">
        <f t="shared" si="11"/>
        <v>成新率</v>
      </c>
      <c r="R29" s="774" t="s">
        <v>17</v>
      </c>
      <c r="S29" s="775" t="e">
        <f t="shared" si="12"/>
        <v>#N/A</v>
      </c>
      <c r="T29" s="774" t="s">
        <v>17</v>
      </c>
      <c r="U29" s="775" t="e">
        <f t="shared" si="13"/>
        <v>#N/A</v>
      </c>
      <c r="V29" s="774" t="s">
        <v>17</v>
      </c>
      <c r="W29" s="775" t="e">
        <f t="shared" si="14"/>
        <v>#N/A</v>
      </c>
      <c r="X29" s="1812"/>
      <c r="Y29" s="3272"/>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2"/>
      <c r="Q30" s="1809" t="str">
        <f t="shared" si="11"/>
        <v>物业等级</v>
      </c>
      <c r="R30" s="774" t="s">
        <v>17</v>
      </c>
      <c r="S30" s="775">
        <f t="shared" si="12"/>
        <v>100</v>
      </c>
      <c r="T30" s="774" t="s">
        <v>17</v>
      </c>
      <c r="U30" s="775">
        <f t="shared" si="13"/>
        <v>100</v>
      </c>
      <c r="V30" s="774" t="s">
        <v>17</v>
      </c>
      <c r="W30" s="775">
        <f t="shared" si="14"/>
        <v>100</v>
      </c>
      <c r="X30" s="1812"/>
      <c r="Y30" s="3272"/>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2"/>
      <c r="Q31" s="1794"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2" t="s">
        <v>2566</v>
      </c>
      <c r="Q32" s="1809" t="str">
        <f t="shared" si="11"/>
        <v>车位类型</v>
      </c>
      <c r="R32" s="774" t="s">
        <v>17</v>
      </c>
      <c r="S32" s="775">
        <f t="shared" si="12"/>
        <v>100</v>
      </c>
      <c r="T32" s="774" t="s">
        <v>17</v>
      </c>
      <c r="U32" s="775">
        <f t="shared" si="13"/>
        <v>100</v>
      </c>
      <c r="V32" s="774" t="s">
        <v>17</v>
      </c>
      <c r="W32" s="775">
        <f t="shared" si="14"/>
        <v>100</v>
      </c>
      <c r="X32" s="1812"/>
      <c r="Y32" s="3272"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2"/>
      <c r="Q33" s="1809" t="str">
        <f t="shared" si="11"/>
        <v>是否直接入户</v>
      </c>
      <c r="R33" s="774" t="s">
        <v>17</v>
      </c>
      <c r="S33" s="775">
        <f t="shared" si="12"/>
        <v>100</v>
      </c>
      <c r="T33" s="774" t="s">
        <v>17</v>
      </c>
      <c r="U33" s="775">
        <f t="shared" si="13"/>
        <v>100</v>
      </c>
      <c r="V33" s="774" t="s">
        <v>17</v>
      </c>
      <c r="W33" s="775">
        <f t="shared" si="14"/>
        <v>100</v>
      </c>
      <c r="X33" s="1812"/>
      <c r="Y33" s="327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2"/>
      <c r="Q34" s="1809">
        <f t="shared" si="11"/>
        <v>111</v>
      </c>
      <c r="R34" s="774" t="s">
        <v>17</v>
      </c>
      <c r="S34" s="775">
        <f t="shared" si="12"/>
        <v>100</v>
      </c>
      <c r="T34" s="774" t="s">
        <v>17</v>
      </c>
      <c r="U34" s="775">
        <f t="shared" si="13"/>
        <v>100</v>
      </c>
      <c r="V34" s="774" t="s">
        <v>17</v>
      </c>
      <c r="W34" s="775">
        <f t="shared" si="14"/>
        <v>100</v>
      </c>
      <c r="X34" s="1812"/>
      <c r="Y34" s="327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2"/>
      <c r="Q36" s="1809">
        <f t="shared" si="11"/>
        <v>111</v>
      </c>
      <c r="R36" s="774" t="s">
        <v>17</v>
      </c>
      <c r="S36" s="775">
        <f t="shared" si="12"/>
        <v>100</v>
      </c>
      <c r="T36" s="774" t="s">
        <v>17</v>
      </c>
      <c r="U36" s="775">
        <f t="shared" si="13"/>
        <v>100</v>
      </c>
      <c r="V36" s="774" t="s">
        <v>17</v>
      </c>
      <c r="W36" s="775">
        <f t="shared" si="14"/>
        <v>100</v>
      </c>
      <c r="X36" s="1812"/>
      <c r="Y36" s="3272"/>
      <c r="Z36" s="1813">
        <f t="shared" si="15"/>
        <v>111</v>
      </c>
      <c r="AA36" s="1810">
        <f t="shared" si="3"/>
        <v>1</v>
      </c>
      <c r="AB36" s="1810">
        <f t="shared" si="4"/>
        <v>1</v>
      </c>
      <c r="AC36" s="1810">
        <f t="shared" si="5"/>
        <v>1</v>
      </c>
    </row>
    <row r="37" spans="1:29" ht="15">
      <c r="A37" s="479" t="s">
        <v>2721</v>
      </c>
      <c r="B37" s="2695" t="s">
        <v>2722</v>
      </c>
      <c r="C37" s="1406" t="s">
        <v>1</v>
      </c>
      <c r="D37" s="1407"/>
      <c r="E37" s="1408"/>
      <c r="F37" s="1409"/>
      <c r="G37" s="1410"/>
      <c r="H37" s="1411"/>
      <c r="I37" s="1408"/>
      <c r="J37" s="1411"/>
      <c r="K37" s="619"/>
      <c r="L37" s="1143"/>
      <c r="M37" s="1144"/>
      <c r="N37" s="1131"/>
      <c r="O37" s="1144"/>
      <c r="P37" s="3265" t="str">
        <f>A37</f>
        <v>成交单价</v>
      </c>
      <c r="Q37" s="3265"/>
      <c r="R37" s="3266">
        <f>E37</f>
        <v>0</v>
      </c>
      <c r="S37" s="3266"/>
      <c r="T37" s="3266">
        <f>G37</f>
        <v>0</v>
      </c>
      <c r="U37" s="3266"/>
      <c r="V37" s="3266">
        <f>I37</f>
        <v>0</v>
      </c>
      <c r="W37" s="3266"/>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31"/>
      <c r="AC5" s="3231"/>
    </row>
    <row r="6" spans="1:29" ht="15.75" thickBot="1">
      <c r="A6" s="406"/>
      <c r="B6" s="407"/>
      <c r="C6" s="3243" t="s">
        <v>2547</v>
      </c>
      <c r="D6" s="3244"/>
      <c r="E6" s="3245" t="s">
        <v>2547</v>
      </c>
      <c r="F6" s="3246"/>
      <c r="G6" s="3243" t="s">
        <v>2547</v>
      </c>
      <c r="H6" s="3244"/>
      <c r="I6" s="3243" t="s">
        <v>2547</v>
      </c>
      <c r="J6" s="3244"/>
      <c r="K6" s="610" t="s">
        <v>2548</v>
      </c>
      <c r="L6" s="1130"/>
      <c r="M6" s="1131"/>
      <c r="N6" s="1131"/>
      <c r="O6" s="1131"/>
      <c r="P6" s="3256"/>
      <c r="Q6" s="3257"/>
      <c r="R6" s="3237"/>
      <c r="S6" s="3238"/>
      <c r="T6" s="3258"/>
      <c r="U6" s="3259"/>
      <c r="V6" s="3260"/>
      <c r="W6" s="3260"/>
      <c r="X6" s="1812"/>
      <c r="Y6" s="3258"/>
      <c r="Z6" s="3259"/>
      <c r="AA6" s="3232"/>
      <c r="AB6" s="3232"/>
      <c r="AC6" s="3232"/>
    </row>
    <row r="7" spans="1:29" s="117" customFormat="1" ht="15.7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3" t="s">
        <v>2550</v>
      </c>
      <c r="Q7" s="3261"/>
      <c r="R7" s="770" t="s">
        <v>17</v>
      </c>
      <c r="S7" s="771">
        <f t="shared" ref="S7:S14" si="0">F7</f>
        <v>0</v>
      </c>
      <c r="T7" s="770" t="s">
        <v>17</v>
      </c>
      <c r="U7" s="771">
        <f t="shared" ref="U7:U14" si="1">H7</f>
        <v>0</v>
      </c>
      <c r="V7" s="770" t="s">
        <v>17</v>
      </c>
      <c r="W7" s="771">
        <f t="shared" ref="W7:W14" si="2">J7</f>
        <v>0</v>
      </c>
      <c r="X7" s="772"/>
      <c r="Y7" s="3233" t="s">
        <v>2550</v>
      </c>
      <c r="Z7" s="323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5" t="s">
        <v>2556</v>
      </c>
      <c r="Q9" s="1794" t="str">
        <f t="shared" ref="Q9:Q14" si="6">B9</f>
        <v>用途</v>
      </c>
      <c r="R9" s="770" t="s">
        <v>17</v>
      </c>
      <c r="S9" s="771">
        <f t="shared" si="0"/>
        <v>100</v>
      </c>
      <c r="T9" s="770" t="s">
        <v>17</v>
      </c>
      <c r="U9" s="771">
        <f t="shared" si="1"/>
        <v>100</v>
      </c>
      <c r="V9" s="770" t="s">
        <v>17</v>
      </c>
      <c r="W9" s="771">
        <f t="shared" si="2"/>
        <v>100</v>
      </c>
      <c r="X9" s="772"/>
      <c r="Y9" s="306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5"/>
      <c r="Q10" s="1794"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5"/>
      <c r="Q11" s="1794">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7" t="s">
        <v>2561</v>
      </c>
      <c r="Q14" s="1809" t="str">
        <f t="shared" si="6"/>
        <v>交通便捷度</v>
      </c>
      <c r="R14" s="774" t="s">
        <v>17</v>
      </c>
      <c r="S14" s="775">
        <f t="shared" si="0"/>
        <v>100</v>
      </c>
      <c r="T14" s="774" t="s">
        <v>17</v>
      </c>
      <c r="U14" s="775">
        <f t="shared" si="1"/>
        <v>100</v>
      </c>
      <c r="V14" s="774" t="s">
        <v>17</v>
      </c>
      <c r="W14" s="775">
        <f t="shared" si="2"/>
        <v>100</v>
      </c>
      <c r="X14" s="1812"/>
      <c r="Y14" s="3267"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8"/>
      <c r="Q15" s="1809"/>
      <c r="R15" s="774"/>
      <c r="S15" s="775"/>
      <c r="T15" s="774"/>
      <c r="U15" s="775"/>
      <c r="V15" s="774"/>
      <c r="W15" s="775"/>
      <c r="X15" s="1812"/>
      <c r="Y15" s="3268"/>
      <c r="Z15" s="1813"/>
      <c r="AA15" s="1810">
        <v>1</v>
      </c>
      <c r="AB15" s="1810">
        <v>1</v>
      </c>
      <c r="AC15" s="1810">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8"/>
      <c r="Q16" s="1809" t="str">
        <f>B16</f>
        <v>公共配套设施</v>
      </c>
      <c r="R16" s="774" t="s">
        <v>17</v>
      </c>
      <c r="S16" s="775">
        <f>F16</f>
        <v>100</v>
      </c>
      <c r="T16" s="774" t="s">
        <v>17</v>
      </c>
      <c r="U16" s="775">
        <f>H16</f>
        <v>100</v>
      </c>
      <c r="V16" s="774" t="s">
        <v>17</v>
      </c>
      <c r="W16" s="775">
        <f>J16</f>
        <v>100</v>
      </c>
      <c r="X16" s="1812"/>
      <c r="Y16" s="3268"/>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68"/>
      <c r="Q17" s="1809"/>
      <c r="R17" s="774"/>
      <c r="S17" s="775"/>
      <c r="T17" s="774"/>
      <c r="U17" s="775"/>
      <c r="V17" s="774"/>
      <c r="W17" s="775"/>
      <c r="X17" s="1812"/>
      <c r="Y17" s="3268"/>
      <c r="Z17" s="1813"/>
      <c r="AA17" s="1810">
        <v>1</v>
      </c>
      <c r="AB17" s="1810">
        <v>1</v>
      </c>
      <c r="AC17" s="1810">
        <v>1</v>
      </c>
    </row>
    <row r="18" spans="1:29" ht="28.5">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8"/>
      <c r="Q18" s="1809" t="str">
        <f>B18</f>
        <v>基础设施水平</v>
      </c>
      <c r="R18" s="774" t="s">
        <v>17</v>
      </c>
      <c r="S18" s="775">
        <f>F18</f>
        <v>100</v>
      </c>
      <c r="T18" s="774" t="s">
        <v>17</v>
      </c>
      <c r="U18" s="775">
        <f>H18</f>
        <v>100</v>
      </c>
      <c r="V18" s="774" t="s">
        <v>17</v>
      </c>
      <c r="W18" s="775">
        <f>J18</f>
        <v>100</v>
      </c>
      <c r="X18" s="1812"/>
      <c r="Y18" s="3268"/>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68"/>
      <c r="Q19" s="1809"/>
      <c r="R19" s="774"/>
      <c r="S19" s="775"/>
      <c r="T19" s="774"/>
      <c r="U19" s="775"/>
      <c r="V19" s="774"/>
      <c r="W19" s="775"/>
      <c r="X19" s="1812"/>
      <c r="Y19" s="3268"/>
      <c r="Z19" s="1813"/>
      <c r="AA19" s="1810">
        <v>1</v>
      </c>
      <c r="AB19" s="1810">
        <v>1</v>
      </c>
      <c r="AC19" s="1810">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8"/>
      <c r="Q20" s="1809" t="str">
        <f>B20</f>
        <v>自然及人文环境</v>
      </c>
      <c r="R20" s="774" t="s">
        <v>17</v>
      </c>
      <c r="S20" s="775">
        <f>F20</f>
        <v>100</v>
      </c>
      <c r="T20" s="774" t="s">
        <v>17</v>
      </c>
      <c r="U20" s="775">
        <f>H20</f>
        <v>100</v>
      </c>
      <c r="V20" s="774" t="s">
        <v>17</v>
      </c>
      <c r="W20" s="775">
        <f>J20</f>
        <v>100</v>
      </c>
      <c r="X20" s="1812"/>
      <c r="Y20" s="326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8"/>
      <c r="Q21" s="1809"/>
      <c r="R21" s="774"/>
      <c r="S21" s="775"/>
      <c r="T21" s="774"/>
      <c r="U21" s="775"/>
      <c r="V21" s="774"/>
      <c r="W21" s="775"/>
      <c r="X21" s="1812"/>
      <c r="Y21" s="3268"/>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8"/>
      <c r="Q22" s="1809" t="str">
        <f>B22</f>
        <v>楼层</v>
      </c>
      <c r="R22" s="774" t="s">
        <v>17</v>
      </c>
      <c r="S22" s="775">
        <f>F22</f>
        <v>100</v>
      </c>
      <c r="T22" s="774" t="s">
        <v>17</v>
      </c>
      <c r="U22" s="775">
        <f>H22</f>
        <v>100</v>
      </c>
      <c r="V22" s="774" t="s">
        <v>17</v>
      </c>
      <c r="W22" s="775">
        <f>J22</f>
        <v>100</v>
      </c>
      <c r="X22" s="1812"/>
      <c r="Y22" s="3268"/>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8"/>
      <c r="Q23" s="1809">
        <f>B23</f>
        <v>111</v>
      </c>
      <c r="R23" s="774" t="s">
        <v>17</v>
      </c>
      <c r="S23" s="775">
        <f>F23</f>
        <v>100</v>
      </c>
      <c r="T23" s="774" t="s">
        <v>17</v>
      </c>
      <c r="U23" s="775">
        <f>H23</f>
        <v>100</v>
      </c>
      <c r="V23" s="774" t="s">
        <v>17</v>
      </c>
      <c r="W23" s="775">
        <f>J23</f>
        <v>100</v>
      </c>
      <c r="X23" s="1812"/>
      <c r="Y23" s="3268"/>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8"/>
      <c r="Q24" s="1809">
        <f t="shared" ref="Q24:Q34" si="11">B24</f>
        <v>111</v>
      </c>
      <c r="R24" s="774" t="s">
        <v>17</v>
      </c>
      <c r="S24" s="775">
        <f>F24</f>
        <v>100</v>
      </c>
      <c r="T24" s="774" t="s">
        <v>17</v>
      </c>
      <c r="U24" s="775">
        <f>H24</f>
        <v>100</v>
      </c>
      <c r="V24" s="774" t="s">
        <v>17</v>
      </c>
      <c r="W24" s="775">
        <f>J24</f>
        <v>100</v>
      </c>
      <c r="X24" s="1812"/>
      <c r="Y24" s="3268"/>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68"/>
      <c r="Q25" s="1794">
        <f t="shared" si="11"/>
        <v>111</v>
      </c>
      <c r="R25" s="770" t="s">
        <v>17</v>
      </c>
      <c r="S25" s="771">
        <f>F25</f>
        <v>100</v>
      </c>
      <c r="T25" s="770" t="s">
        <v>17</v>
      </c>
      <c r="U25" s="771">
        <f>H25</f>
        <v>100</v>
      </c>
      <c r="V25" s="770" t="s">
        <v>17</v>
      </c>
      <c r="W25" s="771">
        <f>J25</f>
        <v>100</v>
      </c>
      <c r="X25" s="772"/>
      <c r="Y25" s="3268"/>
      <c r="Z25" s="55">
        <f>Q25</f>
        <v>111</v>
      </c>
      <c r="AA25" s="1810">
        <f>D25/F25</f>
        <v>1</v>
      </c>
      <c r="AB25" s="1810">
        <f>D25/H25</f>
        <v>1</v>
      </c>
      <c r="AC25" s="1810">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3"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2"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2"/>
      <c r="Q28" s="1809" t="str">
        <f t="shared" si="11"/>
        <v>物业等级</v>
      </c>
      <c r="R28" s="774" t="s">
        <v>17</v>
      </c>
      <c r="S28" s="775">
        <f t="shared" si="12"/>
        <v>100</v>
      </c>
      <c r="T28" s="774" t="s">
        <v>17</v>
      </c>
      <c r="U28" s="775">
        <f t="shared" si="13"/>
        <v>100</v>
      </c>
      <c r="V28" s="774" t="s">
        <v>17</v>
      </c>
      <c r="W28" s="775">
        <f t="shared" si="14"/>
        <v>100</v>
      </c>
      <c r="X28" s="1812"/>
      <c r="Y28" s="3272"/>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2"/>
      <c r="Q29" s="1809" t="str">
        <f t="shared" si="11"/>
        <v>有无电梯</v>
      </c>
      <c r="R29" s="774" t="s">
        <v>17</v>
      </c>
      <c r="S29" s="775">
        <f t="shared" si="12"/>
        <v>100</v>
      </c>
      <c r="T29" s="774" t="s">
        <v>17</v>
      </c>
      <c r="U29" s="775">
        <f t="shared" si="13"/>
        <v>100</v>
      </c>
      <c r="V29" s="774" t="s">
        <v>17</v>
      </c>
      <c r="W29" s="775">
        <f t="shared" si="14"/>
        <v>100</v>
      </c>
      <c r="X29" s="1812"/>
      <c r="Y29" s="3272"/>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2"/>
      <c r="Q30" s="1809" t="str">
        <f t="shared" si="11"/>
        <v>建筑面积</v>
      </c>
      <c r="R30" s="774" t="s">
        <v>17</v>
      </c>
      <c r="S30" s="775" t="e">
        <f t="shared" si="12"/>
        <v>#N/A</v>
      </c>
      <c r="T30" s="774" t="s">
        <v>17</v>
      </c>
      <c r="U30" s="775" t="e">
        <f t="shared" si="13"/>
        <v>#N/A</v>
      </c>
      <c r="V30" s="774" t="s">
        <v>17</v>
      </c>
      <c r="W30" s="775" t="e">
        <f t="shared" si="14"/>
        <v>#N/A</v>
      </c>
      <c r="X30" s="1812"/>
      <c r="Y30" s="3272"/>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2"/>
      <c r="Q31" s="1794"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2" t="s">
        <v>2566</v>
      </c>
      <c r="Q32" s="1809">
        <f t="shared" si="11"/>
        <v>111</v>
      </c>
      <c r="R32" s="774" t="s">
        <v>17</v>
      </c>
      <c r="S32" s="775">
        <f t="shared" si="12"/>
        <v>100</v>
      </c>
      <c r="T32" s="774" t="s">
        <v>17</v>
      </c>
      <c r="U32" s="775">
        <f t="shared" si="13"/>
        <v>100</v>
      </c>
      <c r="V32" s="774" t="s">
        <v>17</v>
      </c>
      <c r="W32" s="775">
        <f t="shared" si="14"/>
        <v>100</v>
      </c>
      <c r="X32" s="1812"/>
      <c r="Y32" s="3272"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2"/>
      <c r="Q33" s="1809">
        <f t="shared" si="11"/>
        <v>111</v>
      </c>
      <c r="R33" s="774" t="s">
        <v>17</v>
      </c>
      <c r="S33" s="775">
        <f t="shared" si="12"/>
        <v>100</v>
      </c>
      <c r="T33" s="774" t="s">
        <v>17</v>
      </c>
      <c r="U33" s="775">
        <f t="shared" si="13"/>
        <v>100</v>
      </c>
      <c r="V33" s="774" t="s">
        <v>17</v>
      </c>
      <c r="W33" s="775">
        <f t="shared" si="14"/>
        <v>100</v>
      </c>
      <c r="X33" s="1812"/>
      <c r="Y33" s="3272"/>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2"/>
      <c r="Q34" s="1809">
        <f t="shared" si="11"/>
        <v>111</v>
      </c>
      <c r="R34" s="774" t="s">
        <v>17</v>
      </c>
      <c r="S34" s="775">
        <f t="shared" si="12"/>
        <v>100</v>
      </c>
      <c r="T34" s="774" t="s">
        <v>17</v>
      </c>
      <c r="U34" s="775">
        <f t="shared" si="13"/>
        <v>100</v>
      </c>
      <c r="V34" s="774" t="s">
        <v>17</v>
      </c>
      <c r="W34" s="775">
        <f t="shared" si="14"/>
        <v>100</v>
      </c>
      <c r="X34" s="1812"/>
      <c r="Y34" s="3272"/>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65" t="str">
        <f>A35</f>
        <v>成交单价（元/平方米）</v>
      </c>
      <c r="Q35" s="3265"/>
      <c r="R35" s="3266">
        <f>E35</f>
        <v>0</v>
      </c>
      <c r="S35" s="3266"/>
      <c r="T35" s="3266">
        <f>G35</f>
        <v>0</v>
      </c>
      <c r="U35" s="3266"/>
      <c r="V35" s="3266">
        <f>I35</f>
        <v>0</v>
      </c>
      <c r="W35" s="3266"/>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31" t="s">
        <v>2649</v>
      </c>
      <c r="AC4" s="3230" t="s">
        <v>2650</v>
      </c>
    </row>
    <row r="5" spans="1:30"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31"/>
      <c r="AC5" s="3231"/>
    </row>
    <row r="6" spans="1:30" ht="15.75" thickBot="1">
      <c r="A6" s="406"/>
      <c r="B6" s="407"/>
      <c r="C6" s="3243" t="s">
        <v>2547</v>
      </c>
      <c r="D6" s="3244"/>
      <c r="E6" s="3245" t="s">
        <v>2547</v>
      </c>
      <c r="F6" s="3246"/>
      <c r="G6" s="3243" t="s">
        <v>2547</v>
      </c>
      <c r="H6" s="3244"/>
      <c r="I6" s="3243" t="s">
        <v>2547</v>
      </c>
      <c r="J6" s="3244"/>
      <c r="K6" s="610" t="s">
        <v>2548</v>
      </c>
      <c r="L6" s="1130"/>
      <c r="M6" s="1131"/>
      <c r="N6" s="1131"/>
      <c r="O6" s="1131"/>
      <c r="P6" s="3256"/>
      <c r="Q6" s="3257"/>
      <c r="R6" s="3237"/>
      <c r="S6" s="3238"/>
      <c r="T6" s="3258"/>
      <c r="U6" s="3259"/>
      <c r="V6" s="3260"/>
      <c r="W6" s="3260"/>
      <c r="X6" s="1812"/>
      <c r="Y6" s="3258"/>
      <c r="Z6" s="3259"/>
      <c r="AA6" s="3232"/>
      <c r="AB6" s="3232"/>
      <c r="AC6" s="3232"/>
    </row>
    <row r="7" spans="1:30" s="117" customFormat="1" ht="15.7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5"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65"/>
      <c r="Q10" s="1794" t="str">
        <f t="shared" si="6"/>
        <v>土地使用年限（年）</v>
      </c>
      <c r="R10" s="770" t="s">
        <v>17</v>
      </c>
      <c r="S10" s="771">
        <f t="shared" si="0"/>
        <v>122</v>
      </c>
      <c r="T10" s="770" t="s">
        <v>17</v>
      </c>
      <c r="U10" s="771">
        <f t="shared" si="1"/>
        <v>122</v>
      </c>
      <c r="V10" s="770" t="s">
        <v>17</v>
      </c>
      <c r="W10" s="771">
        <f t="shared" si="2"/>
        <v>122</v>
      </c>
      <c r="X10" s="772"/>
      <c r="Y10" s="3064"/>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5"/>
      <c r="Q12" s="1794"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7" t="s">
        <v>2561</v>
      </c>
      <c r="Q15" s="1809" t="str">
        <f t="shared" si="6"/>
        <v>居住社区成熟度</v>
      </c>
      <c r="R15" s="774" t="s">
        <v>17</v>
      </c>
      <c r="S15" s="775">
        <f t="shared" si="0"/>
        <v>100</v>
      </c>
      <c r="T15" s="774" t="s">
        <v>17</v>
      </c>
      <c r="U15" s="775">
        <f t="shared" si="1"/>
        <v>100</v>
      </c>
      <c r="V15" s="774" t="s">
        <v>17</v>
      </c>
      <c r="W15" s="775">
        <f t="shared" si="2"/>
        <v>100</v>
      </c>
      <c r="X15" s="1812"/>
      <c r="Y15" s="3267"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68"/>
      <c r="Q16" s="1809"/>
      <c r="R16" s="774"/>
      <c r="S16" s="775"/>
      <c r="T16" s="774"/>
      <c r="U16" s="775"/>
      <c r="V16" s="774"/>
      <c r="W16" s="775"/>
      <c r="X16" s="1812"/>
      <c r="Y16" s="3268"/>
      <c r="Z16" s="1813"/>
      <c r="AA16" s="1810">
        <v>1</v>
      </c>
      <c r="AB16" s="1810">
        <v>1</v>
      </c>
      <c r="AC16" s="1810">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8"/>
      <c r="Q17" s="1809" t="str">
        <f>B17</f>
        <v>商业繁华度</v>
      </c>
      <c r="R17" s="774" t="s">
        <v>17</v>
      </c>
      <c r="S17" s="775">
        <f>F17</f>
        <v>100</v>
      </c>
      <c r="T17" s="774" t="s">
        <v>17</v>
      </c>
      <c r="U17" s="775">
        <f>H17</f>
        <v>100</v>
      </c>
      <c r="V17" s="774" t="s">
        <v>17</v>
      </c>
      <c r="W17" s="775">
        <f>J17</f>
        <v>100</v>
      </c>
      <c r="X17" s="1812"/>
      <c r="Y17" s="3268"/>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68"/>
      <c r="Q18" s="1809"/>
      <c r="R18" s="774"/>
      <c r="S18" s="775"/>
      <c r="T18" s="774"/>
      <c r="U18" s="775"/>
      <c r="V18" s="774"/>
      <c r="W18" s="775"/>
      <c r="X18" s="1812"/>
      <c r="Y18" s="3268"/>
      <c r="Z18" s="1813"/>
      <c r="AA18" s="1810">
        <v>1</v>
      </c>
      <c r="AB18" s="1810">
        <v>1</v>
      </c>
      <c r="AC18" s="1810">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8"/>
      <c r="Q19" s="1809" t="str">
        <f>B19</f>
        <v>办公集聚程度</v>
      </c>
      <c r="R19" s="774" t="s">
        <v>17</v>
      </c>
      <c r="S19" s="775">
        <f>F19</f>
        <v>100</v>
      </c>
      <c r="T19" s="774" t="s">
        <v>17</v>
      </c>
      <c r="U19" s="775">
        <f>H19</f>
        <v>100</v>
      </c>
      <c r="V19" s="774" t="s">
        <v>17</v>
      </c>
      <c r="W19" s="775">
        <f>J19</f>
        <v>100</v>
      </c>
      <c r="X19" s="1812"/>
      <c r="Y19" s="3268"/>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68"/>
      <c r="Q20" s="1809"/>
      <c r="R20" s="774"/>
      <c r="S20" s="775"/>
      <c r="T20" s="774"/>
      <c r="U20" s="775"/>
      <c r="V20" s="774"/>
      <c r="W20" s="775"/>
      <c r="X20" s="1812"/>
      <c r="Y20" s="3268"/>
      <c r="Z20" s="1813"/>
      <c r="AA20" s="1810">
        <v>1</v>
      </c>
      <c r="AB20" s="1810">
        <v>1</v>
      </c>
      <c r="AC20" s="1810">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8"/>
      <c r="Q21" s="1809" t="str">
        <f>B21</f>
        <v>交通便捷度</v>
      </c>
      <c r="R21" s="774" t="s">
        <v>17</v>
      </c>
      <c r="S21" s="775">
        <f>F21</f>
        <v>100</v>
      </c>
      <c r="T21" s="774" t="s">
        <v>17</v>
      </c>
      <c r="U21" s="775">
        <f>H21</f>
        <v>100</v>
      </c>
      <c r="V21" s="774" t="s">
        <v>17</v>
      </c>
      <c r="W21" s="775">
        <f>J21</f>
        <v>100</v>
      </c>
      <c r="X21" s="1812"/>
      <c r="Y21" s="3268"/>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68"/>
      <c r="Q22" s="1809"/>
      <c r="R22" s="774"/>
      <c r="S22" s="775"/>
      <c r="T22" s="774"/>
      <c r="U22" s="775"/>
      <c r="V22" s="774"/>
      <c r="W22" s="775"/>
      <c r="X22" s="1812"/>
      <c r="Y22" s="3268"/>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8"/>
      <c r="Q23" s="1809" t="str">
        <f t="shared" ref="Q23:Q37" si="8">B23</f>
        <v>区域土地利用方向</v>
      </c>
      <c r="R23" s="774" t="s">
        <v>17</v>
      </c>
      <c r="S23" s="775">
        <f>F23</f>
        <v>100</v>
      </c>
      <c r="T23" s="774" t="s">
        <v>17</v>
      </c>
      <c r="U23" s="775">
        <f>H23</f>
        <v>100</v>
      </c>
      <c r="V23" s="774" t="s">
        <v>17</v>
      </c>
      <c r="W23" s="775">
        <f>J23</f>
        <v>100</v>
      </c>
      <c r="X23" s="1812"/>
      <c r="Y23" s="3268"/>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68"/>
      <c r="Q24" s="1809"/>
      <c r="R24" s="774"/>
      <c r="S24" s="775"/>
      <c r="T24" s="774"/>
      <c r="U24" s="775"/>
      <c r="V24" s="774"/>
      <c r="W24" s="775"/>
      <c r="X24" s="1812"/>
      <c r="Y24" s="3268"/>
      <c r="Z24" s="1813"/>
      <c r="AA24" s="1810"/>
      <c r="AB24" s="1810"/>
      <c r="AC24" s="1810"/>
    </row>
    <row r="25" spans="1:29" ht="57">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8"/>
      <c r="Q25" s="1809" t="str">
        <f t="shared" si="8"/>
        <v>自然及人文环境状况</v>
      </c>
      <c r="R25" s="774" t="s">
        <v>17</v>
      </c>
      <c r="S25" s="775">
        <f>F25</f>
        <v>100</v>
      </c>
      <c r="T25" s="774" t="s">
        <v>17</v>
      </c>
      <c r="U25" s="775">
        <f>H25</f>
        <v>100</v>
      </c>
      <c r="V25" s="774" t="s">
        <v>17</v>
      </c>
      <c r="W25" s="775">
        <f>J25</f>
        <v>100</v>
      </c>
      <c r="X25" s="1812"/>
      <c r="Y25" s="3268"/>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68"/>
      <c r="Q26" s="1809"/>
      <c r="R26" s="774"/>
      <c r="S26" s="775"/>
      <c r="T26" s="774"/>
      <c r="U26" s="775"/>
      <c r="V26" s="774"/>
      <c r="W26" s="775"/>
      <c r="X26" s="1812"/>
      <c r="Y26" s="3268"/>
      <c r="Z26" s="1813"/>
      <c r="AA26" s="1810">
        <v>1</v>
      </c>
      <c r="AB26" s="1810">
        <v>1</v>
      </c>
      <c r="AC26" s="1810">
        <v>1</v>
      </c>
    </row>
    <row r="27" spans="1:29" s="117" customFormat="1" ht="42.75">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8"/>
      <c r="Q27" s="1794" t="str">
        <f t="shared" si="8"/>
        <v>公共配套设施</v>
      </c>
      <c r="R27" s="770" t="s">
        <v>17</v>
      </c>
      <c r="S27" s="771">
        <f>F27</f>
        <v>100</v>
      </c>
      <c r="T27" s="770" t="s">
        <v>17</v>
      </c>
      <c r="U27" s="771">
        <f>H27</f>
        <v>100</v>
      </c>
      <c r="V27" s="770" t="s">
        <v>17</v>
      </c>
      <c r="W27" s="771">
        <f>J27</f>
        <v>100</v>
      </c>
      <c r="X27" s="772"/>
      <c r="Y27" s="3268"/>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68"/>
      <c r="Q28" s="1794"/>
      <c r="R28" s="770"/>
      <c r="S28" s="771"/>
      <c r="T28" s="770"/>
      <c r="U28" s="771"/>
      <c r="V28" s="770"/>
      <c r="W28" s="771"/>
      <c r="X28" s="772"/>
      <c r="Y28" s="3268"/>
      <c r="Z28" s="55"/>
      <c r="AA28" s="1810">
        <v>1</v>
      </c>
      <c r="AB28" s="1810">
        <v>1</v>
      </c>
      <c r="AC28" s="1810">
        <v>1</v>
      </c>
    </row>
    <row r="29" spans="1:29" s="117" customFormat="1" ht="28.5">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8"/>
      <c r="Q29" s="1794"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68"/>
      <c r="Q30" s="1794"/>
      <c r="R30" s="770"/>
      <c r="S30" s="771"/>
      <c r="T30" s="770"/>
      <c r="U30" s="771"/>
      <c r="V30" s="770"/>
      <c r="W30" s="771"/>
      <c r="X30" s="772"/>
      <c r="Y30" s="3268"/>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8"/>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8"/>
      <c r="Q32" s="1809" t="str">
        <f t="shared" si="8"/>
        <v>毗邻道路的类型与等级</v>
      </c>
      <c r="R32" s="774" t="s">
        <v>17</v>
      </c>
      <c r="S32" s="775">
        <f t="shared" si="10"/>
        <v>100</v>
      </c>
      <c r="T32" s="774" t="s">
        <v>17</v>
      </c>
      <c r="U32" s="775">
        <f t="shared" si="11"/>
        <v>100</v>
      </c>
      <c r="V32" s="774" t="s">
        <v>17</v>
      </c>
      <c r="W32" s="775">
        <f t="shared" si="12"/>
        <v>100</v>
      </c>
      <c r="X32" s="1812"/>
      <c r="Y32" s="3268"/>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68"/>
      <c r="Q33" s="1809"/>
      <c r="R33" s="774"/>
      <c r="S33" s="775"/>
      <c r="T33" s="774"/>
      <c r="U33" s="775"/>
      <c r="V33" s="774"/>
      <c r="W33" s="775"/>
      <c r="X33" s="1812"/>
      <c r="Y33" s="3268"/>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8"/>
      <c r="Q34" s="1809" t="str">
        <f t="shared" si="8"/>
        <v>土地级别</v>
      </c>
      <c r="R34" s="774" t="s">
        <v>17</v>
      </c>
      <c r="S34" s="775">
        <f t="shared" si="10"/>
        <v>100</v>
      </c>
      <c r="T34" s="774" t="s">
        <v>17</v>
      </c>
      <c r="U34" s="775">
        <f t="shared" si="11"/>
        <v>100</v>
      </c>
      <c r="V34" s="774" t="s">
        <v>17</v>
      </c>
      <c r="W34" s="775">
        <f t="shared" si="12"/>
        <v>100</v>
      </c>
      <c r="X34" s="1812"/>
      <c r="Y34" s="326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8"/>
      <c r="Q35" s="1809">
        <f t="shared" si="8"/>
        <v>111</v>
      </c>
      <c r="R35" s="774" t="s">
        <v>17</v>
      </c>
      <c r="S35" s="775">
        <f t="shared" si="10"/>
        <v>100</v>
      </c>
      <c r="T35" s="774" t="s">
        <v>17</v>
      </c>
      <c r="U35" s="775">
        <f t="shared" si="11"/>
        <v>100</v>
      </c>
      <c r="V35" s="774" t="s">
        <v>17</v>
      </c>
      <c r="W35" s="775">
        <f t="shared" si="12"/>
        <v>100</v>
      </c>
      <c r="X35" s="1812"/>
      <c r="Y35" s="326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3" t="s">
        <v>2566</v>
      </c>
      <c r="Q36" s="1809">
        <f t="shared" si="8"/>
        <v>111</v>
      </c>
      <c r="R36" s="774" t="s">
        <v>17</v>
      </c>
      <c r="S36" s="775">
        <f t="shared" si="10"/>
        <v>100</v>
      </c>
      <c r="T36" s="774" t="s">
        <v>17</v>
      </c>
      <c r="U36" s="775">
        <f t="shared" si="11"/>
        <v>100</v>
      </c>
      <c r="V36" s="774" t="s">
        <v>17</v>
      </c>
      <c r="W36" s="775">
        <f t="shared" si="12"/>
        <v>100</v>
      </c>
      <c r="X36" s="1812"/>
      <c r="Y36" s="3272"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2"/>
      <c r="Q37" s="1809">
        <f t="shared" si="8"/>
        <v>111</v>
      </c>
      <c r="R37" s="777" t="s">
        <v>17</v>
      </c>
      <c r="S37" s="778">
        <f t="shared" si="10"/>
        <v>100</v>
      </c>
      <c r="T37" s="777" t="s">
        <v>17</v>
      </c>
      <c r="U37" s="778">
        <f t="shared" si="11"/>
        <v>100</v>
      </c>
      <c r="V37" s="777" t="s">
        <v>17</v>
      </c>
      <c r="W37" s="778">
        <f t="shared" si="12"/>
        <v>100</v>
      </c>
      <c r="X37" s="779"/>
      <c r="Y37" s="3272"/>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2"/>
      <c r="Q38" s="1809" t="str">
        <f>B38</f>
        <v>宗地面积</v>
      </c>
      <c r="R38" s="774" t="s">
        <v>17</v>
      </c>
      <c r="S38" s="775" t="e">
        <f t="shared" si="10"/>
        <v>#N/A</v>
      </c>
      <c r="T38" s="774" t="s">
        <v>17</v>
      </c>
      <c r="U38" s="775" t="e">
        <f t="shared" si="11"/>
        <v>#N/A</v>
      </c>
      <c r="V38" s="774" t="s">
        <v>17</v>
      </c>
      <c r="W38" s="775" t="e">
        <f t="shared" si="12"/>
        <v>#N/A</v>
      </c>
      <c r="X38" s="1812"/>
      <c r="Y38" s="3272"/>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2"/>
      <c r="Q39" s="1809" t="str">
        <f t="shared" ref="Q39:Q45" si="14">B39</f>
        <v>宗地形状</v>
      </c>
      <c r="R39" s="774" t="s">
        <v>17</v>
      </c>
      <c r="S39" s="775">
        <f t="shared" si="10"/>
        <v>100</v>
      </c>
      <c r="T39" s="774" t="s">
        <v>17</v>
      </c>
      <c r="U39" s="775">
        <f t="shared" si="11"/>
        <v>100</v>
      </c>
      <c r="V39" s="774" t="s">
        <v>17</v>
      </c>
      <c r="W39" s="775">
        <f t="shared" si="12"/>
        <v>100</v>
      </c>
      <c r="X39" s="1812"/>
      <c r="Y39" s="3272"/>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2"/>
      <c r="Q40" s="1809" t="str">
        <f t="shared" si="14"/>
        <v>临街宽度及深度</v>
      </c>
      <c r="R40" s="774" t="s">
        <v>17</v>
      </c>
      <c r="S40" s="775">
        <f t="shared" si="10"/>
        <v>100</v>
      </c>
      <c r="T40" s="774" t="s">
        <v>17</v>
      </c>
      <c r="U40" s="775">
        <f t="shared" si="11"/>
        <v>100</v>
      </c>
      <c r="V40" s="774" t="s">
        <v>17</v>
      </c>
      <c r="W40" s="775">
        <f t="shared" si="12"/>
        <v>100</v>
      </c>
      <c r="X40" s="1812"/>
      <c r="Y40" s="3272"/>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2"/>
      <c r="Q41" s="1809" t="str">
        <f t="shared" si="14"/>
        <v>宗地开发程度</v>
      </c>
      <c r="R41" s="770" t="s">
        <v>17</v>
      </c>
      <c r="S41" s="771">
        <f t="shared" si="10"/>
        <v>100</v>
      </c>
      <c r="T41" s="770" t="s">
        <v>17</v>
      </c>
      <c r="U41" s="771">
        <f t="shared" si="11"/>
        <v>100</v>
      </c>
      <c r="V41" s="770" t="s">
        <v>17</v>
      </c>
      <c r="W41" s="771">
        <f t="shared" si="12"/>
        <v>100</v>
      </c>
      <c r="X41" s="772"/>
      <c r="Y41" s="3272"/>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2" t="s">
        <v>2566</v>
      </c>
      <c r="Q42" s="1809" t="str">
        <f t="shared" si="14"/>
        <v>工程地质条件</v>
      </c>
      <c r="R42" s="774" t="s">
        <v>17</v>
      </c>
      <c r="S42" s="775">
        <f t="shared" si="10"/>
        <v>100</v>
      </c>
      <c r="T42" s="774" t="s">
        <v>17</v>
      </c>
      <c r="U42" s="775">
        <f t="shared" si="11"/>
        <v>100</v>
      </c>
      <c r="V42" s="774" t="s">
        <v>17</v>
      </c>
      <c r="W42" s="775">
        <f t="shared" si="12"/>
        <v>100</v>
      </c>
      <c r="X42" s="1812"/>
      <c r="Y42" s="3272"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2"/>
      <c r="Q43" s="1809">
        <f t="shared" si="14"/>
        <v>111</v>
      </c>
      <c r="R43" s="774" t="s">
        <v>17</v>
      </c>
      <c r="S43" s="775">
        <f t="shared" si="10"/>
        <v>100</v>
      </c>
      <c r="T43" s="774" t="s">
        <v>17</v>
      </c>
      <c r="U43" s="775">
        <f t="shared" si="11"/>
        <v>100</v>
      </c>
      <c r="V43" s="774" t="s">
        <v>17</v>
      </c>
      <c r="W43" s="775">
        <f t="shared" si="12"/>
        <v>100</v>
      </c>
      <c r="X43" s="1812"/>
      <c r="Y43" s="327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2"/>
      <c r="Q44" s="1809">
        <f t="shared" si="14"/>
        <v>111</v>
      </c>
      <c r="R44" s="774" t="s">
        <v>17</v>
      </c>
      <c r="S44" s="775">
        <f t="shared" si="10"/>
        <v>100</v>
      </c>
      <c r="T44" s="774" t="s">
        <v>17</v>
      </c>
      <c r="U44" s="775">
        <f t="shared" si="11"/>
        <v>100</v>
      </c>
      <c r="V44" s="774" t="s">
        <v>17</v>
      </c>
      <c r="W44" s="775">
        <f t="shared" si="12"/>
        <v>100</v>
      </c>
      <c r="X44" s="1812"/>
      <c r="Y44" s="3272"/>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2"/>
      <c r="Q45" s="1809">
        <f t="shared" si="14"/>
        <v>111</v>
      </c>
      <c r="R45" s="777" t="s">
        <v>17</v>
      </c>
      <c r="S45" s="778">
        <f t="shared" si="10"/>
        <v>100</v>
      </c>
      <c r="T45" s="777" t="s">
        <v>17</v>
      </c>
      <c r="U45" s="778">
        <f t="shared" si="11"/>
        <v>100</v>
      </c>
      <c r="V45" s="777" t="s">
        <v>17</v>
      </c>
      <c r="W45" s="778">
        <f t="shared" si="12"/>
        <v>100</v>
      </c>
      <c r="X45" s="779"/>
      <c r="Y45" s="3272"/>
      <c r="Z45" s="780">
        <f t="shared" si="13"/>
        <v>111</v>
      </c>
      <c r="AA45" s="1810">
        <f t="shared" si="3"/>
        <v>1</v>
      </c>
      <c r="AB45" s="1810">
        <f t="shared" si="4"/>
        <v>1</v>
      </c>
      <c r="AC45" s="1810">
        <f t="shared" si="5"/>
        <v>1</v>
      </c>
    </row>
    <row r="46" spans="1:29" ht="15">
      <c r="A46" s="479" t="s">
        <v>2721</v>
      </c>
      <c r="B46" s="2704" t="s">
        <v>2757</v>
      </c>
      <c r="C46" s="682" t="s">
        <v>1</v>
      </c>
      <c r="D46" s="481"/>
      <c r="E46" s="482"/>
      <c r="F46" s="483"/>
      <c r="G46" s="484"/>
      <c r="H46" s="485"/>
      <c r="I46" s="482"/>
      <c r="J46" s="485"/>
      <c r="K46" s="783"/>
      <c r="L46" s="1143"/>
      <c r="M46" s="1144"/>
      <c r="N46" s="1131"/>
      <c r="O46" s="1144"/>
      <c r="P46" s="3265" t="str">
        <f>A46</f>
        <v>成交单价</v>
      </c>
      <c r="Q46" s="3265"/>
      <c r="R46" s="3260">
        <f>E46</f>
        <v>0</v>
      </c>
      <c r="S46" s="3260"/>
      <c r="T46" s="3260">
        <f>G46</f>
        <v>0</v>
      </c>
      <c r="U46" s="3260"/>
      <c r="V46" s="3260">
        <f>I46</f>
        <v>0</v>
      </c>
      <c r="W46" s="326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5" t="str">
        <f>A47</f>
        <v>比较价值（元/平方米）</v>
      </c>
      <c r="Q47" s="3265"/>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62" t="str">
        <f>A48</f>
        <v>估价对象XX用房的比较价值（楼面单价，元/平方米）</v>
      </c>
      <c r="Q48" s="3263"/>
      <c r="R48" s="3295" t="e">
        <f>ROUND(AVERAGE(R47:V47),0)</f>
        <v>#DIV/0!</v>
      </c>
      <c r="S48" s="3295"/>
      <c r="T48" s="3295"/>
      <c r="U48" s="3295"/>
      <c r="V48" s="3295"/>
      <c r="W48" s="329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48" t="s">
        <v>2765</v>
      </c>
      <c r="H55" s="3296"/>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440.53</v>
      </c>
      <c r="F56" s="1103" t="e">
        <f t="shared" ref="F56:F65" si="15">ROUND(B56*E56/10000,0)</f>
        <v>#DIV/0!</v>
      </c>
      <c r="G56" s="3247"/>
      <c r="H56" s="3265"/>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97"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97"/>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97"/>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97"/>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440.53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8" t="s">
        <v>2647</v>
      </c>
      <c r="D4" s="3249"/>
      <c r="E4" s="3250" t="s">
        <v>2648</v>
      </c>
      <c r="F4" s="3251"/>
      <c r="G4" s="3248" t="s">
        <v>2649</v>
      </c>
      <c r="H4" s="3249"/>
      <c r="I4" s="3248" t="s">
        <v>2650</v>
      </c>
      <c r="J4" s="3249"/>
      <c r="K4" s="610" t="s">
        <v>2651</v>
      </c>
      <c r="L4" s="1130"/>
      <c r="M4" s="1131"/>
      <c r="N4" s="1131"/>
      <c r="O4" s="1131"/>
      <c r="P4" s="3252" t="s">
        <v>2652</v>
      </c>
      <c r="Q4" s="3253"/>
      <c r="R4" s="3235" t="s">
        <v>2648</v>
      </c>
      <c r="S4" s="3236"/>
      <c r="T4" s="3235" t="s">
        <v>2649</v>
      </c>
      <c r="U4" s="3236"/>
      <c r="V4" s="3260" t="s">
        <v>2650</v>
      </c>
      <c r="W4" s="3260"/>
      <c r="X4" s="1812"/>
      <c r="Y4" s="3235" t="s">
        <v>2652</v>
      </c>
      <c r="Z4" s="3236"/>
      <c r="AA4" s="3230" t="s">
        <v>2648</v>
      </c>
      <c r="AB4" s="3231" t="s">
        <v>2649</v>
      </c>
      <c r="AC4" s="3230" t="s">
        <v>2650</v>
      </c>
    </row>
    <row r="5" spans="1:29" ht="15">
      <c r="A5" s="404"/>
      <c r="B5" s="405"/>
      <c r="C5" s="3241" t="s">
        <v>2543</v>
      </c>
      <c r="D5" s="3242"/>
      <c r="E5" s="3239" t="s">
        <v>2544</v>
      </c>
      <c r="F5" s="3240"/>
      <c r="G5" s="3241" t="s">
        <v>2545</v>
      </c>
      <c r="H5" s="3242"/>
      <c r="I5" s="3241" t="s">
        <v>2546</v>
      </c>
      <c r="J5" s="3242"/>
      <c r="K5" s="610"/>
      <c r="L5" s="1130"/>
      <c r="M5" s="1131"/>
      <c r="N5" s="1131"/>
      <c r="O5" s="1131"/>
      <c r="P5" s="3254"/>
      <c r="Q5" s="3255"/>
      <c r="R5" s="3237"/>
      <c r="S5" s="3238"/>
      <c r="T5" s="3237"/>
      <c r="U5" s="3238"/>
      <c r="V5" s="3260"/>
      <c r="W5" s="3260"/>
      <c r="X5" s="1812"/>
      <c r="Y5" s="3237"/>
      <c r="Z5" s="3238"/>
      <c r="AA5" s="3231"/>
      <c r="AB5" s="3231"/>
      <c r="AC5" s="3231"/>
    </row>
    <row r="6" spans="1:29" ht="15.75" thickBot="1">
      <c r="A6" s="406"/>
      <c r="B6" s="407"/>
      <c r="C6" s="3298" t="s">
        <v>2798</v>
      </c>
      <c r="D6" s="3299"/>
      <c r="E6" s="3300" t="s">
        <v>2798</v>
      </c>
      <c r="F6" s="3301"/>
      <c r="G6" s="3298" t="s">
        <v>2798</v>
      </c>
      <c r="H6" s="3299"/>
      <c r="I6" s="3298" t="s">
        <v>2798</v>
      </c>
      <c r="J6" s="3299"/>
      <c r="K6" s="610" t="s">
        <v>2548</v>
      </c>
      <c r="L6" s="1130"/>
      <c r="M6" s="1131"/>
      <c r="N6" s="1131"/>
      <c r="O6" s="1131"/>
      <c r="P6" s="3256"/>
      <c r="Q6" s="3257"/>
      <c r="R6" s="3237"/>
      <c r="S6" s="3238"/>
      <c r="T6" s="3258"/>
      <c r="U6" s="3259"/>
      <c r="V6" s="3260"/>
      <c r="W6" s="3260"/>
      <c r="X6" s="1812"/>
      <c r="Y6" s="3258"/>
      <c r="Z6" s="3259"/>
      <c r="AA6" s="3232"/>
      <c r="AB6" s="3232"/>
      <c r="AC6" s="3232"/>
    </row>
    <row r="7" spans="1:29" s="117" customFormat="1" ht="15.7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3" t="s">
        <v>2550</v>
      </c>
      <c r="Q7" s="3261"/>
      <c r="R7" s="770" t="s">
        <v>17</v>
      </c>
      <c r="S7" s="771">
        <f t="shared" ref="S7:S15" si="0">F7</f>
        <v>0</v>
      </c>
      <c r="T7" s="770" t="s">
        <v>17</v>
      </c>
      <c r="U7" s="771">
        <f t="shared" ref="U7:U15" si="1">H7</f>
        <v>0</v>
      </c>
      <c r="V7" s="770" t="s">
        <v>17</v>
      </c>
      <c r="W7" s="771">
        <f t="shared" ref="W7:W15" si="2">J7</f>
        <v>0</v>
      </c>
      <c r="X7" s="772"/>
      <c r="Y7" s="3233" t="s">
        <v>2550</v>
      </c>
      <c r="Z7" s="323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3" t="s">
        <v>2553</v>
      </c>
      <c r="Q8" s="3234"/>
      <c r="R8" s="770" t="s">
        <v>17</v>
      </c>
      <c r="S8" s="771">
        <f t="shared" si="0"/>
        <v>0</v>
      </c>
      <c r="T8" s="770" t="s">
        <v>17</v>
      </c>
      <c r="U8" s="771">
        <f t="shared" si="1"/>
        <v>0</v>
      </c>
      <c r="V8" s="770" t="s">
        <v>17</v>
      </c>
      <c r="W8" s="771">
        <f t="shared" si="2"/>
        <v>0</v>
      </c>
      <c r="X8" s="772"/>
      <c r="Y8" s="3233" t="s">
        <v>2553</v>
      </c>
      <c r="Z8" s="3234"/>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5" t="s">
        <v>2556</v>
      </c>
      <c r="Q9" s="1794" t="str">
        <f t="shared" ref="Q9:Q15" si="6">B9</f>
        <v>用途</v>
      </c>
      <c r="R9" s="770" t="s">
        <v>17</v>
      </c>
      <c r="S9" s="771">
        <f t="shared" si="0"/>
        <v>100</v>
      </c>
      <c r="T9" s="770" t="s">
        <v>17</v>
      </c>
      <c r="U9" s="771">
        <f t="shared" si="1"/>
        <v>100</v>
      </c>
      <c r="V9" s="770" t="s">
        <v>17</v>
      </c>
      <c r="W9" s="771">
        <f t="shared" si="2"/>
        <v>100</v>
      </c>
      <c r="X9" s="772"/>
      <c r="Y9" s="306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65"/>
      <c r="Q10" s="1794" t="str">
        <f t="shared" si="6"/>
        <v>土地使用年限（年）</v>
      </c>
      <c r="R10" s="770" t="s">
        <v>17</v>
      </c>
      <c r="S10" s="771">
        <f t="shared" si="0"/>
        <v>122</v>
      </c>
      <c r="T10" s="770" t="s">
        <v>17</v>
      </c>
      <c r="U10" s="771">
        <f t="shared" si="1"/>
        <v>122</v>
      </c>
      <c r="V10" s="770" t="s">
        <v>17</v>
      </c>
      <c r="W10" s="771">
        <f t="shared" si="2"/>
        <v>122</v>
      </c>
      <c r="X10" s="772"/>
      <c r="Y10" s="3064"/>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5"/>
      <c r="Q11" s="1794"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5"/>
      <c r="Q12" s="1794">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5"/>
      <c r="Q13" s="1794">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5"/>
      <c r="Q14" s="1794">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7" t="s">
        <v>2561</v>
      </c>
      <c r="Q15" s="1809" t="str">
        <f t="shared" si="6"/>
        <v>产业集聚程度</v>
      </c>
      <c r="R15" s="774" t="s">
        <v>17</v>
      </c>
      <c r="S15" s="775">
        <f t="shared" si="0"/>
        <v>100</v>
      </c>
      <c r="T15" s="774" t="s">
        <v>17</v>
      </c>
      <c r="U15" s="775">
        <f t="shared" si="1"/>
        <v>100</v>
      </c>
      <c r="V15" s="774" t="s">
        <v>17</v>
      </c>
      <c r="W15" s="775">
        <f t="shared" si="2"/>
        <v>100</v>
      </c>
      <c r="X15" s="1812"/>
      <c r="Y15" s="3267"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68"/>
      <c r="Q16" s="1809"/>
      <c r="R16" s="774"/>
      <c r="S16" s="775"/>
      <c r="T16" s="774"/>
      <c r="U16" s="775"/>
      <c r="V16" s="774"/>
      <c r="W16" s="775"/>
      <c r="X16" s="1812"/>
      <c r="Y16" s="3268"/>
      <c r="Z16" s="1813"/>
      <c r="AA16" s="1810">
        <v>1</v>
      </c>
      <c r="AB16" s="1810">
        <v>1</v>
      </c>
      <c r="AC16" s="1810">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8"/>
      <c r="Q17" s="1809" t="str">
        <f>B17</f>
        <v>交通便捷度</v>
      </c>
      <c r="R17" s="774" t="s">
        <v>17</v>
      </c>
      <c r="S17" s="775">
        <f>F17</f>
        <v>100</v>
      </c>
      <c r="T17" s="774" t="s">
        <v>17</v>
      </c>
      <c r="U17" s="775">
        <f>H17</f>
        <v>100</v>
      </c>
      <c r="V17" s="774" t="s">
        <v>17</v>
      </c>
      <c r="W17" s="775">
        <f>J17</f>
        <v>100</v>
      </c>
      <c r="X17" s="1812"/>
      <c r="Y17" s="3268"/>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68"/>
      <c r="Q18" s="1809"/>
      <c r="R18" s="774"/>
      <c r="S18" s="775"/>
      <c r="T18" s="774"/>
      <c r="U18" s="775"/>
      <c r="V18" s="774"/>
      <c r="W18" s="775"/>
      <c r="X18" s="1812"/>
      <c r="Y18" s="3268"/>
      <c r="Z18" s="1813"/>
      <c r="AA18" s="1810">
        <v>1</v>
      </c>
      <c r="AB18" s="1810">
        <v>1</v>
      </c>
      <c r="AC18" s="1810">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8"/>
      <c r="Q19" s="1809" t="str">
        <f t="shared" ref="Q19:Q33" si="8">B19</f>
        <v>区域土地利用方向</v>
      </c>
      <c r="R19" s="774" t="s">
        <v>17</v>
      </c>
      <c r="S19" s="775">
        <f>F19</f>
        <v>100</v>
      </c>
      <c r="T19" s="774" t="s">
        <v>17</v>
      </c>
      <c r="U19" s="775">
        <f>H19</f>
        <v>100</v>
      </c>
      <c r="V19" s="774" t="s">
        <v>17</v>
      </c>
      <c r="W19" s="775">
        <f>J19</f>
        <v>100</v>
      </c>
      <c r="X19" s="1812"/>
      <c r="Y19" s="3268"/>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68"/>
      <c r="Q20" s="1809"/>
      <c r="R20" s="774"/>
      <c r="S20" s="775"/>
      <c r="T20" s="774"/>
      <c r="U20" s="775"/>
      <c r="V20" s="774"/>
      <c r="W20" s="775"/>
      <c r="X20" s="1812"/>
      <c r="Y20" s="3268"/>
      <c r="Z20" s="1813"/>
      <c r="AA20" s="1810"/>
      <c r="AB20" s="1810"/>
      <c r="AC20" s="1810"/>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8"/>
      <c r="Q21" s="1809" t="str">
        <f t="shared" si="8"/>
        <v>环境状况</v>
      </c>
      <c r="R21" s="774" t="s">
        <v>17</v>
      </c>
      <c r="S21" s="775">
        <f>F21</f>
        <v>100</v>
      </c>
      <c r="T21" s="774" t="s">
        <v>17</v>
      </c>
      <c r="U21" s="775">
        <f>H21</f>
        <v>100</v>
      </c>
      <c r="V21" s="774" t="s">
        <v>17</v>
      </c>
      <c r="W21" s="775">
        <f>J21</f>
        <v>100</v>
      </c>
      <c r="X21" s="1812"/>
      <c r="Y21" s="3268"/>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68"/>
      <c r="Q22" s="1809"/>
      <c r="R22" s="774"/>
      <c r="S22" s="775"/>
      <c r="T22" s="774"/>
      <c r="U22" s="775"/>
      <c r="V22" s="774"/>
      <c r="W22" s="775"/>
      <c r="X22" s="1812"/>
      <c r="Y22" s="3268"/>
      <c r="Z22" s="1813"/>
      <c r="AA22" s="1810">
        <v>1</v>
      </c>
      <c r="AB22" s="1810">
        <v>1</v>
      </c>
      <c r="AC22" s="1810">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8"/>
      <c r="Q23" s="1794" t="str">
        <f t="shared" si="8"/>
        <v>公共配套设施</v>
      </c>
      <c r="R23" s="770" t="s">
        <v>17</v>
      </c>
      <c r="S23" s="771">
        <f>F23</f>
        <v>100</v>
      </c>
      <c r="T23" s="770" t="s">
        <v>17</v>
      </c>
      <c r="U23" s="771">
        <f>H23</f>
        <v>100</v>
      </c>
      <c r="V23" s="770" t="s">
        <v>17</v>
      </c>
      <c r="W23" s="771">
        <f>J23</f>
        <v>100</v>
      </c>
      <c r="X23" s="772"/>
      <c r="Y23" s="3268"/>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68"/>
      <c r="Q24" s="1794"/>
      <c r="R24" s="770"/>
      <c r="S24" s="771"/>
      <c r="T24" s="770"/>
      <c r="U24" s="771"/>
      <c r="V24" s="770"/>
      <c r="W24" s="771"/>
      <c r="X24" s="772"/>
      <c r="Y24" s="3268"/>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8"/>
      <c r="Q25" s="1794"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68"/>
      <c r="Q26" s="1794"/>
      <c r="R26" s="770"/>
      <c r="S26" s="771"/>
      <c r="T26" s="770"/>
      <c r="U26" s="771"/>
      <c r="V26" s="770"/>
      <c r="W26" s="771"/>
      <c r="X26" s="772"/>
      <c r="Y26" s="326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8"/>
      <c r="Z27" s="1813" t="str">
        <f t="shared" ref="Z27:Z40" si="13">Q27</f>
        <v>临街状况</v>
      </c>
      <c r="AA27" s="1810">
        <f t="shared" si="3"/>
        <v>1</v>
      </c>
      <c r="AB27" s="1810">
        <f t="shared" si="4"/>
        <v>1</v>
      </c>
      <c r="AC27" s="1810">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8"/>
      <c r="Q28" s="1809" t="str">
        <f t="shared" si="8"/>
        <v>毗邻道路的类型与等级</v>
      </c>
      <c r="R28" s="774" t="s">
        <v>17</v>
      </c>
      <c r="S28" s="775">
        <f t="shared" si="10"/>
        <v>100</v>
      </c>
      <c r="T28" s="774" t="s">
        <v>17</v>
      </c>
      <c r="U28" s="775">
        <f t="shared" si="11"/>
        <v>100</v>
      </c>
      <c r="V28" s="774" t="s">
        <v>17</v>
      </c>
      <c r="W28" s="775">
        <f t="shared" si="12"/>
        <v>100</v>
      </c>
      <c r="X28" s="1812"/>
      <c r="Y28" s="3268"/>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68"/>
      <c r="Q29" s="1809"/>
      <c r="R29" s="774"/>
      <c r="S29" s="775"/>
      <c r="T29" s="774"/>
      <c r="U29" s="775"/>
      <c r="V29" s="774"/>
      <c r="W29" s="775"/>
      <c r="X29" s="1812"/>
      <c r="Y29" s="3268"/>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8"/>
      <c r="Q30" s="1809" t="str">
        <f t="shared" si="8"/>
        <v>土地级别</v>
      </c>
      <c r="R30" s="774" t="s">
        <v>17</v>
      </c>
      <c r="S30" s="775">
        <f t="shared" si="10"/>
        <v>100</v>
      </c>
      <c r="T30" s="774" t="s">
        <v>17</v>
      </c>
      <c r="U30" s="775">
        <f t="shared" si="11"/>
        <v>100</v>
      </c>
      <c r="V30" s="774" t="s">
        <v>17</v>
      </c>
      <c r="W30" s="775">
        <f t="shared" si="12"/>
        <v>100</v>
      </c>
      <c r="X30" s="1812"/>
      <c r="Y30" s="326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8"/>
      <c r="Q31" s="1809">
        <f t="shared" si="8"/>
        <v>111</v>
      </c>
      <c r="R31" s="774" t="s">
        <v>17</v>
      </c>
      <c r="S31" s="775">
        <f t="shared" si="10"/>
        <v>100</v>
      </c>
      <c r="T31" s="774" t="s">
        <v>17</v>
      </c>
      <c r="U31" s="775">
        <f t="shared" si="11"/>
        <v>100</v>
      </c>
      <c r="V31" s="774" t="s">
        <v>17</v>
      </c>
      <c r="W31" s="775">
        <f t="shared" si="12"/>
        <v>100</v>
      </c>
      <c r="X31" s="1812"/>
      <c r="Y31" s="326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3" t="s">
        <v>2566</v>
      </c>
      <c r="Q32" s="1809">
        <f t="shared" si="8"/>
        <v>111</v>
      </c>
      <c r="R32" s="774" t="s">
        <v>17</v>
      </c>
      <c r="S32" s="775">
        <f t="shared" si="10"/>
        <v>100</v>
      </c>
      <c r="T32" s="774" t="s">
        <v>17</v>
      </c>
      <c r="U32" s="775">
        <f t="shared" si="11"/>
        <v>100</v>
      </c>
      <c r="V32" s="774" t="s">
        <v>17</v>
      </c>
      <c r="W32" s="775">
        <f t="shared" si="12"/>
        <v>100</v>
      </c>
      <c r="X32" s="1812"/>
      <c r="Y32" s="3272" t="s">
        <v>2566</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2"/>
      <c r="Q33" s="1809">
        <f t="shared" si="8"/>
        <v>111</v>
      </c>
      <c r="R33" s="777" t="s">
        <v>17</v>
      </c>
      <c r="S33" s="778">
        <f t="shared" si="10"/>
        <v>100</v>
      </c>
      <c r="T33" s="777" t="s">
        <v>17</v>
      </c>
      <c r="U33" s="778">
        <f t="shared" si="11"/>
        <v>100</v>
      </c>
      <c r="V33" s="777" t="s">
        <v>17</v>
      </c>
      <c r="W33" s="778">
        <f t="shared" si="12"/>
        <v>100</v>
      </c>
      <c r="X33" s="779"/>
      <c r="Y33" s="3272"/>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2"/>
      <c r="Q34" s="1809" t="str">
        <f>B34</f>
        <v>宗地面积</v>
      </c>
      <c r="R34" s="774" t="s">
        <v>17</v>
      </c>
      <c r="S34" s="775" t="e">
        <f t="shared" si="10"/>
        <v>#N/A</v>
      </c>
      <c r="T34" s="774" t="s">
        <v>17</v>
      </c>
      <c r="U34" s="775" t="e">
        <f t="shared" si="11"/>
        <v>#N/A</v>
      </c>
      <c r="V34" s="774" t="s">
        <v>17</v>
      </c>
      <c r="W34" s="775" t="e">
        <f t="shared" si="12"/>
        <v>#N/A</v>
      </c>
      <c r="X34" s="1812"/>
      <c r="Y34" s="3272"/>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2"/>
      <c r="Q35" s="1809" t="str">
        <f t="shared" ref="Q35:Q40" si="14">B35</f>
        <v>宗地形状</v>
      </c>
      <c r="R35" s="774" t="s">
        <v>17</v>
      </c>
      <c r="S35" s="775">
        <f t="shared" si="10"/>
        <v>100</v>
      </c>
      <c r="T35" s="774" t="s">
        <v>17</v>
      </c>
      <c r="U35" s="775">
        <f t="shared" si="11"/>
        <v>100</v>
      </c>
      <c r="V35" s="774" t="s">
        <v>17</v>
      </c>
      <c r="W35" s="775">
        <f t="shared" si="12"/>
        <v>100</v>
      </c>
      <c r="X35" s="1812"/>
      <c r="Y35" s="3272"/>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2"/>
      <c r="Q36" s="1809"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2" t="s">
        <v>2566</v>
      </c>
      <c r="Q37" s="1809" t="str">
        <f t="shared" si="14"/>
        <v>工程地质条件</v>
      </c>
      <c r="R37" s="774" t="s">
        <v>17</v>
      </c>
      <c r="S37" s="775">
        <f t="shared" si="10"/>
        <v>100</v>
      </c>
      <c r="T37" s="774" t="s">
        <v>17</v>
      </c>
      <c r="U37" s="775">
        <f t="shared" si="11"/>
        <v>100</v>
      </c>
      <c r="V37" s="774" t="s">
        <v>17</v>
      </c>
      <c r="W37" s="775">
        <f t="shared" si="12"/>
        <v>100</v>
      </c>
      <c r="X37" s="1812"/>
      <c r="Y37" s="3272"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2"/>
      <c r="Q38" s="1809">
        <f t="shared" si="14"/>
        <v>111</v>
      </c>
      <c r="R38" s="774" t="s">
        <v>17</v>
      </c>
      <c r="S38" s="775">
        <f t="shared" si="10"/>
        <v>100</v>
      </c>
      <c r="T38" s="774" t="s">
        <v>17</v>
      </c>
      <c r="U38" s="775">
        <f t="shared" si="11"/>
        <v>100</v>
      </c>
      <c r="V38" s="774" t="s">
        <v>17</v>
      </c>
      <c r="W38" s="775">
        <f t="shared" si="12"/>
        <v>100</v>
      </c>
      <c r="X38" s="1812"/>
      <c r="Y38" s="327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2"/>
      <c r="Q39" s="1809">
        <f t="shared" si="14"/>
        <v>111</v>
      </c>
      <c r="R39" s="774" t="s">
        <v>17</v>
      </c>
      <c r="S39" s="775">
        <f t="shared" si="10"/>
        <v>100</v>
      </c>
      <c r="T39" s="774" t="s">
        <v>17</v>
      </c>
      <c r="U39" s="775">
        <f t="shared" si="11"/>
        <v>100</v>
      </c>
      <c r="V39" s="774" t="s">
        <v>17</v>
      </c>
      <c r="W39" s="775">
        <f t="shared" si="12"/>
        <v>100</v>
      </c>
      <c r="X39" s="1812"/>
      <c r="Y39" s="3272"/>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2"/>
      <c r="Q40" s="1809">
        <f t="shared" si="14"/>
        <v>111</v>
      </c>
      <c r="R40" s="777" t="s">
        <v>17</v>
      </c>
      <c r="S40" s="778">
        <f t="shared" si="10"/>
        <v>100</v>
      </c>
      <c r="T40" s="777" t="s">
        <v>17</v>
      </c>
      <c r="U40" s="778">
        <f t="shared" si="11"/>
        <v>100</v>
      </c>
      <c r="V40" s="777" t="s">
        <v>17</v>
      </c>
      <c r="W40" s="778">
        <f t="shared" si="12"/>
        <v>100</v>
      </c>
      <c r="X40" s="779"/>
      <c r="Y40" s="3272"/>
      <c r="Z40" s="780">
        <f t="shared" si="13"/>
        <v>111</v>
      </c>
      <c r="AA40" s="1810">
        <f t="shared" si="3"/>
        <v>1</v>
      </c>
      <c r="AB40" s="1810">
        <f t="shared" si="4"/>
        <v>1</v>
      </c>
      <c r="AC40" s="1810">
        <f t="shared" si="5"/>
        <v>1</v>
      </c>
    </row>
    <row r="41" spans="1:29" ht="15">
      <c r="A41" s="479" t="s">
        <v>2721</v>
      </c>
      <c r="B41" s="2704" t="s">
        <v>2801</v>
      </c>
      <c r="C41" s="682" t="s">
        <v>1</v>
      </c>
      <c r="D41" s="481"/>
      <c r="E41" s="482"/>
      <c r="F41" s="483"/>
      <c r="G41" s="484"/>
      <c r="H41" s="485"/>
      <c r="I41" s="482"/>
      <c r="J41" s="485"/>
      <c r="K41" s="783"/>
      <c r="L41" s="1143"/>
      <c r="M41" s="1131"/>
      <c r="N41" s="1131"/>
      <c r="O41" s="1144"/>
      <c r="P41" s="3265" t="str">
        <f>A41</f>
        <v>成交单价</v>
      </c>
      <c r="Q41" s="3265"/>
      <c r="R41" s="3260">
        <f>E41</f>
        <v>0</v>
      </c>
      <c r="S41" s="3260"/>
      <c r="T41" s="3260">
        <f>G41</f>
        <v>0</v>
      </c>
      <c r="U41" s="3260"/>
      <c r="V41" s="3260">
        <f>I41</f>
        <v>0</v>
      </c>
      <c r="W41" s="326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5" t="str">
        <f>A42</f>
        <v>比较价值（元/平方米）</v>
      </c>
      <c r="Q42" s="3265"/>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62" t="str">
        <f>A43</f>
        <v>估价对象XX用房的比较价值（楼面单价，元/平方米）</v>
      </c>
      <c r="Q43" s="3263"/>
      <c r="R43" s="3295" t="e">
        <f>ROUND(AVERAGE(R42:V42),0)</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248" t="s">
        <v>2765</v>
      </c>
      <c r="H50" s="3296"/>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440.53</v>
      </c>
      <c r="F51" s="691" t="e">
        <f t="shared" ref="F51:F60" si="15">ROUND(B51*E51/10000,0)</f>
        <v>#DIV/0!</v>
      </c>
      <c r="G51" s="3247"/>
      <c r="H51" s="3265"/>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97"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97"/>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97"/>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97"/>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21.35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8"/>
      <c r="B4" s="3319"/>
      <c r="C4" s="3319"/>
      <c r="D4" s="3320"/>
      <c r="E4" s="3320"/>
      <c r="F4" s="3320"/>
      <c r="G4" s="3320"/>
      <c r="H4" s="3320"/>
      <c r="I4" s="3320"/>
      <c r="J4" s="3321"/>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2"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2"/>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5" t="s">
        <v>2841</v>
      </c>
      <c r="X8" s="3316"/>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2"/>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7"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2"/>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2"/>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7"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2"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7"/>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3"/>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17"/>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3"/>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4"/>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2" t="s">
        <v>2884</v>
      </c>
      <c r="B16" s="2745" t="s">
        <v>2885</v>
      </c>
      <c r="C16" s="2932" t="e">
        <f>ROUND(IF(F17="与级别开发程度一致",0,(G17-E17)/C17),0)</f>
        <v>#DIV/0!</v>
      </c>
      <c r="D16" s="3313" t="s">
        <v>2889</v>
      </c>
      <c r="E16" s="3314"/>
      <c r="F16" s="3313" t="s">
        <v>2886</v>
      </c>
      <c r="G16" s="3314"/>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3"/>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0"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1"/>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1"/>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2"/>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4"/>
      <c r="D79" s="814"/>
      <c r="E79" s="815"/>
      <c r="F79" s="2869"/>
      <c r="G79" s="6"/>
      <c r="H79" s="6"/>
      <c r="I79" s="6"/>
      <c r="J79" s="7"/>
      <c r="K79" s="7"/>
      <c r="L79" s="7"/>
      <c r="M79" s="7"/>
      <c r="N79" s="7"/>
      <c r="Z79" s="2720"/>
      <c r="AA79" s="2788"/>
      <c r="AG79" s="1371"/>
      <c r="AK79" s="2788"/>
    </row>
    <row r="80" spans="1:37" ht="24.75">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4" t="s">
        <v>2973</v>
      </c>
      <c r="B90" s="3304"/>
      <c r="C90" s="3304"/>
      <c r="D90" s="3304"/>
      <c r="E90" s="3304"/>
      <c r="F90" s="3304"/>
      <c r="G90" s="3304"/>
      <c r="H90" s="3304"/>
      <c r="I90" s="3304"/>
      <c r="J90" s="3304"/>
      <c r="K90" s="2884"/>
      <c r="L90" s="2884"/>
      <c r="M90" s="2884"/>
      <c r="N90" s="2884"/>
    </row>
    <row r="91" spans="1:37">
      <c r="A91" s="3306" t="s">
        <v>2974</v>
      </c>
      <c r="B91" s="3306" t="s">
        <v>2975</v>
      </c>
      <c r="C91" s="2838" t="s">
        <v>2976</v>
      </c>
      <c r="D91" s="2839"/>
      <c r="E91" s="2839"/>
      <c r="F91" s="2839"/>
      <c r="G91" s="2839"/>
      <c r="H91" s="2839"/>
      <c r="I91" s="2839"/>
      <c r="J91" s="2885"/>
      <c r="K91" s="2886"/>
      <c r="L91" s="2886"/>
      <c r="M91" s="2886"/>
      <c r="N91" s="2886"/>
    </row>
    <row r="92" spans="1:37">
      <c r="A92" s="3306"/>
      <c r="B92" s="330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07"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8"/>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7"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08"/>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08"/>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08"/>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08"/>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08"/>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08"/>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08"/>
      <c r="B108" s="3134"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9"/>
      <c r="B109" s="3135"/>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5" t="s">
        <v>2981</v>
      </c>
      <c r="B110" s="3305"/>
      <c r="C110" s="3305"/>
      <c r="D110" s="3305"/>
      <c r="E110" s="3305"/>
      <c r="F110" s="3305"/>
      <c r="G110" s="3305"/>
      <c r="H110" s="3305"/>
      <c r="I110" s="3305"/>
      <c r="J110" s="3305"/>
      <c r="K110" s="2893"/>
      <c r="L110" s="2893"/>
      <c r="M110" s="2893"/>
      <c r="N110" s="2893"/>
    </row>
    <row r="112" spans="1:14" ht="13.5" thickBot="1"/>
    <row r="113" spans="1:13" ht="25.5"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5" t="s">
        <v>183</v>
      </c>
      <c r="B18" s="882" t="s">
        <v>560</v>
      </c>
      <c r="C18" s="883" t="s">
        <v>561</v>
      </c>
      <c r="D18" s="884"/>
      <c r="E18" s="882">
        <v>1</v>
      </c>
      <c r="F18" s="885" t="s">
        <v>562</v>
      </c>
      <c r="G18" s="886"/>
      <c r="H18" s="878"/>
      <c r="I18" s="878"/>
    </row>
    <row r="19" spans="1:9" s="887" customFormat="1" ht="19.5" customHeight="1">
      <c r="A19" s="3325"/>
      <c r="B19" s="3325" t="s">
        <v>563</v>
      </c>
      <c r="C19" s="883" t="s">
        <v>564</v>
      </c>
      <c r="D19" s="884"/>
      <c r="E19" s="882">
        <v>0.9</v>
      </c>
      <c r="F19" s="885" t="s">
        <v>565</v>
      </c>
      <c r="G19" s="886"/>
      <c r="H19" s="878"/>
      <c r="I19" s="878"/>
    </row>
    <row r="20" spans="1:9" s="887" customFormat="1" ht="19.5" customHeight="1">
      <c r="A20" s="3325"/>
      <c r="B20" s="3325"/>
      <c r="C20" s="883" t="s">
        <v>566</v>
      </c>
      <c r="D20" s="884"/>
      <c r="E20" s="882">
        <v>1.1000000000000001</v>
      </c>
      <c r="F20" s="885" t="s">
        <v>567</v>
      </c>
      <c r="G20" s="886"/>
      <c r="H20" s="878"/>
      <c r="I20" s="878"/>
    </row>
    <row r="21" spans="1:9" s="887" customFormat="1" ht="19.5" customHeight="1">
      <c r="A21" s="3325"/>
      <c r="B21" s="3325"/>
      <c r="C21" s="883" t="s">
        <v>568</v>
      </c>
      <c r="D21" s="884"/>
      <c r="E21" s="882">
        <v>0.8</v>
      </c>
      <c r="F21" s="885" t="s">
        <v>569</v>
      </c>
      <c r="G21" s="886"/>
      <c r="H21" s="878"/>
      <c r="I21" s="878"/>
    </row>
    <row r="22" spans="1:9" s="887" customFormat="1" ht="19.5" customHeight="1">
      <c r="A22" s="3325"/>
      <c r="B22" s="3325"/>
      <c r="C22" s="883" t="s">
        <v>570</v>
      </c>
      <c r="D22" s="884"/>
      <c r="E22" s="882">
        <v>0.5</v>
      </c>
      <c r="F22" s="885"/>
      <c r="G22" s="886"/>
      <c r="H22" s="878"/>
      <c r="I22" s="878"/>
    </row>
    <row r="23" spans="1:9" s="887" customFormat="1" ht="19.5" customHeight="1">
      <c r="A23" s="3325" t="s">
        <v>184</v>
      </c>
      <c r="B23" s="882" t="s">
        <v>560</v>
      </c>
      <c r="C23" s="883" t="s">
        <v>571</v>
      </c>
      <c r="D23" s="884"/>
      <c r="E23" s="882">
        <v>1</v>
      </c>
      <c r="F23" s="885" t="s">
        <v>572</v>
      </c>
      <c r="G23" s="886"/>
      <c r="H23" s="878"/>
      <c r="I23" s="878"/>
    </row>
    <row r="24" spans="1:9" s="887" customFormat="1" ht="19.5" customHeight="1">
      <c r="A24" s="3325"/>
      <c r="B24" s="3325" t="s">
        <v>563</v>
      </c>
      <c r="C24" s="883" t="s">
        <v>573</v>
      </c>
      <c r="D24" s="884"/>
      <c r="E24" s="882">
        <v>0.5</v>
      </c>
      <c r="F24" s="885"/>
      <c r="G24" s="886"/>
      <c r="H24" s="878"/>
      <c r="I24" s="878"/>
    </row>
    <row r="25" spans="1:9" s="887" customFormat="1" ht="19.5" customHeight="1">
      <c r="A25" s="3325"/>
      <c r="B25" s="3325"/>
      <c r="C25" s="883" t="s">
        <v>574</v>
      </c>
      <c r="D25" s="884"/>
      <c r="E25" s="882">
        <v>1.1000000000000001</v>
      </c>
      <c r="F25" s="885"/>
      <c r="G25" s="886"/>
      <c r="H25" s="878"/>
      <c r="I25" s="878"/>
    </row>
    <row r="26" spans="1:9" s="887" customFormat="1" ht="19.5" customHeight="1">
      <c r="A26" s="3325"/>
      <c r="B26" s="3325"/>
      <c r="C26" s="883" t="s">
        <v>575</v>
      </c>
      <c r="D26" s="884"/>
      <c r="E26" s="882">
        <v>1.1000000000000001</v>
      </c>
      <c r="F26" s="885"/>
      <c r="G26" s="886"/>
      <c r="H26" s="878"/>
      <c r="I26" s="878"/>
    </row>
    <row r="27" spans="1:9" s="887" customFormat="1" ht="19.5" customHeight="1">
      <c r="A27" s="3325"/>
      <c r="B27" s="3325"/>
      <c r="C27" s="883" t="s">
        <v>576</v>
      </c>
      <c r="D27" s="884"/>
      <c r="E27" s="882">
        <v>0.9</v>
      </c>
      <c r="F27" s="885" t="s">
        <v>577</v>
      </c>
      <c r="G27" s="886"/>
      <c r="H27" s="878"/>
      <c r="I27" s="878"/>
    </row>
    <row r="28" spans="1:9" s="887" customFormat="1" ht="19.5" customHeight="1">
      <c r="A28" s="3325"/>
      <c r="B28" s="3325"/>
      <c r="C28" s="883" t="s">
        <v>578</v>
      </c>
      <c r="D28" s="884"/>
      <c r="E28" s="882">
        <v>0.9</v>
      </c>
      <c r="F28" s="885" t="s">
        <v>579</v>
      </c>
      <c r="G28" s="886"/>
      <c r="H28" s="878"/>
      <c r="I28" s="878"/>
    </row>
    <row r="29" spans="1:9" s="887" customFormat="1" ht="19.5" customHeight="1">
      <c r="A29" s="3325"/>
      <c r="B29" s="3325"/>
      <c r="C29" s="883" t="s">
        <v>580</v>
      </c>
      <c r="D29" s="884"/>
      <c r="E29" s="882">
        <v>0.9</v>
      </c>
      <c r="F29" s="885" t="s">
        <v>581</v>
      </c>
      <c r="G29" s="886"/>
      <c r="H29" s="878"/>
      <c r="I29" s="878"/>
    </row>
    <row r="30" spans="1:9" s="887" customFormat="1" ht="19.5" customHeight="1">
      <c r="A30" s="3325"/>
      <c r="B30" s="3325"/>
      <c r="C30" s="883" t="s">
        <v>582</v>
      </c>
      <c r="D30" s="884"/>
      <c r="E30" s="882">
        <v>0.9</v>
      </c>
      <c r="F30" s="885" t="s">
        <v>583</v>
      </c>
      <c r="G30" s="886"/>
      <c r="H30" s="878"/>
      <c r="I30" s="878"/>
    </row>
    <row r="31" spans="1:9" s="887" customFormat="1" ht="19.5" customHeight="1">
      <c r="A31" s="3325"/>
      <c r="B31" s="3325"/>
      <c r="C31" s="883" t="s">
        <v>584</v>
      </c>
      <c r="D31" s="884"/>
      <c r="E31" s="882">
        <v>0.8</v>
      </c>
      <c r="F31" s="885" t="s">
        <v>585</v>
      </c>
      <c r="G31" s="886"/>
      <c r="H31" s="878"/>
      <c r="I31" s="878"/>
    </row>
    <row r="32" spans="1:9" s="887" customFormat="1" ht="19.5" customHeight="1">
      <c r="A32" s="3325"/>
      <c r="B32" s="3325"/>
      <c r="C32" s="883" t="s">
        <v>586</v>
      </c>
      <c r="D32" s="884"/>
      <c r="E32" s="882">
        <v>0.8</v>
      </c>
      <c r="F32" s="885" t="s">
        <v>587</v>
      </c>
      <c r="G32" s="886"/>
      <c r="H32" s="878"/>
      <c r="I32" s="878"/>
    </row>
    <row r="33" spans="1:9" s="887" customFormat="1" ht="19.5" customHeight="1">
      <c r="A33" s="3325" t="s">
        <v>185</v>
      </c>
      <c r="B33" s="882" t="s">
        <v>560</v>
      </c>
      <c r="C33" s="883" t="s">
        <v>588</v>
      </c>
      <c r="D33" s="884"/>
      <c r="E33" s="882">
        <v>1</v>
      </c>
      <c r="F33" s="885" t="s">
        <v>589</v>
      </c>
      <c r="G33" s="886"/>
      <c r="H33" s="878"/>
      <c r="I33" s="878"/>
    </row>
    <row r="34" spans="1:9" s="887" customFormat="1" ht="19.5" customHeight="1">
      <c r="A34" s="3325"/>
      <c r="B34" s="882" t="s">
        <v>563</v>
      </c>
      <c r="C34" s="883" t="s">
        <v>590</v>
      </c>
      <c r="D34" s="884"/>
      <c r="E34" s="882">
        <v>1.5</v>
      </c>
      <c r="F34" s="885" t="s">
        <v>591</v>
      </c>
      <c r="G34" s="886"/>
      <c r="H34" s="878"/>
      <c r="I34" s="878"/>
    </row>
    <row r="35" spans="1:9" s="887" customFormat="1" ht="19.5" customHeight="1">
      <c r="A35" s="3325" t="s">
        <v>186</v>
      </c>
      <c r="B35" s="882" t="s">
        <v>560</v>
      </c>
      <c r="C35" s="883" t="s">
        <v>592</v>
      </c>
      <c r="D35" s="884"/>
      <c r="E35" s="882">
        <v>1</v>
      </c>
      <c r="F35" s="885" t="s">
        <v>593</v>
      </c>
      <c r="G35" s="886"/>
      <c r="H35" s="878"/>
      <c r="I35" s="878"/>
    </row>
    <row r="36" spans="1:9" s="887" customFormat="1" ht="19.5" customHeight="1">
      <c r="A36" s="3325"/>
      <c r="B36" s="3325" t="s">
        <v>563</v>
      </c>
      <c r="C36" s="883" t="s">
        <v>594</v>
      </c>
      <c r="D36" s="884"/>
      <c r="E36" s="882">
        <v>1</v>
      </c>
      <c r="F36" s="885" t="s">
        <v>595</v>
      </c>
      <c r="G36" s="886"/>
      <c r="H36" s="878"/>
      <c r="I36" s="878"/>
    </row>
    <row r="37" spans="1:9" s="887" customFormat="1" ht="19.5" customHeight="1">
      <c r="A37" s="3325"/>
      <c r="B37" s="3325"/>
      <c r="C37" s="883" t="s">
        <v>596</v>
      </c>
      <c r="D37" s="884"/>
      <c r="E37" s="882">
        <v>1.5</v>
      </c>
      <c r="F37" s="885" t="s">
        <v>597</v>
      </c>
      <c r="G37" s="886"/>
      <c r="H37" s="878"/>
      <c r="I37" s="878"/>
    </row>
    <row r="38" spans="1:9" s="887" customFormat="1" ht="19.5" customHeight="1">
      <c r="A38" s="3325"/>
      <c r="B38" s="3325"/>
      <c r="C38" s="883" t="s">
        <v>598</v>
      </c>
      <c r="D38" s="884"/>
      <c r="E38" s="882">
        <v>1</v>
      </c>
      <c r="F38" s="885" t="s">
        <v>599</v>
      </c>
      <c r="G38" s="886"/>
      <c r="H38" s="878"/>
      <c r="I38" s="878"/>
    </row>
    <row r="39" spans="1:9" s="887" customFormat="1" ht="19.5" customHeight="1">
      <c r="A39" s="3325"/>
      <c r="B39" s="332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5" t="s">
        <v>614</v>
      </c>
      <c r="C61" s="818" t="s">
        <v>615</v>
      </c>
      <c r="D61" s="818" t="s">
        <v>616</v>
      </c>
      <c r="E61" s="895">
        <v>0.5</v>
      </c>
      <c r="F61" s="882">
        <v>80</v>
      </c>
    </row>
    <row r="62" spans="1:8" s="878" customFormat="1" ht="24">
      <c r="A62" s="882">
        <v>2</v>
      </c>
      <c r="B62" s="3325"/>
      <c r="C62" s="818" t="s">
        <v>617</v>
      </c>
      <c r="D62" s="818" t="s">
        <v>618</v>
      </c>
      <c r="E62" s="895">
        <v>0.5</v>
      </c>
      <c r="F62" s="882">
        <v>80</v>
      </c>
    </row>
    <row r="63" spans="1:8" s="878" customFormat="1" ht="36">
      <c r="A63" s="882">
        <v>3</v>
      </c>
      <c r="B63" s="3325"/>
      <c r="C63" s="818" t="s">
        <v>619</v>
      </c>
      <c r="D63" s="818" t="s">
        <v>620</v>
      </c>
      <c r="E63" s="895">
        <v>0.5</v>
      </c>
      <c r="F63" s="882">
        <v>80</v>
      </c>
    </row>
    <row r="64" spans="1:8" s="878" customFormat="1" ht="36">
      <c r="A64" s="882">
        <v>4</v>
      </c>
      <c r="B64" s="3325"/>
      <c r="C64" s="818" t="s">
        <v>621</v>
      </c>
      <c r="D64" s="818" t="s">
        <v>622</v>
      </c>
      <c r="E64" s="895">
        <v>0.4</v>
      </c>
      <c r="F64" s="882">
        <v>60</v>
      </c>
    </row>
    <row r="65" spans="1:6" s="878" customFormat="1" ht="36">
      <c r="A65" s="882">
        <v>5</v>
      </c>
      <c r="B65" s="3325"/>
      <c r="C65" s="818" t="s">
        <v>623</v>
      </c>
      <c r="D65" s="818" t="s">
        <v>624</v>
      </c>
      <c r="E65" s="895">
        <v>0.2</v>
      </c>
      <c r="F65" s="882">
        <v>30</v>
      </c>
    </row>
    <row r="66" spans="1:6" s="878" customFormat="1" ht="36">
      <c r="A66" s="882">
        <v>6</v>
      </c>
      <c r="B66" s="3325"/>
      <c r="C66" s="818" t="s">
        <v>625</v>
      </c>
      <c r="D66" s="818" t="s">
        <v>626</v>
      </c>
      <c r="E66" s="895">
        <v>0.3</v>
      </c>
      <c r="F66" s="882">
        <v>50</v>
      </c>
    </row>
    <row r="67" spans="1:6" s="878" customFormat="1" ht="36">
      <c r="A67" s="882">
        <v>7</v>
      </c>
      <c r="B67" s="3325"/>
      <c r="C67" s="818" t="s">
        <v>627</v>
      </c>
      <c r="D67" s="818" t="s">
        <v>628</v>
      </c>
      <c r="E67" s="895">
        <v>0.2</v>
      </c>
      <c r="F67" s="882">
        <v>30</v>
      </c>
    </row>
    <row r="68" spans="1:6" s="878" customFormat="1" ht="36">
      <c r="A68" s="882">
        <v>8</v>
      </c>
      <c r="B68" s="3325"/>
      <c r="C68" s="818" t="s">
        <v>629</v>
      </c>
      <c r="D68" s="818" t="s">
        <v>630</v>
      </c>
      <c r="E68" s="895">
        <v>0.2</v>
      </c>
      <c r="F68" s="882">
        <v>30</v>
      </c>
    </row>
    <row r="69" spans="1:6" s="878" customFormat="1" ht="36">
      <c r="A69" s="882">
        <v>9</v>
      </c>
      <c r="B69" s="3325"/>
      <c r="C69" s="818" t="s">
        <v>631</v>
      </c>
      <c r="D69" s="818" t="s">
        <v>632</v>
      </c>
      <c r="E69" s="895">
        <v>0.2</v>
      </c>
      <c r="F69" s="882">
        <v>30</v>
      </c>
    </row>
    <row r="70" spans="1:6" s="878" customFormat="1" ht="48">
      <c r="A70" s="882">
        <v>10</v>
      </c>
      <c r="B70" s="3325"/>
      <c r="C70" s="818" t="s">
        <v>633</v>
      </c>
      <c r="D70" s="818" t="s">
        <v>634</v>
      </c>
      <c r="E70" s="895">
        <v>0.2</v>
      </c>
      <c r="F70" s="882">
        <v>30</v>
      </c>
    </row>
    <row r="71" spans="1:6" s="878" customFormat="1" ht="48">
      <c r="A71" s="882">
        <v>11</v>
      </c>
      <c r="B71" s="3325"/>
      <c r="C71" s="818" t="s">
        <v>635</v>
      </c>
      <c r="D71" s="818" t="s">
        <v>636</v>
      </c>
      <c r="E71" s="895">
        <v>0.2</v>
      </c>
      <c r="F71" s="882">
        <v>30</v>
      </c>
    </row>
    <row r="72" spans="1:6" s="878" customFormat="1" ht="36">
      <c r="A72" s="882">
        <v>12</v>
      </c>
      <c r="B72" s="3325"/>
      <c r="C72" s="818" t="s">
        <v>637</v>
      </c>
      <c r="D72" s="818" t="s">
        <v>638</v>
      </c>
      <c r="E72" s="895">
        <v>0.5</v>
      </c>
      <c r="F72" s="882">
        <v>80</v>
      </c>
    </row>
    <row r="73" spans="1:6" s="878" customFormat="1" ht="24">
      <c r="A73" s="882">
        <v>13</v>
      </c>
      <c r="B73" s="3325"/>
      <c r="C73" s="818" t="s">
        <v>639</v>
      </c>
      <c r="D73" s="818" t="s">
        <v>640</v>
      </c>
      <c r="E73" s="895">
        <v>0.4</v>
      </c>
      <c r="F73" s="882">
        <v>60</v>
      </c>
    </row>
    <row r="74" spans="1:6" s="878" customFormat="1" ht="24">
      <c r="A74" s="882">
        <v>14</v>
      </c>
      <c r="B74" s="3325"/>
      <c r="C74" s="818" t="s">
        <v>641</v>
      </c>
      <c r="D74" s="818" t="s">
        <v>642</v>
      </c>
      <c r="E74" s="895">
        <v>0.2</v>
      </c>
      <c r="F74" s="882">
        <v>30</v>
      </c>
    </row>
    <row r="75" spans="1:6" s="878" customFormat="1" ht="24">
      <c r="A75" s="882">
        <v>15</v>
      </c>
      <c r="B75" s="3325"/>
      <c r="C75" s="818" t="s">
        <v>643</v>
      </c>
      <c r="D75" s="818" t="s">
        <v>644</v>
      </c>
      <c r="E75" s="895">
        <v>0.2</v>
      </c>
      <c r="F75" s="882">
        <v>30</v>
      </c>
    </row>
    <row r="76" spans="1:6" s="878" customFormat="1" ht="24">
      <c r="A76" s="882">
        <v>16</v>
      </c>
      <c r="B76" s="3325" t="s">
        <v>645</v>
      </c>
      <c r="C76" s="818" t="s">
        <v>646</v>
      </c>
      <c r="D76" s="818" t="s">
        <v>647</v>
      </c>
      <c r="E76" s="895">
        <v>0.5</v>
      </c>
      <c r="F76" s="882">
        <v>80</v>
      </c>
    </row>
    <row r="77" spans="1:6" s="878" customFormat="1" ht="24">
      <c r="A77" s="882">
        <v>17</v>
      </c>
      <c r="B77" s="3325"/>
      <c r="C77" s="818" t="s">
        <v>648</v>
      </c>
      <c r="D77" s="818" t="s">
        <v>649</v>
      </c>
      <c r="E77" s="895">
        <v>0.5</v>
      </c>
      <c r="F77" s="882">
        <v>80</v>
      </c>
    </row>
    <row r="78" spans="1:6" s="878" customFormat="1" ht="24">
      <c r="A78" s="882">
        <v>18</v>
      </c>
      <c r="B78" s="3325"/>
      <c r="C78" s="818" t="s">
        <v>650</v>
      </c>
      <c r="D78" s="818" t="s">
        <v>651</v>
      </c>
      <c r="E78" s="895">
        <v>0.2</v>
      </c>
      <c r="F78" s="882">
        <v>30</v>
      </c>
    </row>
    <row r="79" spans="1:6" s="878" customFormat="1" ht="24">
      <c r="A79" s="882">
        <v>19</v>
      </c>
      <c r="B79" s="3325"/>
      <c r="C79" s="818" t="s">
        <v>652</v>
      </c>
      <c r="D79" s="818" t="s">
        <v>653</v>
      </c>
      <c r="E79" s="895">
        <v>0.5</v>
      </c>
      <c r="F79" s="882">
        <v>80</v>
      </c>
    </row>
    <row r="80" spans="1:6" s="878" customFormat="1" ht="36">
      <c r="A80" s="882">
        <v>20</v>
      </c>
      <c r="B80" s="3325"/>
      <c r="C80" s="818" t="s">
        <v>654</v>
      </c>
      <c r="D80" s="818" t="s">
        <v>655</v>
      </c>
      <c r="E80" s="895">
        <v>0.2</v>
      </c>
      <c r="F80" s="882">
        <v>30</v>
      </c>
    </row>
    <row r="81" spans="1:6" s="878" customFormat="1" ht="36">
      <c r="A81" s="882">
        <v>21</v>
      </c>
      <c r="B81" s="3325"/>
      <c r="C81" s="818" t="s">
        <v>656</v>
      </c>
      <c r="D81" s="818" t="s">
        <v>657</v>
      </c>
      <c r="E81" s="895">
        <v>0.2</v>
      </c>
      <c r="F81" s="882">
        <v>30</v>
      </c>
    </row>
    <row r="82" spans="1:6" s="878" customFormat="1" ht="48">
      <c r="A82" s="882">
        <v>22</v>
      </c>
      <c r="B82" s="3325"/>
      <c r="C82" s="818" t="s">
        <v>658</v>
      </c>
      <c r="D82" s="818" t="s">
        <v>659</v>
      </c>
      <c r="E82" s="895">
        <v>0.2</v>
      </c>
      <c r="F82" s="882">
        <v>30</v>
      </c>
    </row>
    <row r="83" spans="1:6" s="878" customFormat="1" ht="48">
      <c r="A83" s="882">
        <v>23</v>
      </c>
      <c r="B83" s="3325"/>
      <c r="C83" s="818" t="s">
        <v>660</v>
      </c>
      <c r="D83" s="818" t="s">
        <v>661</v>
      </c>
      <c r="E83" s="895">
        <v>0.2</v>
      </c>
      <c r="F83" s="882">
        <v>30</v>
      </c>
    </row>
    <row r="84" spans="1:6" s="878" customFormat="1" ht="36">
      <c r="A84" s="882">
        <v>24</v>
      </c>
      <c r="B84" s="3325"/>
      <c r="C84" s="818" t="s">
        <v>662</v>
      </c>
      <c r="D84" s="818" t="s">
        <v>663</v>
      </c>
      <c r="E84" s="895">
        <v>0.2</v>
      </c>
      <c r="F84" s="882">
        <v>30</v>
      </c>
    </row>
    <row r="85" spans="1:6" s="878" customFormat="1" ht="36">
      <c r="A85" s="882">
        <v>25</v>
      </c>
      <c r="B85" s="3325"/>
      <c r="C85" s="818" t="s">
        <v>664</v>
      </c>
      <c r="D85" s="818" t="s">
        <v>665</v>
      </c>
      <c r="E85" s="895">
        <v>0.5</v>
      </c>
      <c r="F85" s="882">
        <v>80</v>
      </c>
    </row>
    <row r="86" spans="1:6" s="878" customFormat="1" ht="36">
      <c r="A86" s="882">
        <v>26</v>
      </c>
      <c r="B86" s="3325"/>
      <c r="C86" s="818" t="s">
        <v>666</v>
      </c>
      <c r="D86" s="818" t="s">
        <v>667</v>
      </c>
      <c r="E86" s="895">
        <v>0.2</v>
      </c>
      <c r="F86" s="882">
        <v>30</v>
      </c>
    </row>
    <row r="87" spans="1:6" s="878" customFormat="1" ht="36">
      <c r="A87" s="882">
        <v>27</v>
      </c>
      <c r="B87" s="3325"/>
      <c r="C87" s="818" t="s">
        <v>668</v>
      </c>
      <c r="D87" s="818" t="s">
        <v>669</v>
      </c>
      <c r="E87" s="895">
        <v>0.2</v>
      </c>
      <c r="F87" s="882">
        <v>30</v>
      </c>
    </row>
    <row r="88" spans="1:6" s="878" customFormat="1" ht="36">
      <c r="A88" s="882">
        <v>28</v>
      </c>
      <c r="B88" s="3325"/>
      <c r="C88" s="818" t="s">
        <v>670</v>
      </c>
      <c r="D88" s="818" t="s">
        <v>671</v>
      </c>
      <c r="E88" s="895">
        <v>0.2</v>
      </c>
      <c r="F88" s="882">
        <v>30</v>
      </c>
    </row>
    <row r="89" spans="1:6" s="878" customFormat="1" ht="24">
      <c r="A89" s="882">
        <v>29</v>
      </c>
      <c r="B89" s="3325"/>
      <c r="C89" s="818" t="s">
        <v>672</v>
      </c>
      <c r="D89" s="818" t="s">
        <v>673</v>
      </c>
      <c r="E89" s="895">
        <v>0.2</v>
      </c>
      <c r="F89" s="882">
        <v>30</v>
      </c>
    </row>
    <row r="90" spans="1:6" s="878" customFormat="1" ht="24">
      <c r="A90" s="882">
        <v>30</v>
      </c>
      <c r="B90" s="3325"/>
      <c r="C90" s="818" t="s">
        <v>674</v>
      </c>
      <c r="D90" s="818" t="s">
        <v>675</v>
      </c>
      <c r="E90" s="895">
        <v>0.2</v>
      </c>
      <c r="F90" s="882">
        <v>30</v>
      </c>
    </row>
    <row r="91" spans="1:6" s="878" customFormat="1" ht="36">
      <c r="A91" s="882">
        <v>31</v>
      </c>
      <c r="B91" s="3325"/>
      <c r="C91" s="818" t="s">
        <v>676</v>
      </c>
      <c r="D91" s="818" t="s">
        <v>677</v>
      </c>
      <c r="E91" s="895">
        <v>0.2</v>
      </c>
      <c r="F91" s="882">
        <v>30</v>
      </c>
    </row>
    <row r="92" spans="1:6" s="878" customFormat="1" ht="24">
      <c r="A92" s="882">
        <v>32</v>
      </c>
      <c r="B92" s="3325" t="s">
        <v>678</v>
      </c>
      <c r="C92" s="882" t="s">
        <v>679</v>
      </c>
      <c r="D92" s="818" t="s">
        <v>680</v>
      </c>
      <c r="E92" s="895">
        <v>0.2</v>
      </c>
      <c r="F92" s="882">
        <v>30</v>
      </c>
    </row>
    <row r="93" spans="1:6" s="878" customFormat="1" ht="36">
      <c r="A93" s="882">
        <v>33</v>
      </c>
      <c r="B93" s="3325"/>
      <c r="C93" s="882" t="s">
        <v>681</v>
      </c>
      <c r="D93" s="818" t="s">
        <v>682</v>
      </c>
      <c r="E93" s="895">
        <v>0.2</v>
      </c>
      <c r="F93" s="882">
        <v>30</v>
      </c>
    </row>
    <row r="94" spans="1:6" s="878" customFormat="1" ht="48">
      <c r="A94" s="882">
        <v>34</v>
      </c>
      <c r="B94" s="3325"/>
      <c r="C94" s="882" t="s">
        <v>683</v>
      </c>
      <c r="D94" s="818" t="s">
        <v>684</v>
      </c>
      <c r="E94" s="895">
        <v>0.2</v>
      </c>
      <c r="F94" s="882">
        <v>30</v>
      </c>
    </row>
    <row r="95" spans="1:6" s="878" customFormat="1" ht="36">
      <c r="A95" s="882">
        <v>35</v>
      </c>
      <c r="B95" s="3325"/>
      <c r="C95" s="882" t="s">
        <v>685</v>
      </c>
      <c r="D95" s="818" t="s">
        <v>686</v>
      </c>
      <c r="E95" s="895">
        <v>0.2</v>
      </c>
      <c r="F95" s="882">
        <v>30</v>
      </c>
    </row>
    <row r="96" spans="1:6" s="878" customFormat="1" ht="48">
      <c r="A96" s="882">
        <v>36</v>
      </c>
      <c r="B96" s="3325"/>
      <c r="C96" s="818" t="s">
        <v>687</v>
      </c>
      <c r="D96" s="818" t="s">
        <v>688</v>
      </c>
      <c r="E96" s="895">
        <v>0.2</v>
      </c>
      <c r="F96" s="882">
        <v>30</v>
      </c>
    </row>
    <row r="97" spans="1:6" s="878" customFormat="1" ht="36">
      <c r="A97" s="882">
        <v>37</v>
      </c>
      <c r="B97" s="3325"/>
      <c r="C97" s="882" t="s">
        <v>689</v>
      </c>
      <c r="D97" s="818" t="s">
        <v>690</v>
      </c>
      <c r="E97" s="895">
        <v>0.2</v>
      </c>
      <c r="F97" s="882">
        <v>30</v>
      </c>
    </row>
    <row r="98" spans="1:6" s="878" customFormat="1" ht="36">
      <c r="A98" s="882">
        <v>38</v>
      </c>
      <c r="B98" s="3325"/>
      <c r="C98" s="882" t="s">
        <v>691</v>
      </c>
      <c r="D98" s="818" t="s">
        <v>692</v>
      </c>
      <c r="E98" s="895">
        <v>0.2</v>
      </c>
      <c r="F98" s="882">
        <v>30</v>
      </c>
    </row>
    <row r="99" spans="1:6" s="878" customFormat="1" ht="36">
      <c r="A99" s="882">
        <v>39</v>
      </c>
      <c r="B99" s="3325" t="s">
        <v>693</v>
      </c>
      <c r="C99" s="882" t="s">
        <v>694</v>
      </c>
      <c r="D99" s="818" t="s">
        <v>695</v>
      </c>
      <c r="E99" s="895">
        <v>0.3</v>
      </c>
      <c r="F99" s="882">
        <v>50</v>
      </c>
    </row>
    <row r="100" spans="1:6" s="878" customFormat="1" ht="24">
      <c r="A100" s="882">
        <v>40</v>
      </c>
      <c r="B100" s="3325"/>
      <c r="C100" s="882" t="s">
        <v>696</v>
      </c>
      <c r="D100" s="818" t="s">
        <v>697</v>
      </c>
      <c r="E100" s="895">
        <v>0.2</v>
      </c>
      <c r="F100" s="882">
        <v>30</v>
      </c>
    </row>
    <row r="101" spans="1:6" s="878" customFormat="1" ht="36">
      <c r="A101" s="882">
        <v>41</v>
      </c>
      <c r="B101" s="332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5" t="s">
        <v>708</v>
      </c>
      <c r="C105" s="882" t="s">
        <v>709</v>
      </c>
      <c r="D105" s="818" t="s">
        <v>710</v>
      </c>
      <c r="E105" s="895">
        <v>0.2</v>
      </c>
      <c r="F105" s="882">
        <v>30</v>
      </c>
    </row>
    <row r="106" spans="1:6" s="878" customFormat="1" ht="36">
      <c r="A106" s="882">
        <v>46</v>
      </c>
      <c r="B106" s="3325"/>
      <c r="C106" s="882" t="s">
        <v>711</v>
      </c>
      <c r="D106" s="818" t="s">
        <v>712</v>
      </c>
      <c r="E106" s="895">
        <v>0.2</v>
      </c>
      <c r="F106" s="882">
        <v>30</v>
      </c>
    </row>
    <row r="107" spans="1:6" s="878" customFormat="1" ht="36">
      <c r="A107" s="882">
        <v>47</v>
      </c>
      <c r="B107" s="3325" t="s">
        <v>713</v>
      </c>
      <c r="C107" s="882" t="s">
        <v>714</v>
      </c>
      <c r="D107" s="818" t="s">
        <v>715</v>
      </c>
      <c r="E107" s="895">
        <v>0.3</v>
      </c>
      <c r="F107" s="882">
        <v>50</v>
      </c>
    </row>
    <row r="108" spans="1:6" s="878" customFormat="1" ht="36">
      <c r="A108" s="882">
        <v>48</v>
      </c>
      <c r="B108" s="332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5" t="s">
        <v>724</v>
      </c>
      <c r="C111" s="882" t="s">
        <v>725</v>
      </c>
      <c r="D111" s="818" t="s">
        <v>726</v>
      </c>
      <c r="E111" s="895">
        <v>0.2</v>
      </c>
      <c r="F111" s="882">
        <v>30</v>
      </c>
    </row>
    <row r="112" spans="1:6" s="878" customFormat="1" ht="24">
      <c r="A112" s="882">
        <v>52</v>
      </c>
      <c r="B112" s="3325"/>
      <c r="C112" s="882" t="s">
        <v>727</v>
      </c>
      <c r="D112" s="818" t="s">
        <v>728</v>
      </c>
      <c r="E112" s="895">
        <v>0.2</v>
      </c>
      <c r="F112" s="882">
        <v>30</v>
      </c>
    </row>
    <row r="113" spans="1:6" s="878" customFormat="1" ht="24">
      <c r="A113" s="882">
        <v>53</v>
      </c>
      <c r="B113" s="332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5" t="s">
        <v>737</v>
      </c>
      <c r="C116" s="882" t="s">
        <v>738</v>
      </c>
      <c r="D116" s="818" t="s">
        <v>739</v>
      </c>
      <c r="E116" s="895">
        <v>0.2</v>
      </c>
      <c r="F116" s="882">
        <v>30</v>
      </c>
    </row>
    <row r="117" spans="1:6" ht="36">
      <c r="A117" s="882">
        <v>57</v>
      </c>
      <c r="B117" s="332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6">
        <f ca="1">SUMIF(INDIRECT("'"&amp;A6&amp;"'"&amp;"!C:C"),"建筑面积",INDIRECT("'"&amp;A6&amp;"'"&amp;"!D:D"))</f>
        <v>0</v>
      </c>
    </row>
    <row r="7" spans="1:5" ht="15.75">
      <c r="A7" s="2907"/>
      <c r="B7" s="2903" t="e">
        <f ca="1">SUMIF(INDIRECT("'"&amp;A7&amp;"'"&amp;"!A:A"),"总价",INDIRECT("'"&amp;A7&amp;"'"&amp;"!B:B"))</f>
        <v>#REF!</v>
      </c>
      <c r="C7" s="2902" t="s">
        <v>2997</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6" t="e">
        <f t="shared" ca="1" si="0"/>
        <v>#REF!</v>
      </c>
    </row>
    <row r="9" spans="1:5" ht="15.75">
      <c r="A9" s="2907"/>
      <c r="B9" s="2903" t="e">
        <f t="shared" ca="1" si="1"/>
        <v>#REF!</v>
      </c>
      <c r="C9" s="2902" t="s">
        <v>2997</v>
      </c>
      <c r="D9" s="2904"/>
      <c r="E9" s="2576" t="e">
        <f t="shared" ca="1" si="0"/>
        <v>#REF!</v>
      </c>
    </row>
    <row r="10" spans="1:5" ht="15.75">
      <c r="A10" s="2907"/>
      <c r="B10" s="2903" t="e">
        <f t="shared" ca="1" si="1"/>
        <v>#REF!</v>
      </c>
      <c r="C10" s="2902" t="s">
        <v>2997</v>
      </c>
      <c r="D10" s="2904"/>
      <c r="E10" s="2576" t="e">
        <f t="shared" ca="1" si="0"/>
        <v>#REF!</v>
      </c>
    </row>
    <row r="11" spans="1:5" ht="15.75">
      <c r="A11" s="2907"/>
      <c r="B11" s="2903" t="e">
        <f t="shared" ca="1" si="1"/>
        <v>#REF!</v>
      </c>
      <c r="C11" s="2902" t="s">
        <v>2997</v>
      </c>
      <c r="D11" s="2904"/>
      <c r="E11" s="2576" t="e">
        <f t="shared" ca="1" si="0"/>
        <v>#REF!</v>
      </c>
    </row>
    <row r="12" spans="1:5" ht="15.75">
      <c r="A12" s="2907"/>
      <c r="B12" s="2903" t="e">
        <f t="shared" ca="1" si="1"/>
        <v>#REF!</v>
      </c>
      <c r="C12" s="2902" t="s">
        <v>2997</v>
      </c>
      <c r="D12" s="2904"/>
      <c r="E12" s="2576" t="e">
        <f t="shared" ca="1" si="0"/>
        <v>#REF!</v>
      </c>
    </row>
    <row r="13" spans="1:5" ht="15.75">
      <c r="A13" s="2907"/>
      <c r="B13" s="2903" t="e">
        <f t="shared" ca="1" si="1"/>
        <v>#REF!</v>
      </c>
      <c r="C13" s="2902" t="s">
        <v>2997</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9"/>
      <c r="B4" s="3002" t="s">
        <v>1624</v>
      </c>
      <c r="C4" s="3002"/>
      <c r="D4" s="3002"/>
      <c r="E4" s="1959"/>
    </row>
    <row r="5" spans="1:5" ht="16.5" thickTop="1">
      <c r="A5" s="1957"/>
      <c r="B5" s="3000" t="s">
        <v>1616</v>
      </c>
      <c r="C5" s="1960" t="s">
        <v>1617</v>
      </c>
      <c r="D5" s="1040">
        <f ca="1">结果表!H101</f>
        <v>164824</v>
      </c>
      <c r="E5" s="1957"/>
    </row>
    <row r="6" spans="1:5" ht="15.75">
      <c r="A6" s="1957"/>
      <c r="B6" s="3000"/>
      <c r="C6" s="1960" t="s">
        <v>1618</v>
      </c>
      <c r="D6" s="1040" t="str">
        <f ca="1">NUMBERSTRING(INT(D5*10000),2)&amp;"元整"</f>
        <v>壹拾陆亿肆仟捌佰贰拾肆万元整</v>
      </c>
      <c r="E6" s="1957"/>
    </row>
    <row r="7" spans="1:5" ht="15.75">
      <c r="A7" s="1957"/>
      <c r="B7" s="3005"/>
      <c r="C7" s="1961" t="s">
        <v>1619</v>
      </c>
      <c r="D7" s="1041">
        <f ca="1">结果表!H102</f>
        <v>3741493</v>
      </c>
      <c r="E7" s="1957"/>
    </row>
    <row r="8" spans="1:5" ht="15.75">
      <c r="A8" s="1957"/>
      <c r="B8" s="3006" t="str">
        <f>结果表!E103</f>
        <v>2.估价师知悉的法定优先受偿款</v>
      </c>
      <c r="C8" s="1962" t="s">
        <v>1620</v>
      </c>
      <c r="D8" s="1041">
        <f>结果表!H103</f>
        <v>0</v>
      </c>
      <c r="E8" s="1957"/>
    </row>
    <row r="9" spans="1:5" ht="15.75">
      <c r="A9" s="1957"/>
      <c r="B9" s="3008"/>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9" t="str">
        <f>结果表!E107</f>
        <v>3.房地产抵押价值</v>
      </c>
      <c r="C13" s="1965" t="s">
        <v>1617</v>
      </c>
      <c r="D13" s="1043">
        <f ca="1">结果表!H107</f>
        <v>164824</v>
      </c>
      <c r="E13" s="1957"/>
    </row>
    <row r="14" spans="1:5" ht="15.75">
      <c r="A14" s="1957"/>
      <c r="B14" s="3000"/>
      <c r="C14" s="1960" t="s">
        <v>1618</v>
      </c>
      <c r="D14" s="1040" t="str">
        <f ca="1">NUMBERSTRING(INT(D13*10000),2)&amp;"元整"</f>
        <v>壹拾陆亿肆仟捌佰贰拾肆万元整</v>
      </c>
      <c r="E14" s="1957"/>
    </row>
    <row r="15" spans="1:5" ht="15">
      <c r="A15" s="1957"/>
      <c r="B15" s="3005"/>
      <c r="C15" s="1961" t="s">
        <v>1628</v>
      </c>
      <c r="D15" s="1052">
        <f ca="1">结果表!H108</f>
        <v>3741493</v>
      </c>
      <c r="E15" s="1957"/>
    </row>
    <row r="16" spans="1:5" ht="15">
      <c r="A16" s="1957"/>
      <c r="B16" s="3006" t="str">
        <f>结果表!E109</f>
        <v>——</v>
      </c>
      <c r="C16" s="1965" t="s">
        <v>1629</v>
      </c>
      <c r="D16" s="1966" t="str">
        <f>结果表!H109</f>
        <v>——</v>
      </c>
      <c r="E16" s="1957"/>
    </row>
    <row r="17" spans="1:5" ht="15.75">
      <c r="A17" s="1957"/>
      <c r="B17" s="3007"/>
      <c r="C17" s="1960" t="s">
        <v>1630</v>
      </c>
      <c r="D17" s="1040" t="e">
        <f>NUMBERSTRING(INT(D16*10000),2)&amp;"元整"</f>
        <v>#VALUE!</v>
      </c>
      <c r="E17" s="1957"/>
    </row>
    <row r="18" spans="1:5" ht="15">
      <c r="A18" s="1957"/>
      <c r="B18" s="3008"/>
      <c r="C18" s="1961" t="s">
        <v>1619</v>
      </c>
      <c r="D18" s="1052" t="str">
        <f>结果表!H110</f>
        <v>——</v>
      </c>
      <c r="E18" s="1957"/>
    </row>
    <row r="19" spans="1:5" ht="15.75">
      <c r="A19" s="1957"/>
      <c r="B19" s="2999" t="str">
        <f>结果表!E111</f>
        <v>——</v>
      </c>
      <c r="C19" s="1965" t="s">
        <v>1617</v>
      </c>
      <c r="D19" s="1041" t="str">
        <f>结果表!H111</f>
        <v>——</v>
      </c>
      <c r="E19" s="1957"/>
    </row>
    <row r="20" spans="1:5" ht="15.75">
      <c r="A20" s="1957"/>
      <c r="B20" s="3000"/>
      <c r="C20" s="1960" t="s">
        <v>1630</v>
      </c>
      <c r="D20" s="1040" t="e">
        <f>NUMBERSTRING(INT(D19*10000),2)&amp;"元整"</f>
        <v>#VALUE!</v>
      </c>
      <c r="E20" s="1957"/>
    </row>
    <row r="21" spans="1:5" ht="15.75" thickBot="1">
      <c r="A21" s="1957"/>
      <c r="B21" s="3001"/>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1" t="s">
        <v>1145</v>
      </c>
      <c r="C1" s="3331"/>
      <c r="D1" s="3331"/>
      <c r="E1" s="3331"/>
      <c r="F1" s="3331"/>
      <c r="G1" s="3327" t="s">
        <v>1146</v>
      </c>
      <c r="H1" s="3327"/>
      <c r="I1" s="3327"/>
      <c r="J1" s="3327"/>
      <c r="K1" s="3327"/>
      <c r="L1" s="3327"/>
      <c r="N1" s="3327" t="s">
        <v>1147</v>
      </c>
      <c r="O1" s="3327"/>
      <c r="P1" s="3327"/>
      <c r="Q1" s="3327"/>
      <c r="R1" s="1445"/>
      <c r="S1" s="3327" t="s">
        <v>1148</v>
      </c>
      <c r="T1" s="3327"/>
      <c r="U1" s="3327"/>
      <c r="V1" s="3327"/>
      <c r="X1" s="3326" t="s">
        <v>1149</v>
      </c>
      <c r="Y1" s="3327"/>
      <c r="Z1" s="3327"/>
      <c r="AA1" s="3327"/>
      <c r="AB1" s="3327"/>
      <c r="AD1" s="3326" t="s">
        <v>1150</v>
      </c>
      <c r="AE1" s="3327"/>
      <c r="AF1" s="3327"/>
      <c r="AG1" s="3327"/>
      <c r="AH1" s="332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29">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29"/>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29"/>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6"/>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2">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29"/>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29"/>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6"/>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2">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29"/>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29"/>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0"/>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28">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29"/>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29"/>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0"/>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28">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29"/>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29"/>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0"/>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3">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4"/>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4"/>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5"/>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28">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29"/>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29"/>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0"/>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28">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29">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29">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0">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28">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29">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29">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0">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28">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29">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29">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0">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28">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29">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29">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0">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28">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29">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29">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0">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28">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29">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29">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0">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28">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29">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29">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0">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28">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29">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29">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0">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28">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29">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29">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0">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28">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29">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29">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0">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X73" sqref="X73"/>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38" t="s">
        <v>3007</v>
      </c>
      <c r="D1" s="3339"/>
      <c r="E1" s="3339"/>
      <c r="F1" s="3339"/>
      <c r="G1" s="3339"/>
      <c r="H1" s="3339"/>
      <c r="I1" s="3339"/>
      <c r="J1" s="3339"/>
      <c r="K1" s="3339"/>
      <c r="L1" s="3339"/>
      <c r="M1" s="3339"/>
      <c r="N1" s="3339"/>
      <c r="O1" s="3339"/>
      <c r="P1" s="3339"/>
      <c r="Q1" s="3339"/>
      <c r="R1" s="3339"/>
      <c r="S1" s="3340"/>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3182</v>
      </c>
      <c r="D17" s="2993" t="s">
        <v>3183</v>
      </c>
      <c r="E17" s="2993" t="s">
        <v>3184</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5" thickBot="1">
      <c r="A20" s="715" t="s">
        <v>3019</v>
      </c>
      <c r="B20" s="338">
        <f ca="1">IF(D20="——",S22,S22-F20)</f>
        <v>164824</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 ca="1">R22</f>
        <v>50744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32481.78999999999</v>
      </c>
      <c r="C22" s="3115" t="s">
        <v>33</v>
      </c>
      <c r="D22" s="3116"/>
      <c r="E22" s="3116"/>
      <c r="F22" s="3116"/>
      <c r="G22" s="3116"/>
      <c r="H22" s="3116"/>
      <c r="I22" s="3116"/>
      <c r="J22" s="3116"/>
      <c r="K22" s="3116"/>
      <c r="L22" s="3116"/>
      <c r="M22" s="3116"/>
      <c r="N22" s="3116"/>
      <c r="O22" s="3116"/>
      <c r="P22" s="3116"/>
      <c r="Q22" s="3337"/>
      <c r="R22" s="716">
        <f ca="1">ROUND(S22*10000/B22,0)</f>
        <v>50744</v>
      </c>
      <c r="S22" s="24">
        <f ca="1">SUM(S24:S10000)</f>
        <v>164824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Sheet2!D40</f>
        <v>3-2008</v>
      </c>
      <c r="B24" s="718">
        <f>Sheet2!G40</f>
        <v>440.53</v>
      </c>
      <c r="C24" s="719">
        <v>1</v>
      </c>
      <c r="D24" s="720"/>
      <c r="E24" s="719">
        <v>1</v>
      </c>
      <c r="F24" s="720"/>
      <c r="G24" s="719">
        <v>1</v>
      </c>
      <c r="H24" s="720"/>
      <c r="I24" s="719">
        <v>1</v>
      </c>
      <c r="J24" s="720"/>
      <c r="K24" s="719">
        <v>1</v>
      </c>
      <c r="L24" s="720"/>
      <c r="M24" s="719">
        <v>1</v>
      </c>
      <c r="N24" s="720"/>
      <c r="O24" s="719">
        <v>1</v>
      </c>
      <c r="P24" s="2994" t="s">
        <v>3185</v>
      </c>
      <c r="Q24" s="719">
        <v>1</v>
      </c>
      <c r="R24" s="721">
        <f ca="1">'结果表-基准'!G20</f>
        <v>51299</v>
      </c>
      <c r="S24" s="719">
        <f t="shared" ref="S24:S54" ca="1" si="11">ROUND(R24*B24/10000,0)</f>
        <v>2260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Sheet2!D2</f>
        <v>3-601</v>
      </c>
      <c r="B25" s="718">
        <f>Sheet2!G2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3186</v>
      </c>
      <c r="Q25" s="24">
        <f>(SUMIF($17:$17,P25,$18:$18)-SUMIF($17:$17,$P$24,$18:$18)+100)/100</f>
        <v>0.95</v>
      </c>
      <c r="R25" s="716">
        <f ca="1">IF(B25="",0,ROUND($R$24*C25*E25*G25*I25*K25*M25*O25*Q25,0))</f>
        <v>47759</v>
      </c>
      <c r="S25" s="361">
        <f t="shared" ca="1" si="11"/>
        <v>3266</v>
      </c>
    </row>
    <row r="26" spans="1:45">
      <c r="A26" s="159" t="str">
        <f>Sheet2!D3</f>
        <v>3-602</v>
      </c>
      <c r="B26" s="718">
        <f>Sheet2!G3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3184</v>
      </c>
      <c r="Q26" s="24">
        <f t="shared" ref="Q26:Q89" si="19">(SUMIF($17:$17,P26,$18:$18)-SUMIF($17:$17,$P$24,$18:$18)+100)/100</f>
        <v>0.95</v>
      </c>
      <c r="R26" s="716">
        <f t="shared" ref="R26:R89" ca="1" si="20">IF(B26="",0,ROUND($R$24*C26*E26*G26*I26*K26*M26*O26*Q26,0))</f>
        <v>47759</v>
      </c>
      <c r="S26" s="361">
        <f t="shared" ca="1" si="11"/>
        <v>904</v>
      </c>
    </row>
    <row r="27" spans="1:45">
      <c r="A27" s="159" t="str">
        <f>Sheet2!D4</f>
        <v>3-603</v>
      </c>
      <c r="B27" s="718">
        <f>Sheet2!G4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3184</v>
      </c>
      <c r="Q27" s="24">
        <f t="shared" si="19"/>
        <v>0.95</v>
      </c>
      <c r="R27" s="716">
        <f t="shared" ca="1" si="20"/>
        <v>47759</v>
      </c>
      <c r="S27" s="361">
        <f t="shared" ca="1" si="11"/>
        <v>904</v>
      </c>
    </row>
    <row r="28" spans="1:45">
      <c r="A28" s="159" t="str">
        <f>Sheet2!D5</f>
        <v>3-605</v>
      </c>
      <c r="B28" s="718">
        <f>Sheet2!G5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3184</v>
      </c>
      <c r="Q28" s="24">
        <f t="shared" si="19"/>
        <v>0.95</v>
      </c>
      <c r="R28" s="716">
        <f t="shared" ca="1" si="20"/>
        <v>48734</v>
      </c>
      <c r="S28" s="361">
        <f t="shared" ca="1" si="11"/>
        <v>2636</v>
      </c>
    </row>
    <row r="29" spans="1:45">
      <c r="A29" s="159" t="str">
        <f>Sheet2!D6</f>
        <v>3-606</v>
      </c>
      <c r="B29" s="718">
        <f>Sheet2!G6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3184</v>
      </c>
      <c r="Q29" s="24">
        <f t="shared" si="19"/>
        <v>0.95</v>
      </c>
      <c r="R29" s="716">
        <f t="shared" ca="1" si="20"/>
        <v>48734</v>
      </c>
      <c r="S29" s="361">
        <f t="shared" ca="1" si="11"/>
        <v>2750</v>
      </c>
    </row>
    <row r="30" spans="1:45">
      <c r="A30" s="159" t="str">
        <f>Sheet2!D7</f>
        <v>3-607</v>
      </c>
      <c r="B30" s="718">
        <f>Sheet2!G7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3184</v>
      </c>
      <c r="Q30" s="24">
        <f t="shared" si="19"/>
        <v>0.95</v>
      </c>
      <c r="R30" s="716">
        <f t="shared" ca="1" si="20"/>
        <v>47759</v>
      </c>
      <c r="S30" s="361">
        <f t="shared" ca="1" si="11"/>
        <v>904</v>
      </c>
    </row>
    <row r="31" spans="1:45">
      <c r="A31" s="159" t="str">
        <f>Sheet2!D8</f>
        <v>3-608</v>
      </c>
      <c r="B31" s="718">
        <f>Sheet2!G8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3184</v>
      </c>
      <c r="Q31" s="24">
        <f t="shared" si="19"/>
        <v>0.95</v>
      </c>
      <c r="R31" s="716">
        <f t="shared" ca="1" si="20"/>
        <v>48734</v>
      </c>
      <c r="S31" s="361">
        <f t="shared" ca="1" si="11"/>
        <v>2147</v>
      </c>
    </row>
    <row r="32" spans="1:45">
      <c r="A32" s="159" t="str">
        <f>Sheet2!D9</f>
        <v>3-609</v>
      </c>
      <c r="B32" s="718">
        <f>Sheet2!G9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3184</v>
      </c>
      <c r="Q32" s="24">
        <f t="shared" si="19"/>
        <v>0.95</v>
      </c>
      <c r="R32" s="716">
        <f t="shared" ca="1" si="20"/>
        <v>48734</v>
      </c>
      <c r="S32" s="361">
        <f t="shared" ca="1" si="11"/>
        <v>2107</v>
      </c>
    </row>
    <row r="33" spans="1:19">
      <c r="A33" s="159" t="str">
        <f>Sheet2!D10</f>
        <v>3-701</v>
      </c>
      <c r="B33" s="718">
        <f>Sheet2!G10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3184</v>
      </c>
      <c r="Q33" s="24">
        <f t="shared" si="19"/>
        <v>0.95</v>
      </c>
      <c r="R33" s="716">
        <f t="shared" ca="1" si="20"/>
        <v>47759</v>
      </c>
      <c r="S33" s="361">
        <f t="shared" ca="1" si="11"/>
        <v>3266</v>
      </c>
    </row>
    <row r="34" spans="1:19">
      <c r="A34" s="159" t="str">
        <f>Sheet2!D11</f>
        <v>3-702</v>
      </c>
      <c r="B34" s="718">
        <f>Sheet2!G11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3184</v>
      </c>
      <c r="Q34" s="24">
        <f t="shared" si="19"/>
        <v>0.95</v>
      </c>
      <c r="R34" s="716">
        <f t="shared" ca="1" si="20"/>
        <v>47759</v>
      </c>
      <c r="S34" s="361">
        <f t="shared" ca="1" si="11"/>
        <v>904</v>
      </c>
    </row>
    <row r="35" spans="1:19">
      <c r="A35" s="159" t="str">
        <f>Sheet2!D12</f>
        <v>3-703</v>
      </c>
      <c r="B35" s="718">
        <f>Sheet2!G12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3184</v>
      </c>
      <c r="Q35" s="24">
        <f t="shared" si="19"/>
        <v>0.95</v>
      </c>
      <c r="R35" s="716">
        <f t="shared" ca="1" si="20"/>
        <v>47759</v>
      </c>
      <c r="S35" s="361">
        <f t="shared" ca="1" si="11"/>
        <v>904</v>
      </c>
    </row>
    <row r="36" spans="1:19">
      <c r="A36" s="159" t="str">
        <f>Sheet2!D13</f>
        <v>3-705</v>
      </c>
      <c r="B36" s="718">
        <f>Sheet2!G13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3184</v>
      </c>
      <c r="Q36" s="24">
        <f t="shared" si="19"/>
        <v>0.95</v>
      </c>
      <c r="R36" s="716">
        <f t="shared" ca="1" si="20"/>
        <v>48734</v>
      </c>
      <c r="S36" s="361">
        <f t="shared" ca="1" si="11"/>
        <v>2636</v>
      </c>
    </row>
    <row r="37" spans="1:19">
      <c r="A37" s="159" t="str">
        <f>Sheet2!D14</f>
        <v>3-706</v>
      </c>
      <c r="B37" s="718">
        <f>Sheet2!G14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3184</v>
      </c>
      <c r="Q37" s="24">
        <f t="shared" si="19"/>
        <v>0.95</v>
      </c>
      <c r="R37" s="716">
        <f t="shared" ca="1" si="20"/>
        <v>48734</v>
      </c>
      <c r="S37" s="361">
        <f t="shared" ca="1" si="11"/>
        <v>2750</v>
      </c>
    </row>
    <row r="38" spans="1:19">
      <c r="A38" s="159" t="str">
        <f>Sheet2!D15</f>
        <v>3-707</v>
      </c>
      <c r="B38" s="718">
        <f>Sheet2!G15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3184</v>
      </c>
      <c r="Q38" s="24">
        <f t="shared" si="19"/>
        <v>0.95</v>
      </c>
      <c r="R38" s="716">
        <f t="shared" ca="1" si="20"/>
        <v>47759</v>
      </c>
      <c r="S38" s="361">
        <f t="shared" ca="1" si="11"/>
        <v>904</v>
      </c>
    </row>
    <row r="39" spans="1:19">
      <c r="A39" s="159" t="str">
        <f>Sheet2!D16</f>
        <v>3-708</v>
      </c>
      <c r="B39" s="718">
        <f>Sheet2!G16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3184</v>
      </c>
      <c r="Q39" s="24">
        <f t="shared" si="19"/>
        <v>0.95</v>
      </c>
      <c r="R39" s="716">
        <f t="shared" ca="1" si="20"/>
        <v>48734</v>
      </c>
      <c r="S39" s="361">
        <f t="shared" ca="1" si="11"/>
        <v>2147</v>
      </c>
    </row>
    <row r="40" spans="1:19">
      <c r="A40" s="159" t="str">
        <f>Sheet2!D17</f>
        <v>3-709</v>
      </c>
      <c r="B40" s="718">
        <f>Sheet2!G17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3184</v>
      </c>
      <c r="Q40" s="24">
        <f t="shared" si="19"/>
        <v>0.95</v>
      </c>
      <c r="R40" s="716">
        <f t="shared" ca="1" si="20"/>
        <v>48734</v>
      </c>
      <c r="S40" s="361">
        <f t="shared" ca="1" si="11"/>
        <v>2107</v>
      </c>
    </row>
    <row r="41" spans="1:19">
      <c r="A41" s="159" t="str">
        <f>Sheet2!D18</f>
        <v>3-1001</v>
      </c>
      <c r="B41" s="718">
        <f>Sheet2!G18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3184</v>
      </c>
      <c r="Q41" s="24">
        <f t="shared" si="19"/>
        <v>0.95</v>
      </c>
      <c r="R41" s="716">
        <f t="shared" ca="1" si="20"/>
        <v>47759</v>
      </c>
      <c r="S41" s="361">
        <f t="shared" ca="1" si="11"/>
        <v>3266</v>
      </c>
    </row>
    <row r="42" spans="1:19">
      <c r="A42" s="159" t="str">
        <f>Sheet2!D19</f>
        <v>3-1002</v>
      </c>
      <c r="B42" s="718">
        <f>Sheet2!G19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3184</v>
      </c>
      <c r="Q42" s="24">
        <f t="shared" si="19"/>
        <v>0.95</v>
      </c>
      <c r="R42" s="716">
        <f t="shared" ca="1" si="20"/>
        <v>47759</v>
      </c>
      <c r="S42" s="361">
        <f t="shared" ca="1" si="11"/>
        <v>904</v>
      </c>
    </row>
    <row r="43" spans="1:19">
      <c r="A43" s="159" t="str">
        <f>Sheet2!D20</f>
        <v>3-1003</v>
      </c>
      <c r="B43" s="718">
        <f>Sheet2!G20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3184</v>
      </c>
      <c r="Q43" s="24">
        <f t="shared" si="19"/>
        <v>0.95</v>
      </c>
      <c r="R43" s="716">
        <f t="shared" ca="1" si="20"/>
        <v>47759</v>
      </c>
      <c r="S43" s="361">
        <f t="shared" ca="1" si="11"/>
        <v>904</v>
      </c>
    </row>
    <row r="44" spans="1:19">
      <c r="A44" s="159" t="str">
        <f>Sheet2!D21</f>
        <v>3-1005</v>
      </c>
      <c r="B44" s="718">
        <f>Sheet2!G21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3184</v>
      </c>
      <c r="Q44" s="24">
        <f t="shared" si="19"/>
        <v>0.95</v>
      </c>
      <c r="R44" s="716">
        <f t="shared" ca="1" si="20"/>
        <v>48734</v>
      </c>
      <c r="S44" s="361">
        <f t="shared" ca="1" si="11"/>
        <v>2636</v>
      </c>
    </row>
    <row r="45" spans="1:19">
      <c r="A45" s="159" t="str">
        <f>Sheet2!D22</f>
        <v>3-1006</v>
      </c>
      <c r="B45" s="718">
        <f>Sheet2!G22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3184</v>
      </c>
      <c r="Q45" s="24">
        <f t="shared" si="19"/>
        <v>0.95</v>
      </c>
      <c r="R45" s="716">
        <f t="shared" ca="1" si="20"/>
        <v>48734</v>
      </c>
      <c r="S45" s="361">
        <f t="shared" ca="1" si="11"/>
        <v>2750</v>
      </c>
    </row>
    <row r="46" spans="1:19">
      <c r="A46" s="159" t="str">
        <f>Sheet2!D23</f>
        <v>3-1007</v>
      </c>
      <c r="B46" s="718">
        <f>Sheet2!G23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3184</v>
      </c>
      <c r="Q46" s="24">
        <f t="shared" si="19"/>
        <v>0.95</v>
      </c>
      <c r="R46" s="716">
        <f t="shared" ca="1" si="20"/>
        <v>47759</v>
      </c>
      <c r="S46" s="361">
        <f t="shared" ca="1" si="11"/>
        <v>904</v>
      </c>
    </row>
    <row r="47" spans="1:19">
      <c r="A47" s="159" t="str">
        <f>Sheet2!D24</f>
        <v>3-1008</v>
      </c>
      <c r="B47" s="718">
        <f>Sheet2!G24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3184</v>
      </c>
      <c r="Q47" s="24">
        <f t="shared" si="19"/>
        <v>0.95</v>
      </c>
      <c r="R47" s="716">
        <f t="shared" ca="1" si="20"/>
        <v>48734</v>
      </c>
      <c r="S47" s="361">
        <f t="shared" ca="1" si="11"/>
        <v>2147</v>
      </c>
    </row>
    <row r="48" spans="1:19">
      <c r="A48" s="159" t="str">
        <f>Sheet2!D25</f>
        <v>3-1009</v>
      </c>
      <c r="B48" s="718">
        <f>Sheet2!G25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3184</v>
      </c>
      <c r="Q48" s="24">
        <f t="shared" si="19"/>
        <v>0.95</v>
      </c>
      <c r="R48" s="716">
        <f t="shared" ca="1" si="20"/>
        <v>48734</v>
      </c>
      <c r="S48" s="361">
        <f t="shared" ca="1" si="11"/>
        <v>2107</v>
      </c>
    </row>
    <row r="49" spans="1:19">
      <c r="A49" s="159" t="str">
        <f>Sheet2!D26</f>
        <v>3-1101</v>
      </c>
      <c r="B49" s="718">
        <f>Sheet2!G26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3184</v>
      </c>
      <c r="Q49" s="24">
        <f t="shared" si="19"/>
        <v>0.95</v>
      </c>
      <c r="R49" s="716">
        <f t="shared" ca="1" si="20"/>
        <v>47759</v>
      </c>
      <c r="S49" s="361">
        <f t="shared" ca="1" si="11"/>
        <v>3266</v>
      </c>
    </row>
    <row r="50" spans="1:19">
      <c r="A50" s="159" t="str">
        <f>Sheet2!D27</f>
        <v>3-1102</v>
      </c>
      <c r="B50" s="718">
        <f>Sheet2!G27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3184</v>
      </c>
      <c r="Q50" s="24">
        <f t="shared" si="19"/>
        <v>0.95</v>
      </c>
      <c r="R50" s="716">
        <f t="shared" ca="1" si="20"/>
        <v>47759</v>
      </c>
      <c r="S50" s="361">
        <f t="shared" ca="1" si="11"/>
        <v>904</v>
      </c>
    </row>
    <row r="51" spans="1:19">
      <c r="A51" s="159" t="str">
        <f>Sheet2!D28</f>
        <v>3-1103</v>
      </c>
      <c r="B51" s="718">
        <f>Sheet2!G28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3184</v>
      </c>
      <c r="Q51" s="24">
        <f t="shared" si="19"/>
        <v>0.95</v>
      </c>
      <c r="R51" s="716">
        <f t="shared" ca="1" si="20"/>
        <v>47759</v>
      </c>
      <c r="S51" s="361">
        <f t="shared" ca="1" si="11"/>
        <v>904</v>
      </c>
    </row>
    <row r="52" spans="1:19">
      <c r="A52" s="159" t="str">
        <f>Sheet2!D29</f>
        <v>3-1105</v>
      </c>
      <c r="B52" s="718">
        <f>Sheet2!G29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3184</v>
      </c>
      <c r="Q52" s="24">
        <f t="shared" si="19"/>
        <v>0.95</v>
      </c>
      <c r="R52" s="716">
        <f t="shared" ca="1" si="20"/>
        <v>48734</v>
      </c>
      <c r="S52" s="361">
        <f t="shared" ca="1" si="11"/>
        <v>2636</v>
      </c>
    </row>
    <row r="53" spans="1:19">
      <c r="A53" s="159" t="str">
        <f>Sheet2!D30</f>
        <v>3-1106</v>
      </c>
      <c r="B53" s="718">
        <f>Sheet2!G30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3184</v>
      </c>
      <c r="Q53" s="24">
        <f t="shared" si="19"/>
        <v>0.95</v>
      </c>
      <c r="R53" s="716">
        <f t="shared" ca="1" si="20"/>
        <v>48734</v>
      </c>
      <c r="S53" s="361">
        <f t="shared" ca="1" si="11"/>
        <v>2750</v>
      </c>
    </row>
    <row r="54" spans="1:19">
      <c r="A54" s="159" t="str">
        <f>Sheet2!D31</f>
        <v>3-1107</v>
      </c>
      <c r="B54" s="718">
        <f>Sheet2!G31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3184</v>
      </c>
      <c r="Q54" s="24">
        <f t="shared" si="19"/>
        <v>0.95</v>
      </c>
      <c r="R54" s="716">
        <f t="shared" ca="1" si="20"/>
        <v>47759</v>
      </c>
      <c r="S54" s="361">
        <f t="shared" ca="1" si="11"/>
        <v>904</v>
      </c>
    </row>
    <row r="55" spans="1:19">
      <c r="A55" s="159" t="str">
        <f>Sheet2!D32</f>
        <v>3-1108</v>
      </c>
      <c r="B55" s="718">
        <f>Sheet2!G32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3184</v>
      </c>
      <c r="Q55" s="24">
        <f t="shared" si="19"/>
        <v>0.95</v>
      </c>
      <c r="R55" s="716">
        <f t="shared" ca="1" si="20"/>
        <v>48734</v>
      </c>
      <c r="S55" s="361">
        <f t="shared" ref="S55:S77" ca="1" si="21">ROUND(R55*B55/10000,0)</f>
        <v>2147</v>
      </c>
    </row>
    <row r="56" spans="1:19">
      <c r="A56" s="159" t="str">
        <f>Sheet2!D33</f>
        <v>3-1109</v>
      </c>
      <c r="B56" s="718">
        <f>Sheet2!G33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3184</v>
      </c>
      <c r="Q56" s="24">
        <f t="shared" si="19"/>
        <v>0.95</v>
      </c>
      <c r="R56" s="716">
        <f t="shared" ca="1" si="20"/>
        <v>48734</v>
      </c>
      <c r="S56" s="361">
        <f t="shared" ca="1" si="21"/>
        <v>2107</v>
      </c>
    </row>
    <row r="57" spans="1:19">
      <c r="A57" s="159" t="str">
        <f>Sheet2!D34</f>
        <v>3-2001</v>
      </c>
      <c r="B57" s="718">
        <f>Sheet2!G34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3183</v>
      </c>
      <c r="Q57" s="24">
        <f t="shared" si="19"/>
        <v>1</v>
      </c>
      <c r="R57" s="716">
        <f t="shared" ca="1" si="20"/>
        <v>50273</v>
      </c>
      <c r="S57" s="361">
        <f t="shared" ca="1" si="21"/>
        <v>3437</v>
      </c>
    </row>
    <row r="58" spans="1:19">
      <c r="A58" s="159" t="str">
        <f>Sheet2!D35</f>
        <v>3-2002</v>
      </c>
      <c r="B58" s="718">
        <f>Sheet2!G35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3183</v>
      </c>
      <c r="Q58" s="24">
        <f t="shared" si="19"/>
        <v>1</v>
      </c>
      <c r="R58" s="716">
        <f t="shared" ca="1" si="20"/>
        <v>50273</v>
      </c>
      <c r="S58" s="361">
        <f t="shared" ca="1" si="21"/>
        <v>952</v>
      </c>
    </row>
    <row r="59" spans="1:19">
      <c r="A59" s="159" t="str">
        <f>Sheet2!D36</f>
        <v>3-2003</v>
      </c>
      <c r="B59" s="718">
        <f>Sheet2!G36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3183</v>
      </c>
      <c r="Q59" s="24">
        <f t="shared" si="19"/>
        <v>1</v>
      </c>
      <c r="R59" s="716">
        <f t="shared" ca="1" si="20"/>
        <v>50273</v>
      </c>
      <c r="S59" s="361">
        <f t="shared" ca="1" si="21"/>
        <v>952</v>
      </c>
    </row>
    <row r="60" spans="1:19">
      <c r="A60" s="159" t="str">
        <f>Sheet2!D37</f>
        <v>3-2005</v>
      </c>
      <c r="B60" s="718">
        <f>Sheet2!G37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3183</v>
      </c>
      <c r="Q60" s="24">
        <f t="shared" si="19"/>
        <v>1</v>
      </c>
      <c r="R60" s="716">
        <f t="shared" ca="1" si="20"/>
        <v>51299</v>
      </c>
      <c r="S60" s="361">
        <f t="shared" ca="1" si="21"/>
        <v>2741</v>
      </c>
    </row>
    <row r="61" spans="1:19">
      <c r="A61" s="159" t="str">
        <f>Sheet2!D38</f>
        <v>3-2006</v>
      </c>
      <c r="B61" s="718">
        <f>Sheet2!G38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3183</v>
      </c>
      <c r="Q61" s="24">
        <f t="shared" si="19"/>
        <v>1</v>
      </c>
      <c r="R61" s="716">
        <f t="shared" ca="1" si="20"/>
        <v>51299</v>
      </c>
      <c r="S61" s="361">
        <f t="shared" ca="1" si="21"/>
        <v>2775</v>
      </c>
    </row>
    <row r="62" spans="1:19">
      <c r="A62" s="159" t="str">
        <f>Sheet2!D39</f>
        <v>3-2007</v>
      </c>
      <c r="B62" s="718">
        <f>Sheet2!G39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3183</v>
      </c>
      <c r="Q62" s="24">
        <f t="shared" si="19"/>
        <v>1</v>
      </c>
      <c r="R62" s="716">
        <f t="shared" ca="1" si="20"/>
        <v>50273</v>
      </c>
      <c r="S62" s="361">
        <f t="shared" ca="1" si="21"/>
        <v>952</v>
      </c>
    </row>
    <row r="63" spans="1:19">
      <c r="A63" s="159"/>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3183</v>
      </c>
      <c r="Q63" s="24">
        <f t="shared" si="19"/>
        <v>1</v>
      </c>
      <c r="R63" s="716">
        <f t="shared" si="20"/>
        <v>0</v>
      </c>
      <c r="S63" s="361">
        <f t="shared" si="21"/>
        <v>0</v>
      </c>
    </row>
    <row r="64" spans="1:19">
      <c r="A64" s="159" t="str">
        <f>Sheet2!D41</f>
        <v>3-2009</v>
      </c>
      <c r="B64" s="718">
        <f>Sheet2!G41</f>
        <v>432.37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3183</v>
      </c>
      <c r="Q64" s="24">
        <f t="shared" si="19"/>
        <v>1</v>
      </c>
      <c r="R64" s="716">
        <f t="shared" ca="1" si="20"/>
        <v>51299</v>
      </c>
      <c r="S64" s="361">
        <f t="shared" ca="1" si="21"/>
        <v>2218</v>
      </c>
    </row>
    <row r="65" spans="1:19">
      <c r="A65" s="159" t="str">
        <f>Sheet2!D42</f>
        <v>3-2301</v>
      </c>
      <c r="B65" s="718">
        <f>Sheet2!G42</f>
        <v>627.70000000000005</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3183</v>
      </c>
      <c r="Q65" s="24">
        <f t="shared" si="19"/>
        <v>1</v>
      </c>
      <c r="R65" s="716">
        <f t="shared" ca="1" si="20"/>
        <v>50273</v>
      </c>
      <c r="S65" s="361">
        <f t="shared" ca="1" si="21"/>
        <v>3156</v>
      </c>
    </row>
    <row r="66" spans="1:19">
      <c r="A66" s="159" t="str">
        <f>Sheet2!D43</f>
        <v>3-2302</v>
      </c>
      <c r="B66" s="718">
        <f>Sheet2!G43</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3183</v>
      </c>
      <c r="Q66" s="24">
        <f t="shared" si="19"/>
        <v>1</v>
      </c>
      <c r="R66" s="716">
        <f t="shared" ca="1" si="20"/>
        <v>50273</v>
      </c>
      <c r="S66" s="361">
        <f t="shared" ca="1" si="21"/>
        <v>952</v>
      </c>
    </row>
    <row r="67" spans="1:19">
      <c r="A67" s="159" t="str">
        <f>Sheet2!D44</f>
        <v>3-2303</v>
      </c>
      <c r="B67" s="718">
        <f>Sheet2!G44</f>
        <v>189.28</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3183</v>
      </c>
      <c r="Q67" s="24">
        <f t="shared" si="19"/>
        <v>1</v>
      </c>
      <c r="R67" s="716">
        <f t="shared" ca="1" si="20"/>
        <v>50273</v>
      </c>
      <c r="S67" s="361">
        <f t="shared" ca="1" si="21"/>
        <v>952</v>
      </c>
    </row>
    <row r="68" spans="1:19">
      <c r="A68" s="159" t="str">
        <f>Sheet2!D45</f>
        <v>3-2305</v>
      </c>
      <c r="B68" s="718">
        <f>Sheet2!G45</f>
        <v>633.87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3183</v>
      </c>
      <c r="Q68" s="24">
        <f t="shared" si="19"/>
        <v>1</v>
      </c>
      <c r="R68" s="716">
        <f t="shared" ca="1" si="20"/>
        <v>50273</v>
      </c>
      <c r="S68" s="361">
        <f t="shared" ca="1" si="21"/>
        <v>3187</v>
      </c>
    </row>
    <row r="69" spans="1:19">
      <c r="A69" s="159" t="str">
        <f>Sheet2!D46</f>
        <v>3-2306</v>
      </c>
      <c r="B69" s="718">
        <f>Sheet2!G46</f>
        <v>569.41999999999996</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3183</v>
      </c>
      <c r="Q69" s="24">
        <f t="shared" si="19"/>
        <v>1</v>
      </c>
      <c r="R69" s="716">
        <f t="shared" ca="1" si="20"/>
        <v>51299</v>
      </c>
      <c r="S69" s="361">
        <f t="shared" ca="1" si="21"/>
        <v>2921</v>
      </c>
    </row>
    <row r="70" spans="1:19">
      <c r="A70" s="159" t="str">
        <f>Sheet2!D47</f>
        <v>3-2307</v>
      </c>
      <c r="B70" s="718">
        <f>Sheet2!G47</f>
        <v>188.16</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3183</v>
      </c>
      <c r="Q70" s="24">
        <f t="shared" si="19"/>
        <v>1</v>
      </c>
      <c r="R70" s="716">
        <f t="shared" ca="1" si="20"/>
        <v>50273</v>
      </c>
      <c r="S70" s="361">
        <f t="shared" ca="1" si="21"/>
        <v>946</v>
      </c>
    </row>
    <row r="71" spans="1:19">
      <c r="A71" s="159" t="str">
        <f>Sheet2!D48</f>
        <v>3-2308</v>
      </c>
      <c r="B71" s="718">
        <f>Sheet2!G48</f>
        <v>440.11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3183</v>
      </c>
      <c r="Q71" s="24">
        <f t="shared" si="19"/>
        <v>1</v>
      </c>
      <c r="R71" s="716">
        <f t="shared" ca="1" si="20"/>
        <v>51299</v>
      </c>
      <c r="S71" s="361">
        <f t="shared" ca="1" si="21"/>
        <v>2258</v>
      </c>
    </row>
    <row r="72" spans="1:19">
      <c r="A72" s="159" t="str">
        <f>Sheet2!D49</f>
        <v>3-2309</v>
      </c>
      <c r="B72" s="718">
        <f>Sheet2!G49</f>
        <v>354.46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3183</v>
      </c>
      <c r="Q72" s="24">
        <f t="shared" si="19"/>
        <v>1</v>
      </c>
      <c r="R72" s="716">
        <f t="shared" ca="1" si="20"/>
        <v>51299</v>
      </c>
      <c r="S72" s="361">
        <f t="shared" ca="1" si="21"/>
        <v>1818</v>
      </c>
    </row>
    <row r="73" spans="1:19">
      <c r="A73" s="159" t="str">
        <f>Sheet2!D50</f>
        <v>3-2501</v>
      </c>
      <c r="B73" s="718">
        <f>Sheet2!G50</f>
        <v>645.97</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3182</v>
      </c>
      <c r="Q73" s="24">
        <f t="shared" si="19"/>
        <v>1.05</v>
      </c>
      <c r="R73" s="716">
        <f t="shared" ca="1" si="20"/>
        <v>52787</v>
      </c>
      <c r="S73" s="361">
        <f t="shared" ca="1" si="21"/>
        <v>3410</v>
      </c>
    </row>
    <row r="74" spans="1:19">
      <c r="A74" s="159" t="str">
        <f>Sheet2!D51</f>
        <v>3-2502</v>
      </c>
      <c r="B74" s="718">
        <f>Sheet2!G51</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3182</v>
      </c>
      <c r="Q74" s="24">
        <f t="shared" si="19"/>
        <v>1.05</v>
      </c>
      <c r="R74" s="716">
        <f t="shared" ca="1" si="20"/>
        <v>52787</v>
      </c>
      <c r="S74" s="361">
        <f t="shared" ca="1" si="21"/>
        <v>999</v>
      </c>
    </row>
    <row r="75" spans="1:19">
      <c r="A75" s="159" t="str">
        <f>Sheet2!D52</f>
        <v>3-2503</v>
      </c>
      <c r="B75" s="718">
        <f>Sheet2!G52</f>
        <v>189.28</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3182</v>
      </c>
      <c r="Q75" s="24">
        <f t="shared" si="19"/>
        <v>1.05</v>
      </c>
      <c r="R75" s="716">
        <f t="shared" ca="1" si="20"/>
        <v>52787</v>
      </c>
      <c r="S75" s="361">
        <f t="shared" ca="1" si="21"/>
        <v>999</v>
      </c>
    </row>
    <row r="76" spans="1:19">
      <c r="A76" s="159" t="str">
        <f>Sheet2!D53</f>
        <v>3-2505</v>
      </c>
      <c r="B76" s="718">
        <f>Sheet2!G53</f>
        <v>633.87</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3182</v>
      </c>
      <c r="Q76" s="24">
        <f t="shared" si="19"/>
        <v>1.05</v>
      </c>
      <c r="R76" s="716">
        <f t="shared" ca="1" si="20"/>
        <v>52787</v>
      </c>
      <c r="S76" s="361">
        <f t="shared" ca="1" si="21"/>
        <v>3346</v>
      </c>
    </row>
    <row r="77" spans="1:19">
      <c r="A77" s="159" t="str">
        <f>Sheet2!D54</f>
        <v>3-2506</v>
      </c>
      <c r="B77" s="718">
        <f>Sheet2!G54</f>
        <v>635.01</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3182</v>
      </c>
      <c r="Q77" s="24">
        <f t="shared" si="19"/>
        <v>1.05</v>
      </c>
      <c r="R77" s="716">
        <f t="shared" ca="1" si="20"/>
        <v>52787</v>
      </c>
      <c r="S77" s="361">
        <f t="shared" ca="1" si="21"/>
        <v>3352</v>
      </c>
    </row>
    <row r="78" spans="1:19">
      <c r="A78" s="159" t="str">
        <f>Sheet2!D55</f>
        <v>3-2507</v>
      </c>
      <c r="B78" s="718">
        <f>Sheet2!G55</f>
        <v>188.16</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3182</v>
      </c>
      <c r="Q78" s="24">
        <f t="shared" si="19"/>
        <v>1.05</v>
      </c>
      <c r="R78" s="716">
        <f t="shared" ca="1" si="20"/>
        <v>52787</v>
      </c>
      <c r="S78" s="361">
        <f t="shared" ref="S78:S122" ca="1" si="22">ROUND(R78*B78/10000,0)</f>
        <v>993</v>
      </c>
    </row>
    <row r="79" spans="1:19">
      <c r="A79" s="159" t="str">
        <f>Sheet2!D56</f>
        <v>3-2508</v>
      </c>
      <c r="B79" s="718">
        <f>Sheet2!G56</f>
        <v>440.11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3182</v>
      </c>
      <c r="Q79" s="24">
        <f t="shared" si="19"/>
        <v>1.05</v>
      </c>
      <c r="R79" s="716">
        <f t="shared" ca="1" si="20"/>
        <v>53864</v>
      </c>
      <c r="S79" s="361">
        <f t="shared" ca="1" si="22"/>
        <v>2371</v>
      </c>
    </row>
    <row r="80" spans="1:19">
      <c r="A80" s="159" t="str">
        <f>Sheet2!D57</f>
        <v>3-2509</v>
      </c>
      <c r="B80" s="718">
        <f>Sheet2!G57</f>
        <v>375.32</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3182</v>
      </c>
      <c r="Q80" s="24">
        <f t="shared" si="19"/>
        <v>1.05</v>
      </c>
      <c r="R80" s="716">
        <f t="shared" ca="1" si="20"/>
        <v>53864</v>
      </c>
      <c r="S80" s="361">
        <f t="shared" ca="1" si="22"/>
        <v>2022</v>
      </c>
    </row>
    <row r="81" spans="1:19">
      <c r="A81" s="159" t="str">
        <f>Sheet2!D58</f>
        <v>3-3001</v>
      </c>
      <c r="B81" s="718">
        <f>Sheet2!G58</f>
        <v>642.15</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3182</v>
      </c>
      <c r="Q81" s="24">
        <f t="shared" si="19"/>
        <v>1.05</v>
      </c>
      <c r="R81" s="716">
        <f t="shared" ca="1" si="20"/>
        <v>52787</v>
      </c>
      <c r="S81" s="361">
        <f t="shared" ca="1" si="22"/>
        <v>3390</v>
      </c>
    </row>
    <row r="82" spans="1:19">
      <c r="A82" s="159" t="str">
        <f>Sheet2!D59</f>
        <v>3-3002</v>
      </c>
      <c r="B82" s="718">
        <f>Sheet2!G59</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3182</v>
      </c>
      <c r="Q82" s="24">
        <f t="shared" si="19"/>
        <v>1.05</v>
      </c>
      <c r="R82" s="716">
        <f t="shared" ca="1" si="20"/>
        <v>52787</v>
      </c>
      <c r="S82" s="361">
        <f t="shared" ca="1" si="22"/>
        <v>999</v>
      </c>
    </row>
    <row r="83" spans="1:19">
      <c r="A83" s="159" t="str">
        <f>Sheet2!D60</f>
        <v>3-3003</v>
      </c>
      <c r="B83" s="718">
        <f>Sheet2!G60</f>
        <v>189.28</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3182</v>
      </c>
      <c r="Q83" s="24">
        <f t="shared" si="19"/>
        <v>1.05</v>
      </c>
      <c r="R83" s="716">
        <f t="shared" ca="1" si="20"/>
        <v>52787</v>
      </c>
      <c r="S83" s="361">
        <f t="shared" ca="1" si="22"/>
        <v>999</v>
      </c>
    </row>
    <row r="84" spans="1:19">
      <c r="A84" s="159" t="str">
        <f>Sheet2!D61</f>
        <v>3-3005</v>
      </c>
      <c r="B84" s="718">
        <f>Sheet2!G61</f>
        <v>633.87</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3182</v>
      </c>
      <c r="Q84" s="24">
        <f t="shared" si="19"/>
        <v>1.05</v>
      </c>
      <c r="R84" s="716">
        <f t="shared" ca="1" si="20"/>
        <v>52787</v>
      </c>
      <c r="S84" s="361">
        <f t="shared" ca="1" si="22"/>
        <v>3346</v>
      </c>
    </row>
    <row r="85" spans="1:19">
      <c r="A85" s="159" t="str">
        <f>Sheet2!D62</f>
        <v>3-3006</v>
      </c>
      <c r="B85" s="718">
        <f>Sheet2!G62</f>
        <v>635.01</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3182</v>
      </c>
      <c r="Q85" s="24">
        <f t="shared" si="19"/>
        <v>1.05</v>
      </c>
      <c r="R85" s="716">
        <f t="shared" ca="1" si="20"/>
        <v>52787</v>
      </c>
      <c r="S85" s="361">
        <f t="shared" ca="1" si="22"/>
        <v>3352</v>
      </c>
    </row>
    <row r="86" spans="1:19">
      <c r="A86" s="159" t="str">
        <f>Sheet2!D63</f>
        <v>3-3007</v>
      </c>
      <c r="B86" s="718">
        <f>Sheet2!G63</f>
        <v>188.16</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3182</v>
      </c>
      <c r="Q86" s="24">
        <f t="shared" si="19"/>
        <v>1.05</v>
      </c>
      <c r="R86" s="716">
        <f t="shared" ca="1" si="20"/>
        <v>52787</v>
      </c>
      <c r="S86" s="361">
        <f t="shared" ca="1" si="22"/>
        <v>993</v>
      </c>
    </row>
    <row r="87" spans="1:19">
      <c r="A87" s="159" t="str">
        <f>Sheet2!D64</f>
        <v>3-3008</v>
      </c>
      <c r="B87" s="718">
        <f>Sheet2!G64</f>
        <v>440.11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3182</v>
      </c>
      <c r="Q87" s="24">
        <f t="shared" si="19"/>
        <v>1.05</v>
      </c>
      <c r="R87" s="716">
        <f t="shared" ca="1" si="20"/>
        <v>53864</v>
      </c>
      <c r="S87" s="361">
        <f t="shared" ca="1" si="22"/>
        <v>2371</v>
      </c>
    </row>
    <row r="88" spans="1:19">
      <c r="A88" s="159" t="str">
        <f>Sheet2!D65</f>
        <v>3-3009</v>
      </c>
      <c r="B88" s="718">
        <f>Sheet2!G65</f>
        <v>375.49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3182</v>
      </c>
      <c r="Q88" s="24">
        <f t="shared" si="19"/>
        <v>1.05</v>
      </c>
      <c r="R88" s="716">
        <f t="shared" ca="1" si="20"/>
        <v>53864</v>
      </c>
      <c r="S88" s="361">
        <f t="shared" ca="1" si="22"/>
        <v>2023</v>
      </c>
    </row>
    <row r="89" spans="1:19">
      <c r="A89" s="159" t="str">
        <f>Sheet2!D66</f>
        <v>3-3101</v>
      </c>
      <c r="B89" s="718">
        <f>Sheet2!G66</f>
        <v>642.15</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3182</v>
      </c>
      <c r="Q89" s="24">
        <f t="shared" si="19"/>
        <v>1.05</v>
      </c>
      <c r="R89" s="716">
        <f t="shared" ca="1" si="20"/>
        <v>52787</v>
      </c>
      <c r="S89" s="361">
        <f t="shared" ca="1" si="22"/>
        <v>3390</v>
      </c>
    </row>
    <row r="90" spans="1:19">
      <c r="A90" s="159" t="str">
        <f>Sheet2!D67</f>
        <v>3-3102</v>
      </c>
      <c r="B90" s="718">
        <f>Sheet2!G67</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3182</v>
      </c>
      <c r="Q90" s="24">
        <f t="shared" ref="Q90:Q153" si="30">(SUMIF($17:$17,P90,$18:$18)-SUMIF($17:$17,$P$24,$18:$18)+100)/100</f>
        <v>1.05</v>
      </c>
      <c r="R90" s="716">
        <f t="shared" ref="R90:R153" ca="1" si="31">IF(B90="",0,ROUND($R$24*C90*E90*G90*I90*K90*M90*O90*Q90,0))</f>
        <v>52787</v>
      </c>
      <c r="S90" s="361">
        <f t="shared" ca="1" si="22"/>
        <v>999</v>
      </c>
    </row>
    <row r="91" spans="1:19">
      <c r="A91" s="159" t="str">
        <f>Sheet2!D68</f>
        <v>3-3103</v>
      </c>
      <c r="B91" s="718">
        <f>Sheet2!G68</f>
        <v>189.28</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3182</v>
      </c>
      <c r="Q91" s="24">
        <f t="shared" si="30"/>
        <v>1.05</v>
      </c>
      <c r="R91" s="716">
        <f t="shared" ca="1" si="31"/>
        <v>52787</v>
      </c>
      <c r="S91" s="361">
        <f t="shared" ca="1" si="22"/>
        <v>999</v>
      </c>
    </row>
    <row r="92" spans="1:19">
      <c r="A92" s="159" t="str">
        <f>Sheet2!D69</f>
        <v>3-3105</v>
      </c>
      <c r="B92" s="718">
        <f>Sheet2!G69</f>
        <v>633.87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3182</v>
      </c>
      <c r="Q92" s="24">
        <f t="shared" si="30"/>
        <v>1.05</v>
      </c>
      <c r="R92" s="716">
        <f t="shared" ca="1" si="31"/>
        <v>52787</v>
      </c>
      <c r="S92" s="361">
        <f t="shared" ca="1" si="22"/>
        <v>3346</v>
      </c>
    </row>
    <row r="93" spans="1:19">
      <c r="A93" s="159" t="str">
        <f>Sheet2!D70</f>
        <v>3-3106</v>
      </c>
      <c r="B93" s="718">
        <f>Sheet2!G70</f>
        <v>635.01</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3182</v>
      </c>
      <c r="Q93" s="24">
        <f t="shared" si="30"/>
        <v>1.05</v>
      </c>
      <c r="R93" s="716">
        <f t="shared" ca="1" si="31"/>
        <v>52787</v>
      </c>
      <c r="S93" s="361">
        <f t="shared" ca="1" si="22"/>
        <v>3352</v>
      </c>
    </row>
    <row r="94" spans="1:19">
      <c r="A94" s="159" t="str">
        <f>Sheet2!D71</f>
        <v>3-3107</v>
      </c>
      <c r="B94" s="718">
        <f>Sheet2!G71</f>
        <v>188.16</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3182</v>
      </c>
      <c r="Q94" s="24">
        <f t="shared" si="30"/>
        <v>1.05</v>
      </c>
      <c r="R94" s="716">
        <f t="shared" ca="1" si="31"/>
        <v>52787</v>
      </c>
      <c r="S94" s="361">
        <f t="shared" ca="1" si="22"/>
        <v>993</v>
      </c>
    </row>
    <row r="95" spans="1:19">
      <c r="A95" s="159" t="str">
        <f>Sheet2!D72</f>
        <v>3-3108</v>
      </c>
      <c r="B95" s="718">
        <f>Sheet2!G72</f>
        <v>440.11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3182</v>
      </c>
      <c r="Q95" s="24">
        <f t="shared" si="30"/>
        <v>1.05</v>
      </c>
      <c r="R95" s="716">
        <f t="shared" ca="1" si="31"/>
        <v>53864</v>
      </c>
      <c r="S95" s="361">
        <f t="shared" ca="1" si="22"/>
        <v>2371</v>
      </c>
    </row>
    <row r="96" spans="1:19">
      <c r="A96" s="159" t="str">
        <f>Sheet2!D73</f>
        <v>3-3109</v>
      </c>
      <c r="B96" s="718">
        <f>Sheet2!G73</f>
        <v>373.44</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3182</v>
      </c>
      <c r="Q96" s="24">
        <f t="shared" si="30"/>
        <v>1.05</v>
      </c>
      <c r="R96" s="716">
        <f t="shared" ca="1" si="31"/>
        <v>53864</v>
      </c>
      <c r="S96" s="361">
        <f t="shared" ca="1" si="22"/>
        <v>2011</v>
      </c>
    </row>
    <row r="97" spans="1:19">
      <c r="A97" s="159" t="str">
        <f>Sheet2!D74</f>
        <v>3-3501</v>
      </c>
      <c r="B97" s="718">
        <f>Sheet2!G74</f>
        <v>640.97</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3182</v>
      </c>
      <c r="Q97" s="24">
        <f t="shared" si="30"/>
        <v>1.05</v>
      </c>
      <c r="R97" s="716">
        <f t="shared" ca="1" si="31"/>
        <v>52787</v>
      </c>
      <c r="S97" s="361">
        <f t="shared" ca="1" si="22"/>
        <v>3383</v>
      </c>
    </row>
    <row r="98" spans="1:19">
      <c r="A98" s="159" t="str">
        <f>Sheet2!D75</f>
        <v>3-3502</v>
      </c>
      <c r="B98" s="718">
        <f>Sheet2!G75</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3182</v>
      </c>
      <c r="Q98" s="24">
        <f t="shared" si="30"/>
        <v>1.05</v>
      </c>
      <c r="R98" s="716">
        <f t="shared" ca="1" si="31"/>
        <v>52787</v>
      </c>
      <c r="S98" s="361">
        <f t="shared" ca="1" si="22"/>
        <v>999</v>
      </c>
    </row>
    <row r="99" spans="1:19">
      <c r="A99" s="159" t="str">
        <f>Sheet2!D76</f>
        <v>3-3503</v>
      </c>
      <c r="B99" s="718">
        <f>Sheet2!G76</f>
        <v>189.28</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3182</v>
      </c>
      <c r="Q99" s="24">
        <f t="shared" si="30"/>
        <v>1.05</v>
      </c>
      <c r="R99" s="716">
        <f t="shared" ca="1" si="31"/>
        <v>52787</v>
      </c>
      <c r="S99" s="361">
        <f t="shared" ca="1" si="22"/>
        <v>999</v>
      </c>
    </row>
    <row r="100" spans="1:19">
      <c r="A100" s="159" t="str">
        <f>Sheet2!D77</f>
        <v>3-3505</v>
      </c>
      <c r="B100" s="718">
        <f>Sheet2!G77</f>
        <v>633.87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3182</v>
      </c>
      <c r="Q100" s="24">
        <f t="shared" si="30"/>
        <v>1.05</v>
      </c>
      <c r="R100" s="716">
        <f t="shared" ca="1" si="31"/>
        <v>52787</v>
      </c>
      <c r="S100" s="361">
        <f t="shared" ca="1" si="22"/>
        <v>3346</v>
      </c>
    </row>
    <row r="101" spans="1:19">
      <c r="A101" s="159" t="str">
        <f>Sheet2!D78</f>
        <v>3-3506</v>
      </c>
      <c r="B101" s="718">
        <f>Sheet2!G78</f>
        <v>635.01</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3182</v>
      </c>
      <c r="Q101" s="24">
        <f t="shared" si="30"/>
        <v>1.05</v>
      </c>
      <c r="R101" s="716">
        <f t="shared" ca="1" si="31"/>
        <v>52787</v>
      </c>
      <c r="S101" s="361">
        <f t="shared" ca="1" si="22"/>
        <v>3352</v>
      </c>
    </row>
    <row r="102" spans="1:19">
      <c r="A102" s="159" t="str">
        <f>Sheet2!D79</f>
        <v>3-3507</v>
      </c>
      <c r="B102" s="718">
        <f>Sheet2!G79</f>
        <v>188.16</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3182</v>
      </c>
      <c r="Q102" s="24">
        <f t="shared" si="30"/>
        <v>1.05</v>
      </c>
      <c r="R102" s="716">
        <f t="shared" ca="1" si="31"/>
        <v>52787</v>
      </c>
      <c r="S102" s="361">
        <f t="shared" ca="1" si="22"/>
        <v>993</v>
      </c>
    </row>
    <row r="103" spans="1:19">
      <c r="A103" s="159" t="str">
        <f>Sheet2!D80</f>
        <v>3-3508</v>
      </c>
      <c r="B103" s="718">
        <f>Sheet2!G80</f>
        <v>440.11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3182</v>
      </c>
      <c r="Q103" s="24">
        <f t="shared" si="30"/>
        <v>1.05</v>
      </c>
      <c r="R103" s="716">
        <f t="shared" ca="1" si="31"/>
        <v>53864</v>
      </c>
      <c r="S103" s="361">
        <f t="shared" ca="1" si="22"/>
        <v>2371</v>
      </c>
    </row>
    <row r="104" spans="1:19">
      <c r="A104" s="159" t="str">
        <f>Sheet2!D81</f>
        <v>3-3509</v>
      </c>
      <c r="B104" s="718">
        <f>Sheet2!G81</f>
        <v>372.35</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3182</v>
      </c>
      <c r="Q104" s="24">
        <f t="shared" si="30"/>
        <v>1.05</v>
      </c>
      <c r="R104" s="716">
        <f t="shared" ca="1" si="31"/>
        <v>53864</v>
      </c>
      <c r="S104" s="361">
        <f t="shared" ca="1" si="22"/>
        <v>2006</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30956</v>
      </c>
      <c r="C2" s="2" t="s">
        <v>133</v>
      </c>
      <c r="D2" s="243"/>
      <c r="E2" s="243"/>
      <c r="F2" s="243"/>
      <c r="G2" s="243"/>
    </row>
    <row r="3" spans="1:7" s="244" customFormat="1" ht="18" customHeight="1" thickBot="1">
      <c r="A3" s="247" t="s">
        <v>85</v>
      </c>
      <c r="B3" s="248">
        <f ca="1">ROUND(B2*10000/'数据-汇总表'!E3,0)</f>
        <v>702699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9</v>
      </c>
      <c r="D10" s="1032">
        <f>'数据-汇总表'!E6</f>
        <v>440.53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v>
      </c>
      <c r="D19" s="1036">
        <f>'数据-汇总表'!E3</f>
        <v>440.53</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3110</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4206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170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v>
      </c>
      <c r="D37" s="261">
        <f>'数据-汇总表'!E3</f>
        <v>440.53</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12</v>
      </c>
      <c r="D42" s="282"/>
      <c r="E42" s="282"/>
      <c r="F42" s="283"/>
      <c r="G42" s="3200" t="s">
        <v>121</v>
      </c>
    </row>
    <row r="43" spans="1:7" ht="13.5" customHeight="1">
      <c r="A43" s="951" t="s">
        <v>792</v>
      </c>
      <c r="B43" s="259" t="s">
        <v>1060</v>
      </c>
      <c r="C43" s="282">
        <f ca="1">ROUND(IF('数据-取费表'!B22&lt;=1,C39*F22*'数据-取费表'!B21/2,C39*(POWER((1+F22),'数据-取费表'!B21/2)-1)),0)</f>
        <v>0</v>
      </c>
      <c r="D43" s="282"/>
      <c r="E43" s="282"/>
      <c r="F43" s="283"/>
      <c r="G43" s="3201"/>
    </row>
    <row r="44" spans="1:7" ht="13.5" customHeight="1">
      <c r="A44" s="951" t="s">
        <v>793</v>
      </c>
      <c r="B44" s="259" t="s">
        <v>1062</v>
      </c>
      <c r="C44" s="282">
        <f ca="1">ROUND(IF('数据-取费表'!B22&lt;=1,C40*F22*'数据-取费表'!B21/2,C40*(POWER((1+F22),'数据-取费表'!B21/2)-1)),4)</f>
        <v>1.4E-3</v>
      </c>
      <c r="D44" s="282"/>
      <c r="E44" s="282"/>
      <c r="F44" s="283"/>
      <c r="G44" s="3202"/>
    </row>
    <row r="45" spans="1:7" s="258" customFormat="1" ht="13.5" customHeight="1">
      <c r="A45" s="948" t="s">
        <v>786</v>
      </c>
      <c r="B45" s="288" t="s">
        <v>112</v>
      </c>
      <c r="C45" s="289">
        <f>C46</f>
        <v>35</v>
      </c>
      <c r="D45" s="279">
        <f>C47</f>
        <v>4.0000000000000001E-3</v>
      </c>
      <c r="E45" s="280" t="s">
        <v>129</v>
      </c>
      <c r="F45" s="290"/>
      <c r="G45" s="291" t="s">
        <v>1068</v>
      </c>
    </row>
    <row r="46" spans="1:7" s="258" customFormat="1" ht="13.5" customHeight="1">
      <c r="A46" s="951" t="s">
        <v>794</v>
      </c>
      <c r="B46" s="292" t="s">
        <v>1061</v>
      </c>
      <c r="C46" s="293">
        <f>ROUND((C33+C39)*F27,0)</f>
        <v>35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239</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186</v>
      </c>
      <c r="D51" s="276"/>
      <c r="E51" s="276"/>
      <c r="F51" s="308"/>
      <c r="G51" s="278" t="s">
        <v>64</v>
      </c>
    </row>
    <row r="52" spans="1:7" s="252" customFormat="1" ht="16.5" thickBot="1">
      <c r="A52" s="309" t="s">
        <v>65</v>
      </c>
      <c r="B52" s="310"/>
      <c r="C52" s="311">
        <f ca="1">C31+C51</f>
        <v>30956</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867</v>
      </c>
      <c r="B1" s="334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440.53</v>
      </c>
      <c r="C4" s="1044">
        <f>项目基本情况!C18</f>
        <v>21.35</v>
      </c>
      <c r="D4" s="1044" t="e">
        <f ca="1">结果表!D118</f>
        <v>#REF!</v>
      </c>
      <c r="E4" s="1044" t="e">
        <f ca="1">结果表!E118</f>
        <v>#REF!</v>
      </c>
      <c r="F4" s="1044" t="e">
        <f ca="1">结果表!F118</f>
        <v>#REF!</v>
      </c>
      <c r="G4" s="1044" t="e">
        <f ca="1">结果表!G118</f>
        <v>#REF!</v>
      </c>
      <c r="H4" s="1044">
        <f ca="1">结果表!H118</f>
        <v>164824</v>
      </c>
      <c r="I4" s="1044">
        <f ca="1">结果表!I118</f>
        <v>3741493</v>
      </c>
    </row>
    <row r="5" spans="1:9" ht="30" customHeight="1">
      <c r="A5" s="3011" t="s">
        <v>1634</v>
      </c>
      <c r="B5" s="3011"/>
      <c r="C5" s="3011"/>
      <c r="D5" s="3012" t="e">
        <f ca="1">结果表!D119</f>
        <v>#REF!</v>
      </c>
      <c r="E5" s="3012"/>
      <c r="F5" s="3012" t="e">
        <f ca="1">结果表!F119</f>
        <v>#REF!</v>
      </c>
      <c r="G5" s="3012"/>
      <c r="H5" s="3012" t="str">
        <f ca="1">结果表!H119</f>
        <v>壹拾陆亿肆仟捌佰贰拾肆万元整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1634</v>
      </c>
      <c r="B7" s="3011"/>
      <c r="C7" s="3011"/>
      <c r="D7" s="3014" t="str">
        <f>结果表!D121</f>
        <v>零元整</v>
      </c>
      <c r="E7" s="3015"/>
      <c r="F7" s="3015"/>
      <c r="G7" s="3015"/>
      <c r="H7" s="3015"/>
      <c r="I7" s="3016"/>
    </row>
    <row r="8" spans="1:9" ht="15.75">
      <c r="A8" s="3013" t="str">
        <f>结果表!A122</f>
        <v>房地产抵押价值</v>
      </c>
      <c r="B8" s="3013"/>
      <c r="C8" s="3013"/>
      <c r="D8" s="3013">
        <f ca="1">结果表!D122</f>
        <v>164824</v>
      </c>
      <c r="E8" s="3013"/>
      <c r="F8" s="3013"/>
      <c r="G8" s="3013"/>
      <c r="H8" s="3013"/>
      <c r="I8" s="3013"/>
    </row>
    <row r="9" spans="1:9" ht="15">
      <c r="A9" s="3011" t="s">
        <v>1634</v>
      </c>
      <c r="B9" s="3011"/>
      <c r="C9" s="3011"/>
      <c r="D9" s="3012" t="str">
        <f ca="1">结果表!D123</f>
        <v>壹拾陆亿肆仟捌佰贰拾肆万元整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1634</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1634</v>
      </c>
      <c r="B13" s="3017"/>
      <c r="C13" s="3017"/>
      <c r="D13" s="3018" t="e">
        <f>结果表!D127</f>
        <v>#VALUE!</v>
      </c>
      <c r="E13" s="3018"/>
      <c r="F13" s="3018"/>
      <c r="G13" s="3018"/>
      <c r="H13" s="3018"/>
      <c r="I13" s="3018"/>
    </row>
    <row r="14" spans="1:9" ht="15" thickTop="1">
      <c r="A14" s="3019" t="s">
        <v>1639</v>
      </c>
      <c r="B14" s="3019"/>
      <c r="C14" s="3019"/>
      <c r="D14" s="3019"/>
      <c r="E14" s="3019"/>
      <c r="F14" s="3019"/>
      <c r="G14" s="3019"/>
      <c r="H14" s="3019"/>
      <c r="I14" s="3019"/>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0" t="s">
        <v>1656</v>
      </c>
      <c r="B1" s="3020"/>
      <c r="C1" s="3020"/>
      <c r="D1" s="3020"/>
    </row>
    <row r="2" spans="1:4" ht="18">
      <c r="A2" s="3021" t="s">
        <v>1640</v>
      </c>
      <c r="B2" s="3021"/>
      <c r="C2" s="3021"/>
      <c r="D2" s="3021"/>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1" t="s">
        <v>1646</v>
      </c>
      <c r="B6" s="3021"/>
      <c r="C6" s="3021"/>
      <c r="D6" s="3021"/>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2" t="s">
        <v>1649</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1650</v>
      </c>
      <c r="B16" s="3026"/>
      <c r="C16" s="3026"/>
      <c r="D16" s="3026"/>
    </row>
    <row r="17" spans="1:4" ht="144" customHeight="1">
      <c r="A17" s="3026" t="s">
        <v>1651</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1652</v>
      </c>
      <c r="B22" s="3028"/>
      <c r="C22" s="3028"/>
      <c r="D22" s="302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4" t="s">
        <v>1663</v>
      </c>
      <c r="B15" s="3029" t="s">
        <v>136</v>
      </c>
      <c r="C15" s="3030"/>
    </row>
    <row r="16" spans="1:7" ht="13.5">
      <c r="A16" s="3035"/>
      <c r="B16" s="3029" t="s">
        <v>69</v>
      </c>
      <c r="C16" s="3030"/>
    </row>
    <row r="17" spans="1:3" ht="13.5">
      <c r="A17" s="3035"/>
      <c r="B17" s="3032" t="s">
        <v>1664</v>
      </c>
      <c r="C17" s="1998" t="s">
        <v>1663</v>
      </c>
    </row>
    <row r="18" spans="1:3" ht="13.5">
      <c r="A18" s="3035"/>
      <c r="B18" s="3032"/>
      <c r="C18" s="1998" t="s">
        <v>1665</v>
      </c>
    </row>
    <row r="19" spans="1:3" ht="13.5">
      <c r="A19" s="3035"/>
      <c r="B19" s="3032"/>
      <c r="C19" s="1998" t="s">
        <v>1666</v>
      </c>
    </row>
    <row r="20" spans="1:3" ht="13.5">
      <c r="A20" s="3036"/>
      <c r="B20" s="3031" t="s">
        <v>1667</v>
      </c>
      <c r="C20" s="3030"/>
    </row>
    <row r="21" spans="1:3" ht="13.5">
      <c r="A21" s="1999" t="s">
        <v>1668</v>
      </c>
      <c r="B21" s="2000"/>
      <c r="C21" s="2001"/>
    </row>
    <row r="22" spans="1:3" ht="13.5">
      <c r="A22" s="3033" t="s">
        <v>1669</v>
      </c>
      <c r="B22" s="3031" t="s">
        <v>1670</v>
      </c>
      <c r="C22" s="3030"/>
    </row>
    <row r="23" spans="1:3" ht="13.5">
      <c r="A23" s="3033"/>
      <c r="B23" s="3031" t="s">
        <v>1671</v>
      </c>
      <c r="C23" s="3030"/>
    </row>
    <row r="24" spans="1:3" ht="13.5">
      <c r="A24" s="3033"/>
      <c r="B24" s="3031" t="s">
        <v>1672</v>
      </c>
      <c r="C24" s="3030"/>
    </row>
    <row r="25" spans="1:3" ht="13.5">
      <c r="A25" s="3033"/>
      <c r="B25" s="3032" t="s">
        <v>1673</v>
      </c>
      <c r="C25" s="1998" t="s">
        <v>1674</v>
      </c>
    </row>
    <row r="26" spans="1:3" ht="13.5">
      <c r="A26" s="3033"/>
      <c r="B26" s="3032"/>
      <c r="C26" s="1998" t="s">
        <v>1675</v>
      </c>
    </row>
    <row r="27" spans="1:3" ht="13.5">
      <c r="A27" s="3033"/>
      <c r="B27" s="3032"/>
      <c r="C27" s="1998" t="s">
        <v>1676</v>
      </c>
    </row>
    <row r="28" spans="1:3" ht="13.5">
      <c r="A28" s="3033"/>
      <c r="B28" s="3032"/>
      <c r="C28" s="1998" t="s">
        <v>1677</v>
      </c>
    </row>
    <row r="29" spans="1:3" ht="13.5">
      <c r="A29" s="3033"/>
      <c r="B29" s="3032"/>
      <c r="C29" s="1998" t="s">
        <v>1678</v>
      </c>
    </row>
    <row r="30" spans="1:3" ht="13.5">
      <c r="A30" s="3033"/>
      <c r="B30" s="3032"/>
      <c r="C30" s="1998" t="s">
        <v>1679</v>
      </c>
    </row>
    <row r="31" spans="1:3" ht="13.5">
      <c r="A31" s="3033"/>
      <c r="B31" s="3032"/>
      <c r="C31" s="1998" t="s">
        <v>1680</v>
      </c>
    </row>
    <row r="32" spans="1:3" ht="13.5">
      <c r="A32" s="3033"/>
      <c r="B32" s="3032"/>
      <c r="C32" s="1998" t="s">
        <v>1681</v>
      </c>
    </row>
    <row r="33" spans="1:3" ht="13.5">
      <c r="A33" s="3033"/>
      <c r="B33" s="3032"/>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43983</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7" t="s">
        <v>842</v>
      </c>
      <c r="B25" s="3037"/>
      <c r="C25" s="3037"/>
      <c r="D25" s="3037"/>
      <c r="E25" s="3037"/>
      <c r="F25" s="3037"/>
      <c r="G25" s="3037"/>
    </row>
    <row r="26" spans="1:7" s="1025" customFormat="1" ht="24" customHeight="1">
      <c r="A26" s="3038" t="s">
        <v>843</v>
      </c>
      <c r="B26" s="3038"/>
      <c r="C26" s="3039"/>
      <c r="D26" s="3040" t="s">
        <v>844</v>
      </c>
      <c r="E26" s="3038"/>
      <c r="F26" s="303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2020-06-01T06:57:44Z</dcterms:modified>
</cp:coreProperties>
</file>