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40" windowWidth="11310" windowHeight="10320" tabRatio="899" firstSheet="13"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租金比较法" sheetId="81" r:id="rId21"/>
    <sheet name="收益法 (元)" sheetId="67" r:id="rId22"/>
    <sheet name="典型户型修正" sheetId="31"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0" hidden="1">租金比较法!$A$1:$L$49</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5">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0">租金比较法!$A$1:$K$54,租金比较法!$A$57:$M$131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0">租金比较法!$B$116:$M$116</definedName>
    <definedName name="商业层高">'比较法-商业'!$B$116:$M$116</definedName>
    <definedName name="商业成新度" localSheetId="20">租金比较法!$B$109:$M$109</definedName>
    <definedName name="商业成新度">'比较法-商业'!$B$109:$M$109</definedName>
    <definedName name="商业繁华度">定义!$L$1:$L$6</definedName>
    <definedName name="商业公共部分装修" localSheetId="20">租金比较法!$B$107:$M$107</definedName>
    <definedName name="商业公共部分装修">'比较法-商业'!$B$107:$M$107</definedName>
    <definedName name="商业基础设施水平" localSheetId="20">租金比较法!$B$112:$M$112</definedName>
    <definedName name="商业基础设施水平">'比较法-商业'!$B$112:$M$112</definedName>
    <definedName name="商业建筑结构" localSheetId="20">租金比较法!$B$105:$M$105</definedName>
    <definedName name="商业建筑结构">'比较法-商业'!$B$105:$M$105</definedName>
    <definedName name="商业交易情况" localSheetId="20">租金比较法!$A$61:$M$61</definedName>
    <definedName name="商业交易情况">'比较法-商业'!$A$61:$M$61</definedName>
    <definedName name="商业街名称">修正!$C$71:$C$138</definedName>
    <definedName name="商业进深比" localSheetId="20">租金比较法!$B$120:$M$120</definedName>
    <definedName name="商业进深比">'比较法-商业'!$B$120:$M$120</definedName>
    <definedName name="商业类型" localSheetId="20">租金比较法!$B$100:$M$100</definedName>
    <definedName name="商业类型">'比较法-商业'!$B$100:$M$100</definedName>
    <definedName name="商业临街状况" localSheetId="20">租金比较法!$B$86:$M$86</definedName>
    <definedName name="商业临街状况">'比较法-商业'!$B$86:$M$86</definedName>
    <definedName name="商业楼层" localSheetId="20">租金比较法!$B$92:$M$92</definedName>
    <definedName name="商业楼层">'比较法-商业'!$B$92:$M$92</definedName>
    <definedName name="商业内部装修" localSheetId="20">租金比较法!$B$122:$M$122</definedName>
    <definedName name="商业内部装修">'比较法-商业'!$B$122:$M$122</definedName>
    <definedName name="商业人流量" localSheetId="20">租金比较法!$B$90:$M$90</definedName>
    <definedName name="商业人流量">'比较法-商业'!$B$90:$M$90</definedName>
    <definedName name="商业业态" localSheetId="20">租金比较法!$B$114:$M$114</definedName>
    <definedName name="商业业态">'比较法-商业'!$B$114:$M$114</definedName>
    <definedName name="商业用途" localSheetId="20">租金比较法!$B$63:$M$63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25" i="31" l="1"/>
  <c r="U3" i="43" s="1"/>
  <c r="B26" i="31"/>
  <c r="U4" i="43" s="1"/>
  <c r="B27" i="31"/>
  <c r="B24" i="31"/>
  <c r="U2" i="43" s="1"/>
  <c r="I47" i="33" l="1"/>
  <c r="I93" i="81" l="1"/>
  <c r="H93" i="81"/>
  <c r="G93" i="81"/>
  <c r="G93" i="33"/>
  <c r="I93" i="33"/>
  <c r="H93" i="33"/>
  <c r="G47" i="33"/>
  <c r="N6" i="1" l="1"/>
  <c r="R47" i="81"/>
  <c r="B130" i="81"/>
  <c r="B128" i="81"/>
  <c r="B126" i="8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H31" i="81" s="1"/>
  <c r="AB31" i="81" s="1"/>
  <c r="B96" i="81"/>
  <c r="B94" i="81"/>
  <c r="H29" i="81" s="1"/>
  <c r="AB29" i="81" s="1"/>
  <c r="B92" i="81"/>
  <c r="D91" i="81"/>
  <c r="E91" i="81" s="1"/>
  <c r="F91" i="81" s="1"/>
  <c r="G91" i="81" s="1"/>
  <c r="H91" i="81" s="1"/>
  <c r="I91" i="81" s="1"/>
  <c r="J91" i="81" s="1"/>
  <c r="K91" i="81" s="1"/>
  <c r="L91" i="81" s="1"/>
  <c r="M91" i="81" s="1"/>
  <c r="B90" i="8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P49" i="81"/>
  <c r="P48" i="81"/>
  <c r="K48" i="81"/>
  <c r="P47" i="81"/>
  <c r="V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H39" i="81"/>
  <c r="AB39" i="81" s="1"/>
  <c r="Q38" i="81"/>
  <c r="Z38" i="81" s="1"/>
  <c r="J38" i="81"/>
  <c r="AC38" i="81" s="1"/>
  <c r="H38" i="81"/>
  <c r="AB38" i="81" s="1"/>
  <c r="F38" i="81"/>
  <c r="AA38" i="81" s="1"/>
  <c r="Q37" i="81"/>
  <c r="Z37" i="81" s="1"/>
  <c r="J37" i="81"/>
  <c r="AC37" i="81" s="1"/>
  <c r="H37" i="81"/>
  <c r="AB37" i="81" s="1"/>
  <c r="F37" i="81"/>
  <c r="AA37" i="81" s="1"/>
  <c r="Q36" i="81"/>
  <c r="Z36" i="81" s="1"/>
  <c r="J36" i="81"/>
  <c r="F36" i="81"/>
  <c r="Q35" i="81"/>
  <c r="Z35" i="81" s="1"/>
  <c r="J35" i="81"/>
  <c r="AC35" i="81" s="1"/>
  <c r="H35" i="81"/>
  <c r="AB35" i="81" s="1"/>
  <c r="F35" i="81"/>
  <c r="AA35" i="81" s="1"/>
  <c r="Q34" i="81"/>
  <c r="Z34" i="81" s="1"/>
  <c r="J34" i="81"/>
  <c r="AC34" i="81" s="1"/>
  <c r="H34" i="81"/>
  <c r="AB34" i="81" s="1"/>
  <c r="F34" i="81"/>
  <c r="AA34" i="81" s="1"/>
  <c r="Q33" i="81"/>
  <c r="Z33" i="81" s="1"/>
  <c r="Q32" i="81"/>
  <c r="Z32" i="81" s="1"/>
  <c r="J32" i="81"/>
  <c r="AC32" i="81" s="1"/>
  <c r="H32" i="81"/>
  <c r="AB32" i="81" s="1"/>
  <c r="F32" i="81"/>
  <c r="AA32" i="81" s="1"/>
  <c r="Q31" i="81"/>
  <c r="Z31" i="81" s="1"/>
  <c r="J31" i="81"/>
  <c r="AC31" i="81" s="1"/>
  <c r="F31" i="81"/>
  <c r="AA31" i="81" s="1"/>
  <c r="Q30" i="81"/>
  <c r="Z30" i="81" s="1"/>
  <c r="J30" i="81"/>
  <c r="AC30" i="81" s="1"/>
  <c r="H30" i="81"/>
  <c r="AB30" i="81" s="1"/>
  <c r="F30" i="81"/>
  <c r="AA30" i="81" s="1"/>
  <c r="Q29" i="81"/>
  <c r="Z29" i="81" s="1"/>
  <c r="J29" i="81"/>
  <c r="AC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W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D2" i="81"/>
  <c r="AC21" i="81" l="1"/>
  <c r="F39" i="81"/>
  <c r="AA39" i="81" s="1"/>
  <c r="J39" i="81"/>
  <c r="AC39" i="81" s="1"/>
  <c r="H36" i="81"/>
  <c r="U8" i="81"/>
  <c r="G54" i="81"/>
  <c r="H54" i="81" s="1"/>
  <c r="AA8" i="81"/>
  <c r="AC8" i="81"/>
  <c r="U9" i="81"/>
  <c r="S10" i="81"/>
  <c r="W10" i="81"/>
  <c r="U11" i="81"/>
  <c r="S12" i="81"/>
  <c r="W12" i="81"/>
  <c r="U13" i="81"/>
  <c r="S14" i="81"/>
  <c r="W14" i="81"/>
  <c r="S15" i="81"/>
  <c r="W15" i="81"/>
  <c r="S17" i="81"/>
  <c r="W17" i="81"/>
  <c r="S19" i="81"/>
  <c r="W19" i="81"/>
  <c r="S21" i="81"/>
  <c r="W23" i="81"/>
  <c r="AA36" i="81"/>
  <c r="S36" i="81"/>
  <c r="AC36" i="81"/>
  <c r="W36" i="81"/>
  <c r="S9" i="81"/>
  <c r="W9" i="81"/>
  <c r="U10" i="81"/>
  <c r="S11" i="81"/>
  <c r="W11" i="81"/>
  <c r="U12" i="81"/>
  <c r="S13" i="81"/>
  <c r="W13" i="81"/>
  <c r="U14" i="81"/>
  <c r="U15" i="81"/>
  <c r="U17" i="81"/>
  <c r="U19" i="81"/>
  <c r="U21" i="81"/>
  <c r="S23" i="81"/>
  <c r="AB36" i="81"/>
  <c r="U36" i="81"/>
  <c r="U23" i="81"/>
  <c r="S25" i="81"/>
  <c r="W25" i="81"/>
  <c r="U26" i="81"/>
  <c r="S27" i="81"/>
  <c r="W27" i="81"/>
  <c r="U28" i="81"/>
  <c r="S29" i="81"/>
  <c r="W29" i="81"/>
  <c r="U30" i="81"/>
  <c r="S31" i="81"/>
  <c r="W31" i="81"/>
  <c r="U32" i="81"/>
  <c r="S34" i="81"/>
  <c r="W34" i="81"/>
  <c r="U35" i="81"/>
  <c r="U37" i="81"/>
  <c r="S38" i="81"/>
  <c r="W38" i="81"/>
  <c r="U39" i="81"/>
  <c r="S40" i="81"/>
  <c r="W40" i="81"/>
  <c r="U41" i="81"/>
  <c r="S42" i="81"/>
  <c r="W42" i="81"/>
  <c r="U43" i="81"/>
  <c r="S44" i="81"/>
  <c r="W44" i="81"/>
  <c r="U45" i="81"/>
  <c r="S46" i="81"/>
  <c r="W46" i="81"/>
  <c r="U25" i="81"/>
  <c r="S26" i="81"/>
  <c r="W26" i="81"/>
  <c r="U27" i="81"/>
  <c r="S28" i="81"/>
  <c r="W28" i="81"/>
  <c r="U29" i="81"/>
  <c r="S30" i="81"/>
  <c r="W30" i="81"/>
  <c r="U31" i="81"/>
  <c r="S32" i="81"/>
  <c r="W32" i="81"/>
  <c r="U34" i="81"/>
  <c r="S35" i="81"/>
  <c r="W35" i="81"/>
  <c r="S37" i="81"/>
  <c r="W37" i="81"/>
  <c r="U38" i="81"/>
  <c r="U40" i="81"/>
  <c r="S41" i="81"/>
  <c r="W41" i="81"/>
  <c r="U42" i="81"/>
  <c r="S43" i="81"/>
  <c r="W43" i="81"/>
  <c r="U44" i="81"/>
  <c r="S45" i="81"/>
  <c r="W45" i="81"/>
  <c r="U46" i="81"/>
  <c r="T47" i="81"/>
  <c r="E54" i="81"/>
  <c r="F54" i="81" s="1"/>
  <c r="I54" i="81"/>
  <c r="J54" i="81" s="1"/>
  <c r="S39" i="81" l="1"/>
  <c r="W39" i="81"/>
  <c r="C19" i="6" l="1"/>
  <c r="Y6" i="1" l="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Q37" i="71"/>
  <c r="F38" i="71" s="1"/>
  <c r="P37" i="71"/>
  <c r="O37" i="71"/>
  <c r="C38" i="71" s="1"/>
  <c r="N37" i="7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O33" i="71"/>
  <c r="N33" i="71"/>
  <c r="D33" i="71"/>
  <c r="Q32" i="71"/>
  <c r="AB32" i="71" s="1"/>
  <c r="P32" i="71"/>
  <c r="O32" i="71"/>
  <c r="Y32" i="71" s="1"/>
  <c r="Z32" i="71" s="1"/>
  <c r="N32" i="71"/>
  <c r="Q31" i="71"/>
  <c r="P31" i="71"/>
  <c r="O31" i="71"/>
  <c r="Y31" i="71"/>
  <c r="Z31" i="71" s="1"/>
  <c r="N31" i="71"/>
  <c r="Q30" i="71"/>
  <c r="AB30" i="71" s="1"/>
  <c r="P30" i="71"/>
  <c r="O30" i="71"/>
  <c r="Y30" i="71" s="1"/>
  <c r="Z30" i="71" s="1"/>
  <c r="N30" i="71"/>
  <c r="Q29" i="71"/>
  <c r="F30"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P28" i="71"/>
  <c r="AA3" i="71" s="1"/>
  <c r="E55" i="71"/>
  <c r="E56" i="71"/>
  <c r="U56" i="71" s="1"/>
  <c r="E63" i="71"/>
  <c r="E64" i="71" s="1"/>
  <c r="U64" i="71" s="1"/>
  <c r="Q65" i="71"/>
  <c r="U68" i="71"/>
  <c r="E67" i="71"/>
  <c r="E66" i="71" s="1"/>
  <c r="Q28" i="71"/>
  <c r="C55" i="71"/>
  <c r="D55" i="71" s="1"/>
  <c r="D54"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D67" i="71"/>
  <c r="C82" i="71"/>
  <c r="D82" i="71" s="1"/>
  <c r="D87" i="71"/>
  <c r="C86" i="71"/>
  <c r="D86" i="71" s="1"/>
  <c r="D79" i="71"/>
  <c r="C56" i="71"/>
  <c r="T56" i="71" s="1"/>
  <c r="P67" i="71"/>
  <c r="C32" i="71"/>
  <c r="T32" i="71" s="1"/>
  <c r="D32" i="71"/>
  <c r="D5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H18" i="36"/>
  <c r="AB18" i="36" s="1"/>
  <c r="F18" i="36"/>
  <c r="AA18" i="36" s="1"/>
  <c r="C18" i="36"/>
  <c r="Q18" i="35"/>
  <c r="Z18" i="35" s="1"/>
  <c r="D68" i="35"/>
  <c r="E68" i="35"/>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57" i="43"/>
  <c r="B68" i="43"/>
  <c r="C25" i="40"/>
  <c r="C29" i="39"/>
  <c r="S25" i="40"/>
  <c r="U18" i="36"/>
  <c r="S21" i="34"/>
  <c r="F94" i="40"/>
  <c r="H25" i="40"/>
  <c r="G94" i="40"/>
  <c r="J25" i="40"/>
  <c r="H29" i="39"/>
  <c r="AB29" i="39" s="1"/>
  <c r="J29" i="39"/>
  <c r="AC29" i="39" s="1"/>
  <c r="G66" i="36"/>
  <c r="J18" i="36"/>
  <c r="W18" i="36" s="1"/>
  <c r="F68" i="35"/>
  <c r="H18" i="35"/>
  <c r="AB18" i="35" s="1"/>
  <c r="S18" i="35"/>
  <c r="G68" i="35"/>
  <c r="J18" i="35"/>
  <c r="F77" i="37"/>
  <c r="G77" i="37" s="1"/>
  <c r="H21" i="37"/>
  <c r="F21" i="37"/>
  <c r="S21" i="37" s="1"/>
  <c r="H21" i="34"/>
  <c r="U21" i="34" s="1"/>
  <c r="H21" i="33"/>
  <c r="U21" i="33" s="1"/>
  <c r="F21" i="33"/>
  <c r="S21" i="33" s="1"/>
  <c r="E83" i="21"/>
  <c r="S21" i="21"/>
  <c r="H1" i="69"/>
  <c r="AC25" i="40"/>
  <c r="W25" i="40"/>
  <c r="AB25" i="40"/>
  <c r="U25" i="40"/>
  <c r="U29" i="39"/>
  <c r="AC18" i="36"/>
  <c r="AB21" i="37"/>
  <c r="U21" i="37"/>
  <c r="AA21" i="37"/>
  <c r="AB21" i="34"/>
  <c r="U18" i="35"/>
  <c r="AC18" i="35"/>
  <c r="W18" i="35"/>
  <c r="J21" i="37"/>
  <c r="W21" i="37" s="1"/>
  <c r="J21" i="34"/>
  <c r="W21" i="34" s="1"/>
  <c r="J21" i="33"/>
  <c r="AC21" i="33" s="1"/>
  <c r="F83" i="21"/>
  <c r="H21" i="21"/>
  <c r="F38" i="69"/>
  <c r="E37" i="69"/>
  <c r="F36" i="69"/>
  <c r="F35" i="69"/>
  <c r="F21" i="69"/>
  <c r="F40" i="69" s="1"/>
  <c r="F20" i="69"/>
  <c r="F39" i="69" s="1"/>
  <c r="E10" i="69"/>
  <c r="E9" i="69"/>
  <c r="AC21" i="37"/>
  <c r="AC21" i="34"/>
  <c r="AB21" i="21"/>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D117" i="33"/>
  <c r="F39" i="33" s="1"/>
  <c r="D115" i="33"/>
  <c r="E115" i="33" s="1"/>
  <c r="F115" i="33" s="1"/>
  <c r="G115" i="33" s="1"/>
  <c r="H115" i="33" s="1"/>
  <c r="I115" i="33" s="1"/>
  <c r="J115" i="33" s="1"/>
  <c r="K115" i="33" s="1"/>
  <c r="L115" i="33" s="1"/>
  <c r="M115"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Q38" i="33"/>
  <c r="Z38" i="33" s="1"/>
  <c r="J38" i="33"/>
  <c r="AC38" i="33" s="1"/>
  <c r="H38" i="33"/>
  <c r="AB38" i="33" s="1"/>
  <c r="F38" i="33"/>
  <c r="AA38" i="33" s="1"/>
  <c r="Q37" i="33"/>
  <c r="Z37" i="33"/>
  <c r="Q36" i="33"/>
  <c r="Z36" i="33"/>
  <c r="Q35" i="33"/>
  <c r="Z35" i="33"/>
  <c r="Q34" i="33"/>
  <c r="Z34" i="33" s="1"/>
  <c r="Q33" i="33"/>
  <c r="Z33" i="33" s="1"/>
  <c r="Q32" i="33"/>
  <c r="Z32" i="33"/>
  <c r="Q31" i="33"/>
  <c r="Z31" i="33"/>
  <c r="Q30" i="33"/>
  <c r="Z30" i="33"/>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U34" i="34"/>
  <c r="F26" i="33"/>
  <c r="AA26" i="33" s="1"/>
  <c r="S40" i="33"/>
  <c r="H39" i="37"/>
  <c r="AB39" i="37"/>
  <c r="S27" i="35"/>
  <c r="F11" i="40"/>
  <c r="AA11" i="40" s="1"/>
  <c r="H11" i="40"/>
  <c r="AB11" i="40" s="1"/>
  <c r="W8" i="40"/>
  <c r="AB39" i="40"/>
  <c r="AC40" i="40"/>
  <c r="AA9" i="40"/>
  <c r="AC9" i="40"/>
  <c r="U9" i="40"/>
  <c r="S34" i="40"/>
  <c r="U38" i="40"/>
  <c r="S40" i="40"/>
  <c r="W31" i="40"/>
  <c r="U34" i="40"/>
  <c r="S38"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s="1"/>
  <c r="J11" i="40"/>
  <c r="W11" i="40" s="1"/>
  <c r="AB8" i="39"/>
  <c r="AB12" i="33"/>
  <c r="AC12" i="34"/>
  <c r="AB12" i="35"/>
  <c r="AB12" i="36"/>
  <c r="W32" i="40"/>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15" i="33"/>
  <c r="AB15" i="33" s="1"/>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c r="H37" i="37"/>
  <c r="U37" i="37"/>
  <c r="H40" i="37"/>
  <c r="U40" i="37"/>
  <c r="J40" i="37"/>
  <c r="AC40" i="37"/>
  <c r="F40" i="37"/>
  <c r="AA40" i="37"/>
  <c r="W12" i="40"/>
  <c r="H14" i="33"/>
  <c r="U14" i="33" s="1"/>
  <c r="F14" i="33"/>
  <c r="S14" i="33" s="1"/>
  <c r="J14" i="33"/>
  <c r="H30" i="33"/>
  <c r="AB30" i="33" s="1"/>
  <c r="F30" i="33"/>
  <c r="J30" i="33"/>
  <c r="H44" i="33"/>
  <c r="AB44" i="33" s="1"/>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G105" i="37"/>
  <c r="J10" i="36"/>
  <c r="AC10" i="36" s="1"/>
  <c r="AB30" i="21"/>
  <c r="AA14" i="37"/>
  <c r="W31" i="34"/>
  <c r="AC13" i="36"/>
  <c r="W13" i="36"/>
  <c r="S11" i="36"/>
  <c r="AB46" i="34"/>
  <c r="AC30" i="34"/>
  <c r="AA14" i="34"/>
  <c r="S45" i="33"/>
  <c r="AB45" i="33"/>
  <c r="AB31" i="33"/>
  <c r="U31" i="33"/>
  <c r="AC28" i="21"/>
  <c r="S44" i="34"/>
  <c r="BA586" i="3"/>
  <c r="BA585" i="3"/>
  <c r="AZ585" i="3" s="1"/>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BA546" i="3"/>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AZ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s="1"/>
  <c r="S28"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AZ345" i="3" s="1"/>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BA394" i="3"/>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AZ203" i="3"/>
  <c r="BL204" i="3"/>
  <c r="AZ204" i="3"/>
  <c r="AZ39" i="3"/>
  <c r="AZ43" i="3"/>
  <c r="AZ47" i="3"/>
  <c r="AZ59" i="3"/>
  <c r="AZ63" i="3"/>
  <c r="AZ83" i="3"/>
  <c r="AZ168" i="3"/>
  <c r="AZ200" i="3"/>
  <c r="AZ85" i="3"/>
  <c r="AZ93" i="3"/>
  <c r="AZ101" i="3"/>
  <c r="AZ128" i="3"/>
  <c r="G534" i="3"/>
  <c r="G530" i="3"/>
  <c r="G522" i="3"/>
  <c r="G516" i="3"/>
  <c r="G512" i="3"/>
  <c r="G506" i="3"/>
  <c r="G498" i="3"/>
  <c r="G494" i="3"/>
  <c r="G16"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BA364" i="3"/>
  <c r="AZ364" i="3" s="1"/>
  <c r="BL364" i="3"/>
  <c r="G365" i="3"/>
  <c r="G368" i="3"/>
  <c r="BL369" i="3"/>
  <c r="BA371" i="3"/>
  <c r="AZ371" i="3"/>
  <c r="BA372" i="3"/>
  <c r="AZ372" i="3"/>
  <c r="BL372" i="3"/>
  <c r="G373" i="3"/>
  <c r="G376" i="3"/>
  <c r="BL377" i="3"/>
  <c r="BL379" i="3"/>
  <c r="BA381" i="3"/>
  <c r="BA382" i="3"/>
  <c r="BL382" i="3"/>
  <c r="G383" i="3"/>
  <c r="G386" i="3"/>
  <c r="BL387" i="3"/>
  <c r="BA389" i="3"/>
  <c r="AZ389" i="3" s="1"/>
  <c r="BA390" i="3"/>
  <c r="AZ390" i="3" s="1"/>
  <c r="BL390" i="3"/>
  <c r="G391" i="3"/>
  <c r="G394" i="3"/>
  <c r="AZ138" i="3"/>
  <c r="AZ146" i="3"/>
  <c r="AZ162" i="3"/>
  <c r="AZ178" i="3"/>
  <c r="AZ194" i="3"/>
  <c r="AZ202" i="3"/>
  <c r="AZ206" i="3"/>
  <c r="AZ500" i="3"/>
  <c r="BA16" i="3"/>
  <c r="AZ16" i="3" s="1"/>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BL339" i="3"/>
  <c r="AZ339" i="3" s="1"/>
  <c r="G340" i="3"/>
  <c r="BL343" i="3"/>
  <c r="G344" i="3"/>
  <c r="G348" i="3"/>
  <c r="G355" i="3"/>
  <c r="AZ214" i="3"/>
  <c r="AZ222" i="3"/>
  <c r="AZ319" i="3"/>
  <c r="G342" i="3"/>
  <c r="BL345" i="3"/>
  <c r="G346" i="3"/>
  <c r="AZ348"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273" i="3"/>
  <c r="AZ370" i="3"/>
  <c r="BA379" i="3"/>
  <c r="AZ379" i="3" s="1"/>
  <c r="BL380" i="3"/>
  <c r="AZ380" i="3" s="1"/>
  <c r="G381" i="3"/>
  <c r="BA383" i="3"/>
  <c r="AZ383" i="3" s="1"/>
  <c r="BL384" i="3"/>
  <c r="G385" i="3"/>
  <c r="BA387" i="3"/>
  <c r="AZ387" i="3" s="1"/>
  <c r="BL388" i="3"/>
  <c r="AZ388" i="3" s="1"/>
  <c r="G389" i="3"/>
  <c r="BA391" i="3"/>
  <c r="AZ391" i="3" s="1"/>
  <c r="BL392" i="3"/>
  <c r="G393" i="3"/>
  <c r="AZ263" i="3"/>
  <c r="AZ275" i="3"/>
  <c r="AZ287"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2" i="3"/>
  <c r="AZ360" i="3"/>
  <c r="AZ368" i="3"/>
  <c r="BA15" i="3"/>
  <c r="BR5" i="3"/>
  <c r="AZ384" i="3"/>
  <c r="AZ392" i="3"/>
  <c r="AZ394" i="3"/>
  <c r="G509" i="3"/>
  <c r="BL493" i="3"/>
  <c r="AZ493" i="3" s="1"/>
  <c r="AZ376" i="3"/>
  <c r="AZ382" i="3"/>
  <c r="U36" i="40"/>
  <c r="F83" i="43"/>
  <c r="H85" i="43" s="1"/>
  <c r="F50" i="43"/>
  <c r="H54" i="43" s="1"/>
  <c r="G54" i="43" s="1"/>
  <c r="K54" i="43" s="1"/>
  <c r="J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C40" i="11"/>
  <c r="AZ215" i="3"/>
  <c r="AZ227" i="3"/>
  <c r="AZ240" i="3"/>
  <c r="AZ243" i="3"/>
  <c r="AZ256" i="3"/>
  <c r="AZ259" i="3"/>
  <c r="AZ268" i="3"/>
  <c r="AZ280" i="3"/>
  <c r="AZ288" i="3"/>
  <c r="AZ117" i="3"/>
  <c r="AZ133" i="3"/>
  <c r="AZ21" i="3"/>
  <c r="AZ37" i="3"/>
  <c r="AZ45" i="3"/>
  <c r="AZ50" i="3"/>
  <c r="AZ61" i="3"/>
  <c r="AZ66" i="3"/>
  <c r="AZ72" i="3"/>
  <c r="AZ74" i="3"/>
  <c r="AZ10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G29" i="6"/>
  <c r="AC26" i="33"/>
  <c r="W27" i="34"/>
  <c r="AC27" i="34"/>
  <c r="AB34" i="36"/>
  <c r="U34" i="36"/>
  <c r="AB33" i="36"/>
  <c r="U33" i="36"/>
  <c r="AC12" i="39"/>
  <c r="W12" i="39"/>
  <c r="AC39" i="40"/>
  <c r="W39" i="40"/>
  <c r="AZ401" i="3"/>
  <c r="AZ412" i="3"/>
  <c r="AZ417" i="3"/>
  <c r="AZ428" i="3"/>
  <c r="AZ433" i="3"/>
  <c r="AZ465" i="3"/>
  <c r="W12" i="33"/>
  <c r="AC12" i="33"/>
  <c r="AA32" i="36"/>
  <c r="S32" i="36"/>
  <c r="AZ457" i="3"/>
  <c r="AZ473" i="3"/>
  <c r="AZ490" i="3"/>
  <c r="AA39" i="34"/>
  <c r="F28" i="6"/>
  <c r="BL14" i="3"/>
  <c r="AZ266" i="3"/>
  <c r="U30" i="33"/>
  <c r="AC13" i="34"/>
  <c r="AA47" i="34"/>
  <c r="W28" i="37"/>
  <c r="S19" i="39"/>
  <c r="F12" i="33"/>
  <c r="H12" i="39"/>
  <c r="AB12" i="39" s="1"/>
  <c r="F39" i="40"/>
  <c r="BA14" i="3"/>
  <c r="AZ14" i="3" s="1"/>
  <c r="AZ213" i="3"/>
  <c r="AZ224" i="3"/>
  <c r="AZ238" i="3"/>
  <c r="AZ254" i="3"/>
  <c r="AZ286" i="3"/>
  <c r="AZ297" i="3"/>
  <c r="AZ157" i="3"/>
  <c r="AZ173" i="3"/>
  <c r="AZ189" i="3"/>
  <c r="AZ19" i="3"/>
  <c r="AZ26" i="3"/>
  <c r="AZ35" i="3"/>
  <c r="AZ41"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W38" i="33"/>
  <c r="H41" i="33"/>
  <c r="U41" i="33" s="1"/>
  <c r="S42" i="33"/>
  <c r="J35" i="33"/>
  <c r="W35" i="33" s="1"/>
  <c r="S46" i="33"/>
  <c r="W43" i="33"/>
  <c r="H27" i="33"/>
  <c r="U27" i="33" s="1"/>
  <c r="H25" i="33"/>
  <c r="AB25" i="33" s="1"/>
  <c r="F25" i="33"/>
  <c r="AA25" i="33" s="1"/>
  <c r="J23" i="33"/>
  <c r="AC23" i="33" s="1"/>
  <c r="H23" i="33"/>
  <c r="AB23" i="33" s="1"/>
  <c r="F19" i="33"/>
  <c r="S19" i="33" s="1"/>
  <c r="W19" i="33"/>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L17" i="3"/>
  <c r="AZ17" i="3" s="1"/>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AB34" i="33"/>
  <c r="U44" i="33"/>
  <c r="S30" i="33"/>
  <c r="AA30" i="33"/>
  <c r="AC14" i="33"/>
  <c r="W14" i="33"/>
  <c r="AC30" i="33"/>
  <c r="W30" i="33"/>
  <c r="S31" i="33"/>
  <c r="AA31" i="33"/>
  <c r="W13" i="33"/>
  <c r="AC13" i="33"/>
  <c r="S11" i="33"/>
  <c r="W8" i="33"/>
  <c r="S44" i="21"/>
  <c r="AB42" i="21"/>
  <c r="U28" i="21"/>
  <c r="S45" i="2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11"/>
  <c r="C48" i="11" s="1"/>
  <c r="F31" i="12"/>
  <c r="M18" i="67"/>
  <c r="F30" i="69"/>
  <c r="F48" i="69" s="1"/>
  <c r="M18" i="15"/>
  <c r="AA39" i="40"/>
  <c r="S39" i="40"/>
  <c r="S12" i="33"/>
  <c r="AA12" i="33"/>
  <c r="D68" i="9"/>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J27" i="33"/>
  <c r="W27" i="33" s="1"/>
  <c r="J25" i="33"/>
  <c r="W25" i="33" s="1"/>
  <c r="F23" i="33"/>
  <c r="AA23" i="33" s="1"/>
  <c r="H19" i="33"/>
  <c r="U19" i="33" s="1"/>
  <c r="H17" i="33"/>
  <c r="U17" i="33" s="1"/>
  <c r="S37" i="21"/>
  <c r="AA23" i="21"/>
  <c r="AB15" i="21"/>
  <c r="J23" i="21"/>
  <c r="AC23" i="21" s="1"/>
  <c r="F85" i="21"/>
  <c r="G85" i="21" s="1"/>
  <c r="H23" i="21"/>
  <c r="U23" i="21" s="1"/>
  <c r="S13" i="21"/>
  <c r="D6" i="52"/>
  <c r="AP7" i="1"/>
  <c r="AB45" i="21"/>
  <c r="AB9" i="21"/>
  <c r="U9" i="21"/>
  <c r="AA32" i="21"/>
  <c r="S32" i="21"/>
  <c r="W9" i="21"/>
  <c r="AC9" i="21"/>
  <c r="AB32" i="21"/>
  <c r="U32" i="21"/>
  <c r="U32" i="39"/>
  <c r="AC32" i="39"/>
  <c r="W19" i="37"/>
  <c r="W23" i="37"/>
  <c r="AC23" i="37"/>
  <c r="H63" i="37"/>
  <c r="I63" i="37" s="1"/>
  <c r="J63" i="37" s="1"/>
  <c r="K63" i="37" s="1"/>
  <c r="L63" i="37" s="1"/>
  <c r="M63" i="37" s="1"/>
  <c r="J11" i="37"/>
  <c r="AC11" i="37" s="1"/>
  <c r="J11" i="34"/>
  <c r="W11" i="34" s="1"/>
  <c r="S23" i="33"/>
  <c r="AB23" i="21"/>
  <c r="W23" i="21"/>
  <c r="H109" i="9"/>
  <c r="D16" i="53"/>
  <c r="B34" i="72" s="1"/>
  <c r="H112" i="9"/>
  <c r="D21" i="53"/>
  <c r="B39" i="72" s="1"/>
  <c r="H111" i="9"/>
  <c r="D126" i="9" s="1"/>
  <c r="D19" i="53"/>
  <c r="B38" i="72" s="1"/>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AO13" i="1"/>
  <c r="F4" i="73"/>
  <c r="B11" i="76"/>
  <c r="E2" i="68"/>
  <c r="E8" i="76"/>
  <c r="E7" i="76"/>
  <c r="E10" i="76"/>
  <c r="E12" i="76"/>
  <c r="F20" i="31"/>
  <c r="E2" i="69"/>
  <c r="B7" i="76"/>
  <c r="B8" i="76"/>
  <c r="B9" i="76"/>
  <c r="F7" i="73"/>
  <c r="F5" i="73"/>
  <c r="E11" i="76"/>
  <c r="B10" i="76"/>
  <c r="E9" i="76"/>
  <c r="F6" i="73"/>
  <c r="B13" i="76"/>
  <c r="F3" i="73"/>
  <c r="B12" i="76"/>
  <c r="E13" i="76"/>
  <c r="D6" i="73"/>
  <c r="H39" i="33" l="1"/>
  <c r="AB39" i="33" s="1"/>
  <c r="W23" i="33"/>
  <c r="AZ187" i="3"/>
  <c r="AZ511" i="3"/>
  <c r="AZ515" i="3"/>
  <c r="AZ519" i="3"/>
  <c r="AZ565" i="3"/>
  <c r="AZ569" i="3"/>
  <c r="AZ573" i="3"/>
  <c r="AZ577" i="3"/>
  <c r="AZ508" i="3"/>
  <c r="AA14" i="33"/>
  <c r="U31" i="34"/>
  <c r="AZ361" i="3"/>
  <c r="AZ338" i="3"/>
  <c r="AZ363" i="3"/>
  <c r="AZ347" i="3"/>
  <c r="AZ344" i="3"/>
  <c r="AZ313" i="3"/>
  <c r="S11" i="39"/>
  <c r="AZ497" i="3"/>
  <c r="AZ501" i="3"/>
  <c r="AZ525" i="3"/>
  <c r="AZ533" i="3"/>
  <c r="AZ541" i="3"/>
  <c r="AZ555" i="3"/>
  <c r="AZ583" i="3"/>
  <c r="AZ510" i="3"/>
  <c r="AZ540" i="3"/>
  <c r="AZ558" i="3"/>
  <c r="AB40" i="40"/>
  <c r="U40" i="40"/>
  <c r="BL586" i="3"/>
  <c r="AZ586" i="3" s="1"/>
  <c r="BA551" i="3"/>
  <c r="AZ551" i="3" s="1"/>
  <c r="BL548" i="3"/>
  <c r="AZ548" i="3"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BA358" i="3"/>
  <c r="AZ358" i="3" s="1"/>
  <c r="BL363" i="3"/>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AZ221" i="3" s="1"/>
  <c r="BL223" i="3"/>
  <c r="AZ223" i="3" s="1"/>
  <c r="G226" i="3"/>
  <c r="BL226" i="3"/>
  <c r="G229" i="3"/>
  <c r="G230" i="3"/>
  <c r="BL230" i="3"/>
  <c r="AZ230" i="3" s="1"/>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AZ262" i="3" s="1"/>
  <c r="G265" i="3"/>
  <c r="G266" i="3"/>
  <c r="G267" i="3"/>
  <c r="BL267" i="3"/>
  <c r="BL269" i="3"/>
  <c r="AZ269" i="3" s="1"/>
  <c r="BA270" i="3"/>
  <c r="AZ270" i="3" s="1"/>
  <c r="BA271" i="3"/>
  <c r="AZ271" i="3" s="1"/>
  <c r="F44" i="39"/>
  <c r="G570" i="3"/>
  <c r="G556" i="3"/>
  <c r="BL550" i="3"/>
  <c r="BA550" i="3"/>
  <c r="AZ550" i="3" s="1"/>
  <c r="G526" i="3"/>
  <c r="AZ402" i="3"/>
  <c r="AZ406" i="3"/>
  <c r="AZ413" i="3"/>
  <c r="AZ419" i="3"/>
  <c r="AZ424" i="3"/>
  <c r="AZ429" i="3"/>
  <c r="AZ435" i="3"/>
  <c r="AZ444" i="3"/>
  <c r="AZ451" i="3"/>
  <c r="AZ456" i="3"/>
  <c r="AZ458" i="3"/>
  <c r="AZ462" i="3"/>
  <c r="AZ466" i="3"/>
  <c r="AZ469" i="3"/>
  <c r="AZ316" i="3"/>
  <c r="AZ216" i="3"/>
  <c r="AZ226" i="3"/>
  <c r="AZ242" i="3"/>
  <c r="AZ246" i="3"/>
  <c r="AZ258" i="3"/>
  <c r="AZ267"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BL190" i="3"/>
  <c r="AZ190" i="3" s="1"/>
  <c r="BA192" i="3"/>
  <c r="AZ192" i="3" s="1"/>
  <c r="BL193" i="3"/>
  <c r="G196" i="3"/>
  <c r="BA197" i="3"/>
  <c r="AZ197" i="3" s="1"/>
  <c r="BA198" i="3"/>
  <c r="AZ198" i="3" s="1"/>
  <c r="BL199" i="3"/>
  <c r="AZ199" i="3" s="1"/>
  <c r="AZ201" i="3"/>
  <c r="G203" i="3"/>
  <c r="G205" i="3"/>
  <c r="BL205" i="3"/>
  <c r="AZ205" i="3" s="1"/>
  <c r="G18" i="3"/>
  <c r="BL18" i="3"/>
  <c r="AZ18" i="3" s="1"/>
  <c r="BL20" i="3"/>
  <c r="AZ20" i="3" s="1"/>
  <c r="G23" i="3"/>
  <c r="BL23" i="3"/>
  <c r="G26" i="3"/>
  <c r="G27" i="3"/>
  <c r="BL27" i="3"/>
  <c r="AZ27" i="3" s="1"/>
  <c r="BL29" i="3"/>
  <c r="AZ29" i="3" s="1"/>
  <c r="BA30" i="3"/>
  <c r="AZ30" i="3" s="1"/>
  <c r="BA31" i="3"/>
  <c r="BL31" i="3"/>
  <c r="BL33" i="3"/>
  <c r="AZ33" i="3" s="1"/>
  <c r="G35" i="3"/>
  <c r="G36" i="3"/>
  <c r="BL36" i="3"/>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D58" i="71"/>
  <c r="C59" i="71"/>
  <c r="E23" i="71"/>
  <c r="E22" i="71" s="1"/>
  <c r="E21" i="71" s="1"/>
  <c r="E20" i="71" s="1"/>
  <c r="V24" i="71"/>
  <c r="AZ23" i="3"/>
  <c r="AZ40" i="3"/>
  <c r="AZ46" i="3"/>
  <c r="AZ49" i="3"/>
  <c r="AZ65" i="3"/>
  <c r="F31" i="71"/>
  <c r="F32" i="71" s="1"/>
  <c r="V32" i="71" s="1"/>
  <c r="X29" i="71"/>
  <c r="AB31" i="71"/>
  <c r="F35" i="71"/>
  <c r="F36" i="71" s="1"/>
  <c r="V36" i="71" s="1"/>
  <c r="X33" i="71"/>
  <c r="AB35" i="71"/>
  <c r="F39" i="71"/>
  <c r="F40" i="71" s="1"/>
  <c r="V40" i="71" s="1"/>
  <c r="B63" i="71"/>
  <c r="B64" i="71" s="1"/>
  <c r="S64" i="71"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C58" i="81"/>
  <c r="G7" i="81"/>
  <c r="E7" i="81"/>
  <c r="W29" i="39"/>
  <c r="C70" i="71"/>
  <c r="D70" i="71" s="1"/>
  <c r="D75" i="71"/>
  <c r="D63" i="71"/>
  <c r="C66" i="71"/>
  <c r="AA30" i="71"/>
  <c r="AA33" i="71"/>
  <c r="BL15" i="3"/>
  <c r="AZ15" i="3" s="1"/>
  <c r="C18" i="9"/>
  <c r="D18" i="9" s="1"/>
  <c r="AA39" i="33"/>
  <c r="S39" i="33"/>
  <c r="AB27" i="33"/>
  <c r="AB29" i="33"/>
  <c r="W29" i="33"/>
  <c r="F111" i="33"/>
  <c r="F17" i="33"/>
  <c r="J17" i="33"/>
  <c r="U15" i="33"/>
  <c r="E19" i="71"/>
  <c r="E18" i="71" s="1"/>
  <c r="E17" i="71" s="1"/>
  <c r="E16" i="71" s="1"/>
  <c r="V20" i="71"/>
  <c r="AZ521" i="3"/>
  <c r="BL5" i="3"/>
  <c r="AC11" i="35"/>
  <c r="AZ400" i="3"/>
  <c r="AZ439" i="3"/>
  <c r="AZ472" i="3"/>
  <c r="AZ475" i="3"/>
  <c r="AZ483" i="3"/>
  <c r="AZ489" i="3"/>
  <c r="C16" i="71"/>
  <c r="D17" i="71"/>
  <c r="AB19" i="33"/>
  <c r="W17" i="21"/>
  <c r="E7" i="33"/>
  <c r="I7" i="33"/>
  <c r="G7" i="33"/>
  <c r="E108" i="33"/>
  <c r="F108" i="33" s="1"/>
  <c r="G108" i="33" s="1"/>
  <c r="H108" i="33" s="1"/>
  <c r="I108" i="33" s="1"/>
  <c r="J108" i="33" s="1"/>
  <c r="K108" i="33" s="1"/>
  <c r="L108" i="33" s="1"/>
  <c r="M108" i="33" s="1"/>
  <c r="H35" i="33"/>
  <c r="AB35" i="33" s="1"/>
  <c r="E117" i="33"/>
  <c r="F117" i="33" s="1"/>
  <c r="G117" i="33" s="1"/>
  <c r="J39" i="33"/>
  <c r="AC39" i="33" s="1"/>
  <c r="J9" i="34"/>
  <c r="F9" i="34"/>
  <c r="AA9" i="34" s="1"/>
  <c r="AZ398" i="3"/>
  <c r="AZ405" i="3"/>
  <c r="AZ407" i="3"/>
  <c r="AZ410" i="3"/>
  <c r="AZ415" i="3"/>
  <c r="AZ420" i="3"/>
  <c r="AZ426" i="3"/>
  <c r="AZ431" i="3"/>
  <c r="AZ448" i="3"/>
  <c r="AZ452" i="3"/>
  <c r="AZ461" i="3"/>
  <c r="AZ463" i="3"/>
  <c r="AZ468" i="3"/>
  <c r="AZ470" i="3"/>
  <c r="AZ479" i="3"/>
  <c r="AZ485" i="3"/>
  <c r="A15" i="62"/>
  <c r="B61" i="72" s="1"/>
  <c r="F12" i="34"/>
  <c r="F34" i="35"/>
  <c r="H34" i="35"/>
  <c r="J36" i="35"/>
  <c r="F23" i="36"/>
  <c r="H23" i="36"/>
  <c r="F6" i="1"/>
  <c r="I24" i="43" s="1"/>
  <c r="C24" i="43" s="1"/>
  <c r="AZ395" i="3"/>
  <c r="AZ208" i="3"/>
  <c r="AZ211" i="3"/>
  <c r="AZ219" i="3"/>
  <c r="AZ236" i="3"/>
  <c r="AZ252" i="3"/>
  <c r="AZ272" i="3"/>
  <c r="AZ276" i="3"/>
  <c r="AZ289" i="3"/>
  <c r="AZ294" i="3"/>
  <c r="AZ300" i="3"/>
  <c r="AZ118" i="3"/>
  <c r="AZ121" i="3"/>
  <c r="AZ134" i="3"/>
  <c r="AZ137" i="3"/>
  <c r="AZ145" i="3"/>
  <c r="AZ161" i="3"/>
  <c r="AZ177" i="3"/>
  <c r="AZ193" i="3"/>
  <c r="AZ36" i="3"/>
  <c r="AZ54" i="3"/>
  <c r="AZ57" i="3"/>
  <c r="AZ70" i="3"/>
  <c r="AZ92" i="3"/>
  <c r="AZ103" i="3"/>
  <c r="S18" i="36"/>
  <c r="B100" i="43"/>
  <c r="B77" i="43"/>
  <c r="C26" i="71"/>
  <c r="D26" i="71" s="1"/>
  <c r="D27" i="71"/>
  <c r="C40" i="68"/>
  <c r="C21" i="68"/>
  <c r="D64" i="71"/>
  <c r="T64" i="71"/>
  <c r="P65" i="71"/>
  <c r="P66" i="71"/>
  <c r="C36" i="71"/>
  <c r="D35" i="71"/>
  <c r="B27" i="71"/>
  <c r="B26" i="71" s="1"/>
  <c r="S28" i="71"/>
  <c r="D38" i="71"/>
  <c r="C39" i="71"/>
  <c r="D42" i="71"/>
  <c r="C43" i="71"/>
  <c r="C47" i="71"/>
  <c r="D47" i="71" s="1"/>
  <c r="D46" i="71"/>
  <c r="C51" i="71"/>
  <c r="D50" i="71"/>
  <c r="V28" i="71"/>
  <c r="AA28" i="71"/>
  <c r="AA26" i="71"/>
  <c r="AB28" i="71"/>
  <c r="AB26" i="71"/>
  <c r="X28" i="71"/>
  <c r="X26" i="71"/>
  <c r="Y28" i="71"/>
  <c r="Z28" i="71" s="1"/>
  <c r="Y27" i="71"/>
  <c r="Z27" i="71" s="1"/>
  <c r="Y26" i="71"/>
  <c r="Z26" i="71" s="1"/>
  <c r="Y25" i="71"/>
  <c r="Z25" i="71" s="1"/>
  <c r="X35" i="71"/>
  <c r="X34" i="71"/>
  <c r="AA32" i="71"/>
  <c r="AA31" i="71"/>
  <c r="AB29" i="71"/>
  <c r="AA37" i="71"/>
  <c r="X9" i="71"/>
  <c r="X10" i="71"/>
  <c r="AB9" i="71"/>
  <c r="AB10" i="71"/>
  <c r="S68" i="71"/>
  <c r="B67" i="71"/>
  <c r="X24" i="71"/>
  <c r="AA24" i="71"/>
  <c r="Y24" i="71"/>
  <c r="Z24" i="71" s="1"/>
  <c r="AB21" i="71"/>
  <c r="Y18" i="71"/>
  <c r="Z18" i="71" s="1"/>
  <c r="Y14" i="71"/>
  <c r="Z14" i="71" s="1"/>
  <c r="AB12" i="71"/>
  <c r="Y10" i="71"/>
  <c r="Z10" i="71" s="1"/>
  <c r="Y9" i="71"/>
  <c r="Z9" i="71" s="1"/>
  <c r="AA9" i="71"/>
  <c r="AA10" i="71"/>
  <c r="AB24" i="71"/>
  <c r="AA22" i="71"/>
  <c r="X21" i="71"/>
  <c r="AA21" i="71"/>
  <c r="X18" i="71"/>
  <c r="AA18" i="71"/>
  <c r="X17" i="71"/>
  <c r="Y17" i="71"/>
  <c r="Z17" i="71" s="1"/>
  <c r="AA17" i="71"/>
  <c r="AB18" i="71"/>
  <c r="Y23" i="71"/>
  <c r="Z23" i="71" s="1"/>
  <c r="Y22" i="71"/>
  <c r="Z22" i="71" s="1"/>
  <c r="AA23" i="71"/>
  <c r="AB23" i="71"/>
  <c r="X22" i="71"/>
  <c r="Y21" i="71"/>
  <c r="Z21" i="71" s="1"/>
  <c r="X15" i="71"/>
  <c r="AA15" i="71"/>
  <c r="AB11" i="71"/>
  <c r="Y12" i="71"/>
  <c r="Z12" i="71" s="1"/>
  <c r="Y13" i="71"/>
  <c r="Z13" i="71" s="1"/>
  <c r="AA12" i="71"/>
  <c r="AA14" i="71"/>
  <c r="X13" i="71"/>
  <c r="X12" i="71"/>
  <c r="AB15" i="71"/>
  <c r="AB17" i="71"/>
  <c r="AB13" i="71"/>
  <c r="AB14" i="71"/>
  <c r="Y11" i="71"/>
  <c r="Z11" i="71" s="1"/>
  <c r="AA11" i="71"/>
  <c r="AA13" i="71"/>
  <c r="X11" i="71"/>
  <c r="X14" i="71"/>
  <c r="S43" i="33"/>
  <c r="AA37" i="33"/>
  <c r="S37" i="33"/>
  <c r="H37" i="33"/>
  <c r="E113" i="33"/>
  <c r="F113" i="33" s="1"/>
  <c r="G113" i="33" s="1"/>
  <c r="H113" i="33" s="1"/>
  <c r="I113" i="33" s="1"/>
  <c r="J113" i="33" s="1"/>
  <c r="K113" i="33" s="1"/>
  <c r="L113" i="33" s="1"/>
  <c r="M113" i="33" s="1"/>
  <c r="F34" i="33"/>
  <c r="S34" i="33" s="1"/>
  <c r="F101" i="33"/>
  <c r="G101" i="33" s="1"/>
  <c r="H101" i="33" s="1"/>
  <c r="I101" i="33" s="1"/>
  <c r="J101" i="33" s="1"/>
  <c r="K101" i="33" s="1"/>
  <c r="L101" i="33" s="1"/>
  <c r="M101" i="33" s="1"/>
  <c r="J32" i="33"/>
  <c r="AC32" i="33" s="1"/>
  <c r="H32" i="33"/>
  <c r="AB32" i="33" s="1"/>
  <c r="F32" i="33"/>
  <c r="AA32" i="33" s="1"/>
  <c r="F27" i="33"/>
  <c r="U25" i="33"/>
  <c r="U23" i="33"/>
  <c r="AA19" i="33"/>
  <c r="W44" i="33"/>
  <c r="AA44" i="33"/>
  <c r="AA35" i="33"/>
  <c r="AA34" i="33"/>
  <c r="U32" i="33"/>
  <c r="S26" i="33"/>
  <c r="AB26" i="33"/>
  <c r="S25" i="33"/>
  <c r="AB21" i="33"/>
  <c r="W21" i="33"/>
  <c r="AA21" i="33"/>
  <c r="AC28" i="33"/>
  <c r="U43" i="33"/>
  <c r="W39" i="33"/>
  <c r="S28" i="33"/>
  <c r="AC27" i="33"/>
  <c r="AC25" i="33"/>
  <c r="AB17" i="33"/>
  <c r="W15" i="33"/>
  <c r="AC9" i="33"/>
  <c r="W9" i="33"/>
  <c r="F9" i="33"/>
  <c r="AA9" i="33" s="1"/>
  <c r="U42" i="33"/>
  <c r="W42" i="33"/>
  <c r="AB41" i="33"/>
  <c r="S41" i="33"/>
  <c r="S38" i="33"/>
  <c r="AC35" i="33"/>
  <c r="AC34" i="33"/>
  <c r="H69" i="43"/>
  <c r="H67" i="43"/>
  <c r="G6" i="1"/>
  <c r="F7" i="1"/>
  <c r="G7" i="1" s="1"/>
  <c r="G44" i="43"/>
  <c r="H50" i="43"/>
  <c r="G50" i="43" s="1"/>
  <c r="M54" i="43"/>
  <c r="N54" i="43" s="1"/>
  <c r="D54" i="43"/>
  <c r="B73" i="43"/>
  <c r="B79" i="43"/>
  <c r="B76" i="43"/>
  <c r="B75" i="43"/>
  <c r="F54" i="9"/>
  <c r="F28" i="15"/>
  <c r="F32" i="15"/>
  <c r="F60" i="15" s="1"/>
  <c r="F32" i="67"/>
  <c r="F60" i="67" s="1"/>
  <c r="F52" i="9"/>
  <c r="F28" i="67"/>
  <c r="C28" i="67" s="1"/>
  <c r="F30" i="68"/>
  <c r="F48" i="68" s="1"/>
  <c r="D22" i="15"/>
  <c r="G1" i="67"/>
  <c r="G1" i="15"/>
  <c r="B6" i="1"/>
  <c r="E6" i="1" s="1"/>
  <c r="K1" i="12"/>
  <c r="G28" i="6"/>
  <c r="F29" i="6"/>
  <c r="F30" i="6"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9" i="6"/>
  <c r="K15" i="1" s="1"/>
  <c r="G30" i="6"/>
  <c r="G31" i="6" s="1"/>
  <c r="E28" i="6"/>
  <c r="L19" i="6"/>
  <c r="L27" i="6"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C13" i="12" s="1"/>
  <c r="P11" i="1"/>
  <c r="K14"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I1" i="73"/>
  <c r="B39" i="1" s="1"/>
  <c r="B13" i="70"/>
  <c r="C36" i="68"/>
  <c r="D9" i="68"/>
  <c r="D9" i="69"/>
  <c r="M22" i="67"/>
  <c r="F36" i="15"/>
  <c r="F7" i="15"/>
  <c r="M24" i="67"/>
  <c r="M28" i="67"/>
  <c r="F9" i="67"/>
  <c r="C76" i="67"/>
  <c r="F36" i="67"/>
  <c r="M24" i="15"/>
  <c r="M9" i="67"/>
  <c r="M22" i="15"/>
  <c r="F16" i="67"/>
  <c r="F42" i="15"/>
  <c r="C76" i="15"/>
  <c r="F42" i="67"/>
  <c r="L47" i="67"/>
  <c r="M23" i="15"/>
  <c r="M8" i="67"/>
  <c r="D4" i="73"/>
  <c r="F43" i="15"/>
  <c r="M26" i="67"/>
  <c r="L47" i="15"/>
  <c r="F37" i="67"/>
  <c r="M9" i="15"/>
  <c r="J15" i="67"/>
  <c r="F13" i="15"/>
  <c r="D5" i="73"/>
  <c r="L48" i="67"/>
  <c r="F37" i="15"/>
  <c r="F8" i="15"/>
  <c r="F9" i="15"/>
  <c r="L48" i="15"/>
  <c r="F13" i="67"/>
  <c r="M6" i="67"/>
  <c r="D3" i="73"/>
  <c r="G1" i="73"/>
  <c r="F8" i="67"/>
  <c r="F38" i="67"/>
  <c r="M26" i="15"/>
  <c r="M23" i="67"/>
  <c r="F40" i="15"/>
  <c r="M8" i="15"/>
  <c r="F38" i="15"/>
  <c r="F40" i="67"/>
  <c r="D7" i="73"/>
  <c r="M6" i="15"/>
  <c r="F26" i="67"/>
  <c r="F6" i="15"/>
  <c r="F16" i="15"/>
  <c r="J15" i="15"/>
  <c r="F26" i="15"/>
  <c r="M28" i="15"/>
  <c r="M29" i="15"/>
  <c r="U39" i="33" l="1"/>
  <c r="F7" i="81"/>
  <c r="D58" i="81"/>
  <c r="E58" i="81" s="1"/>
  <c r="F58" i="81" s="1"/>
  <c r="G58" i="81" s="1"/>
  <c r="H58" i="81" s="1"/>
  <c r="I58" i="81" s="1"/>
  <c r="J58" i="81" s="1"/>
  <c r="K58" i="81" s="1"/>
  <c r="L58" i="81" s="1"/>
  <c r="M58" i="81" s="1"/>
  <c r="N58" i="81" s="1"/>
  <c r="O58" i="81" s="1"/>
  <c r="J7" i="81"/>
  <c r="D59" i="71"/>
  <c r="C60" i="71"/>
  <c r="AZ31" i="3"/>
  <c r="AZ446" i="3"/>
  <c r="D66" i="71"/>
  <c r="O65" i="71"/>
  <c r="O66" i="71"/>
  <c r="H7" i="81"/>
  <c r="AA44" i="39"/>
  <c r="S44" i="39"/>
  <c r="U35" i="33"/>
  <c r="C44" i="43"/>
  <c r="G111" i="33"/>
  <c r="F36" i="33"/>
  <c r="S17" i="33"/>
  <c r="AA17" i="33"/>
  <c r="AC17" i="33"/>
  <c r="W17" i="33"/>
  <c r="C44" i="71"/>
  <c r="D43" i="71"/>
  <c r="C40" i="71"/>
  <c r="D39" i="71"/>
  <c r="AA23" i="36"/>
  <c r="S23" i="36"/>
  <c r="AB34" i="35"/>
  <c r="U34" i="35"/>
  <c r="S12" i="34"/>
  <c r="AA12" i="34"/>
  <c r="E15" i="71"/>
  <c r="E14" i="71" s="1"/>
  <c r="E13" i="71" s="1"/>
  <c r="E12" i="71" s="1"/>
  <c r="V16" i="71"/>
  <c r="B15" i="71"/>
  <c r="B14" i="71" s="1"/>
  <c r="B13" i="71" s="1"/>
  <c r="B12" i="71" s="1"/>
  <c r="S16" i="71"/>
  <c r="W32" i="33"/>
  <c r="N67" i="71"/>
  <c r="B66" i="71"/>
  <c r="C52" i="71"/>
  <c r="D51" i="71"/>
  <c r="D36" i="71"/>
  <c r="T36" i="71"/>
  <c r="AB23" i="36"/>
  <c r="U23" i="36"/>
  <c r="AC36" i="35"/>
  <c r="W36" i="35"/>
  <c r="AA34" i="35"/>
  <c r="S34" i="35"/>
  <c r="AC9" i="34"/>
  <c r="W9" i="34"/>
  <c r="C15" i="71"/>
  <c r="M23" i="43"/>
  <c r="T16" i="71"/>
  <c r="AB37" i="33"/>
  <c r="U37" i="33"/>
  <c r="S32" i="33"/>
  <c r="AA27" i="33"/>
  <c r="S27" i="33"/>
  <c r="S9" i="33"/>
  <c r="F7" i="36"/>
  <c r="J7" i="37"/>
  <c r="AC7" i="37" s="1"/>
  <c r="V42" i="37" s="1"/>
  <c r="I42" i="37" s="1"/>
  <c r="H7" i="36"/>
  <c r="K57" i="43"/>
  <c r="J57" i="43" s="1"/>
  <c r="D57" i="43" s="1"/>
  <c r="M57" i="43"/>
  <c r="N57" i="43" s="1"/>
  <c r="M55" i="43"/>
  <c r="N55" i="43" s="1"/>
  <c r="K55" i="43"/>
  <c r="M51" i="43"/>
  <c r="N51" i="43" s="1"/>
  <c r="K51" i="43"/>
  <c r="J51" i="43" s="1"/>
  <c r="D51" i="43" s="1"/>
  <c r="K53" i="43"/>
  <c r="M53" i="43"/>
  <c r="N53" i="43" s="1"/>
  <c r="K52" i="43"/>
  <c r="M52" i="43"/>
  <c r="N52" i="43" s="1"/>
  <c r="K56" i="43"/>
  <c r="M56" i="43"/>
  <c r="N56" i="43" s="1"/>
  <c r="M58" i="43"/>
  <c r="N58" i="43" s="1"/>
  <c r="K58" i="43"/>
  <c r="M50" i="43"/>
  <c r="N50" i="43" s="1"/>
  <c r="K50" i="43"/>
  <c r="F68" i="15"/>
  <c r="J53" i="15"/>
  <c r="L56" i="15" s="1"/>
  <c r="J57" i="15"/>
  <c r="J55" i="15" s="1"/>
  <c r="J58" i="15" s="1"/>
  <c r="Q50" i="15" s="1"/>
  <c r="I54" i="15"/>
  <c r="F65" i="15"/>
  <c r="M7" i="15"/>
  <c r="J6" i="15" s="1"/>
  <c r="J18" i="15" s="1"/>
  <c r="F50" i="15"/>
  <c r="F71" i="15"/>
  <c r="F51" i="15"/>
  <c r="C49" i="15" s="1"/>
  <c r="F31" i="15"/>
  <c r="C6" i="15"/>
  <c r="C32" i="15" s="1"/>
  <c r="C27" i="15"/>
  <c r="F66" i="15"/>
  <c r="Q71" i="15"/>
  <c r="F64" i="15"/>
  <c r="L59" i="15"/>
  <c r="Q74" i="15" s="1"/>
  <c r="N59" i="15"/>
  <c r="M59" i="15"/>
  <c r="L58" i="15"/>
  <c r="Q60" i="15" s="1"/>
  <c r="F31" i="67"/>
  <c r="F64" i="67"/>
  <c r="F65" i="67"/>
  <c r="Q71" i="67"/>
  <c r="F68" i="67"/>
  <c r="C27" i="67"/>
  <c r="F66" i="67"/>
  <c r="F51" i="67"/>
  <c r="L56" i="67"/>
  <c r="J57" i="67"/>
  <c r="J55" i="67" s="1"/>
  <c r="J58" i="67" s="1"/>
  <c r="Q50" i="67" s="1"/>
  <c r="I54" i="67"/>
  <c r="J53" i="67"/>
  <c r="F1" i="67" s="1"/>
  <c r="L58" i="67"/>
  <c r="Q60" i="67" s="1"/>
  <c r="L59" i="67"/>
  <c r="Q61" i="67" s="1"/>
  <c r="M59" i="67"/>
  <c r="N59" i="67"/>
  <c r="D18" i="53"/>
  <c r="B35" i="72" s="1"/>
  <c r="E61" i="43"/>
  <c r="B59" i="43" s="1"/>
  <c r="E30" i="6"/>
  <c r="H7" i="34"/>
  <c r="AB7" i="34" s="1"/>
  <c r="T49" i="34" s="1"/>
  <c r="G49" i="34" s="1"/>
  <c r="E67" i="39"/>
  <c r="J7" i="34"/>
  <c r="W7" i="34" s="1"/>
  <c r="F7" i="34"/>
  <c r="S7" i="34" s="1"/>
  <c r="AA26" i="35"/>
  <c r="S26" i="35"/>
  <c r="AC26" i="35"/>
  <c r="W26" i="35"/>
  <c r="AB26" i="35"/>
  <c r="U26" i="35"/>
  <c r="C9" i="69"/>
  <c r="C9" i="68"/>
  <c r="E72" i="43"/>
  <c r="B70" i="43" s="1"/>
  <c r="M14" i="1"/>
  <c r="D5" i="43"/>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C16" i="15"/>
  <c r="AE6" i="1"/>
  <c r="U7" i="81" l="1"/>
  <c r="AB7" i="81"/>
  <c r="T60" i="71"/>
  <c r="D60" i="71"/>
  <c r="AC7" i="81"/>
  <c r="W7" i="81"/>
  <c r="AA7" i="81"/>
  <c r="S7" i="81"/>
  <c r="H111" i="33"/>
  <c r="I111" i="33" s="1"/>
  <c r="J111" i="33" s="1"/>
  <c r="K111" i="33" s="1"/>
  <c r="L111" i="33" s="1"/>
  <c r="M111" i="33" s="1"/>
  <c r="J36" i="33"/>
  <c r="H36" i="33"/>
  <c r="AA36" i="33"/>
  <c r="S36" i="33"/>
  <c r="N66" i="71"/>
  <c r="N65" i="71"/>
  <c r="B11" i="71"/>
  <c r="B10" i="71" s="1"/>
  <c r="B9" i="71" s="1"/>
  <c r="B8" i="71" s="1"/>
  <c r="B7" i="71" s="1"/>
  <c r="B6" i="71" s="1"/>
  <c r="B5" i="71" s="1"/>
  <c r="S12" i="71"/>
  <c r="E11" i="71"/>
  <c r="E10" i="71" s="1"/>
  <c r="E9" i="71" s="1"/>
  <c r="E8" i="71" s="1"/>
  <c r="E7" i="71" s="1"/>
  <c r="E6" i="71" s="1"/>
  <c r="E5" i="71" s="1"/>
  <c r="V12" i="71"/>
  <c r="D15" i="71"/>
  <c r="C14" i="71"/>
  <c r="D52" i="71"/>
  <c r="T52" i="71"/>
  <c r="D40" i="71"/>
  <c r="T40" i="71"/>
  <c r="D44" i="71"/>
  <c r="T44" i="71"/>
  <c r="Q73" i="67"/>
  <c r="J50" i="43"/>
  <c r="D50" i="43"/>
  <c r="J58" i="43"/>
  <c r="D58" i="43"/>
  <c r="J55" i="43"/>
  <c r="D55" i="43"/>
  <c r="J56" i="43"/>
  <c r="D56" i="43"/>
  <c r="J52" i="43"/>
  <c r="D52" i="43"/>
  <c r="D53" i="43"/>
  <c r="J53" i="43"/>
  <c r="Q73" i="15"/>
  <c r="Q74" i="67"/>
  <c r="Q52" i="67"/>
  <c r="Q61" i="15"/>
  <c r="Q52" i="15"/>
  <c r="F1" i="15"/>
  <c r="J5" i="15"/>
  <c r="J24" i="15" s="1"/>
  <c r="L37" i="43"/>
  <c r="P36" i="43"/>
  <c r="N36" i="43"/>
  <c r="Q36" i="43"/>
  <c r="O36" i="43"/>
  <c r="M36" i="43"/>
  <c r="AC7" i="34"/>
  <c r="V49" i="34" s="1"/>
  <c r="I49" i="34" s="1"/>
  <c r="I53" i="34" s="1"/>
  <c r="J53" i="34" s="1"/>
  <c r="U7" i="34"/>
  <c r="AA7" i="34"/>
  <c r="R49" i="34" s="1"/>
  <c r="E49"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R50" i="34"/>
  <c r="G53" i="34"/>
  <c r="H53" i="34" s="1"/>
  <c r="G40" i="36"/>
  <c r="H40" i="36" s="1"/>
  <c r="G41" i="36"/>
  <c r="H41" i="36" s="1"/>
  <c r="G46" i="37"/>
  <c r="H46" i="37" s="1"/>
  <c r="G47" i="37"/>
  <c r="H47" i="37" s="1"/>
  <c r="I46" i="37"/>
  <c r="J46" i="37" s="1"/>
  <c r="G48" i="35"/>
  <c r="U7" i="33"/>
  <c r="AB7" i="33"/>
  <c r="C53" i="67"/>
  <c r="C53" i="15"/>
  <c r="C48" i="15" s="1"/>
  <c r="C66" i="15" s="1"/>
  <c r="C10" i="15"/>
  <c r="C5" i="15" s="1"/>
  <c r="C38" i="15" s="1"/>
  <c r="F25" i="12"/>
  <c r="F22" i="69"/>
  <c r="F41" i="69" s="1"/>
  <c r="F24" i="67"/>
  <c r="C24" i="67" s="1"/>
  <c r="F22" i="11"/>
  <c r="F22" i="68"/>
  <c r="F24" i="15"/>
  <c r="C24" i="15" s="1"/>
  <c r="M27" i="15"/>
  <c r="M27" i="67"/>
  <c r="F41" i="67"/>
  <c r="F41" i="15"/>
  <c r="U36" i="33" l="1"/>
  <c r="AB36" i="33"/>
  <c r="W36" i="33"/>
  <c r="AC36" i="33"/>
  <c r="F69" i="67"/>
  <c r="D14" i="71"/>
  <c r="C13" i="71"/>
  <c r="G54" i="34"/>
  <c r="H54" i="34" s="1"/>
  <c r="E50" i="43"/>
  <c r="B48" i="43" s="1"/>
  <c r="C28" i="43" s="1"/>
  <c r="P37" i="43"/>
  <c r="M37" i="43"/>
  <c r="Q37" i="43"/>
  <c r="O37" i="43"/>
  <c r="N37" i="43"/>
  <c r="F69" i="15"/>
  <c r="S11" i="1"/>
  <c r="E11" i="70" s="1"/>
  <c r="S9" i="1"/>
  <c r="S7" i="1"/>
  <c r="E7" i="70" s="1"/>
  <c r="S10" i="1"/>
  <c r="E10" i="70" s="1"/>
  <c r="S12" i="1"/>
  <c r="P14" i="1"/>
  <c r="P16" i="1" s="1"/>
  <c r="C11" i="12" s="1"/>
  <c r="H67" i="39"/>
  <c r="G69" i="39"/>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17" i="15"/>
  <c r="C12" i="71" l="1"/>
  <c r="D13" i="71"/>
  <c r="T15" i="43"/>
  <c r="V15" i="43" s="1"/>
  <c r="T11" i="43"/>
  <c r="V11" i="43" s="1"/>
  <c r="T7" i="43"/>
  <c r="V7" i="43" s="1"/>
  <c r="T14" i="43"/>
  <c r="V14" i="43" s="1"/>
  <c r="T10" i="43"/>
  <c r="V10" i="43" s="1"/>
  <c r="T4" i="43"/>
  <c r="V4" i="43" s="1"/>
  <c r="T2" i="43"/>
  <c r="C6" i="69" s="1"/>
  <c r="T5" i="43"/>
  <c r="V5" i="43" s="1"/>
  <c r="C40" i="43"/>
  <c r="C41" i="43"/>
  <c r="T13" i="43"/>
  <c r="V13" i="43" s="1"/>
  <c r="T9" i="43"/>
  <c r="V9" i="43" s="1"/>
  <c r="T16" i="43"/>
  <c r="V16" i="43" s="1"/>
  <c r="T12" i="43"/>
  <c r="V12" i="43" s="1"/>
  <c r="T8" i="43"/>
  <c r="V8" i="43" s="1"/>
  <c r="T3" i="43"/>
  <c r="T6" i="43"/>
  <c r="V6" i="43" s="1"/>
  <c r="C37" i="43"/>
  <c r="C39" i="43"/>
  <c r="C38" i="43"/>
  <c r="C42" i="43"/>
  <c r="E12" i="70"/>
  <c r="F34" i="11"/>
  <c r="F11" i="12"/>
  <c r="E9" i="70"/>
  <c r="AR9" i="1"/>
  <c r="AQ9" i="1"/>
  <c r="T9" i="1"/>
  <c r="AQ11" i="1"/>
  <c r="AR11" i="1"/>
  <c r="T11" i="1"/>
  <c r="AR12" i="1"/>
  <c r="T12" i="1"/>
  <c r="AQ12" i="1"/>
  <c r="AQ10" i="1"/>
  <c r="T10" i="1"/>
  <c r="AR10" i="1"/>
  <c r="AR7" i="1"/>
  <c r="AQ7" i="1"/>
  <c r="T7" i="1"/>
  <c r="C15" i="12"/>
  <c r="C12" i="12"/>
  <c r="H69" i="39"/>
  <c r="I67" i="39"/>
  <c r="G65" i="40"/>
  <c r="H63" i="40"/>
  <c r="C43" i="37"/>
  <c r="C42" i="37"/>
  <c r="I48" i="35"/>
  <c r="H58" i="21"/>
  <c r="E47" i="37"/>
  <c r="F47" i="37" s="1"/>
  <c r="E46" i="37"/>
  <c r="F46" i="37" s="1"/>
  <c r="I47" i="37"/>
  <c r="J47" i="37" s="1"/>
  <c r="C33" i="15"/>
  <c r="C14" i="15"/>
  <c r="C11" i="71" l="1"/>
  <c r="T12" i="71"/>
  <c r="D12" i="71"/>
  <c r="U12" i="71" s="1"/>
  <c r="E42" i="43"/>
  <c r="G42" i="43"/>
  <c r="I42" i="43" s="1"/>
  <c r="E39" i="43"/>
  <c r="G39" i="43"/>
  <c r="I39" i="43" s="1"/>
  <c r="E41" i="43"/>
  <c r="G41" i="43"/>
  <c r="I41" i="43" s="1"/>
  <c r="G38" i="43"/>
  <c r="I38" i="43" s="1"/>
  <c r="E38" i="43"/>
  <c r="G37" i="43"/>
  <c r="E40" i="43"/>
  <c r="G40" i="43"/>
  <c r="I40" i="43" s="1"/>
  <c r="C18" i="15"/>
  <c r="C15" i="15"/>
  <c r="C36" i="11"/>
  <c r="C23" i="12"/>
  <c r="C19" i="69"/>
  <c r="C24" i="69" s="1"/>
  <c r="I69" i="39"/>
  <c r="J67" i="39"/>
  <c r="I63" i="40"/>
  <c r="H65" i="40"/>
  <c r="I58" i="21"/>
  <c r="J58" i="21" s="1"/>
  <c r="K58" i="21" s="1"/>
  <c r="L58" i="21" s="1"/>
  <c r="M58" i="21" s="1"/>
  <c r="N58" i="21" s="1"/>
  <c r="O58" i="21" s="1"/>
  <c r="H7" i="21" s="1"/>
  <c r="J48" i="35"/>
  <c r="D11" i="71" l="1"/>
  <c r="C10" i="71"/>
  <c r="F7" i="21"/>
  <c r="AA7" i="21" s="1"/>
  <c r="R48" i="21" s="1"/>
  <c r="J7" i="21"/>
  <c r="W7" i="21" s="1"/>
  <c r="C19" i="15"/>
  <c r="C20" i="15" s="1"/>
  <c r="C26" i="15" s="1"/>
  <c r="J69" i="39"/>
  <c r="K67" i="39"/>
  <c r="U7" i="21"/>
  <c r="AB7" i="21"/>
  <c r="T48" i="21" s="1"/>
  <c r="G48" i="21" s="1"/>
  <c r="S7" i="21"/>
  <c r="J63" i="40"/>
  <c r="I65" i="40"/>
  <c r="K48" i="35"/>
  <c r="L48" i="35" s="1"/>
  <c r="M48" i="35" s="1"/>
  <c r="N48" i="35" s="1"/>
  <c r="O48" i="35" s="1"/>
  <c r="H7" i="35" s="1"/>
  <c r="AC7" i="21"/>
  <c r="V48" i="21" s="1"/>
  <c r="I48" i="21" s="1"/>
  <c r="D10" i="71" l="1"/>
  <c r="C9" i="71"/>
  <c r="J7" i="35"/>
  <c r="AC7" i="35" s="1"/>
  <c r="V38" i="35" s="1"/>
  <c r="I38" i="35" s="1"/>
  <c r="C23" i="15"/>
  <c r="C29" i="15" s="1"/>
  <c r="L67" i="39"/>
  <c r="K69" i="39"/>
  <c r="W7" i="35"/>
  <c r="J65" i="40"/>
  <c r="K63" i="40"/>
  <c r="I52" i="21"/>
  <c r="J52" i="21" s="1"/>
  <c r="U7" i="35"/>
  <c r="AB7" i="35"/>
  <c r="T38" i="35" s="1"/>
  <c r="G38" i="35" s="1"/>
  <c r="R49" i="21"/>
  <c r="E48" i="21"/>
  <c r="G52" i="21"/>
  <c r="H52" i="21" s="1"/>
  <c r="G53" i="21"/>
  <c r="H53" i="21" s="1"/>
  <c r="F7" i="35"/>
  <c r="C8" i="71" l="1"/>
  <c r="D9" i="71"/>
  <c r="C36" i="15"/>
  <c r="J59" i="15"/>
  <c r="J60" i="15" s="1"/>
  <c r="Q48" i="15" s="1"/>
  <c r="J19" i="15"/>
  <c r="Q49" i="15"/>
  <c r="C57" i="15"/>
  <c r="J14" i="15"/>
  <c r="J13" i="15" s="1"/>
  <c r="J23" i="15" s="1"/>
  <c r="C13" i="15"/>
  <c r="Q70" i="15"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J22" i="15"/>
  <c r="C61" i="15"/>
  <c r="C64" i="15"/>
  <c r="C37" i="15"/>
  <c r="C56" i="15"/>
  <c r="C65" i="15" s="1"/>
  <c r="C75" i="15"/>
  <c r="M69" i="39"/>
  <c r="N67" i="39"/>
  <c r="R39" i="35"/>
  <c r="E38" i="35"/>
  <c r="M63" i="40"/>
  <c r="L65" i="40"/>
  <c r="D2" i="21"/>
  <c r="C6" i="71" l="1"/>
  <c r="D7" i="71"/>
  <c r="B2" i="21"/>
  <c r="O67" i="39"/>
  <c r="O69" i="39" s="1"/>
  <c r="N69" i="39"/>
  <c r="F7" i="39"/>
  <c r="C39" i="35"/>
  <c r="C38" i="35"/>
  <c r="N63" i="40"/>
  <c r="M65" i="40"/>
  <c r="E43" i="35"/>
  <c r="F43" i="35" s="1"/>
  <c r="E42" i="35"/>
  <c r="F42" i="35" s="1"/>
  <c r="I43" i="35"/>
  <c r="J43" i="35" s="1"/>
  <c r="D2" i="33"/>
  <c r="C5" i="71" l="1"/>
  <c r="D5" i="71" s="1"/>
  <c r="M24" i="43" s="1"/>
  <c r="D6" i="71"/>
  <c r="L57" i="67"/>
  <c r="L60" i="67" s="1"/>
  <c r="H7" i="39"/>
  <c r="J7" i="39"/>
  <c r="S7" i="39"/>
  <c r="AA7" i="39"/>
  <c r="R47" i="39" s="1"/>
  <c r="O63" i="40"/>
  <c r="O65" i="40" s="1"/>
  <c r="N65" i="40"/>
  <c r="D2" i="37"/>
  <c r="D2" i="34"/>
  <c r="D2" i="36"/>
  <c r="D2" i="35"/>
  <c r="Q57" i="67" l="1"/>
  <c r="Q66" i="67"/>
  <c r="B2" i="36"/>
  <c r="B3" i="36" s="1"/>
  <c r="B2" i="35"/>
  <c r="B3" i="35" s="1"/>
  <c r="M3" i="35"/>
  <c r="B2" i="37"/>
  <c r="B2" i="34"/>
  <c r="L46" i="15"/>
  <c r="W7" i="39"/>
  <c r="AC7" i="39"/>
  <c r="V47" i="39" s="1"/>
  <c r="I47" i="39" s="1"/>
  <c r="E47" i="39"/>
  <c r="R48" i="39"/>
  <c r="U7" i="39"/>
  <c r="AB7" i="39"/>
  <c r="T47" i="39" s="1"/>
  <c r="G47" i="39" s="1"/>
  <c r="J7" i="40"/>
  <c r="F7" i="40"/>
  <c r="H7" i="40"/>
  <c r="AO9" i="1"/>
  <c r="AO12" i="1"/>
  <c r="AO10" i="1"/>
  <c r="AO7" i="1"/>
  <c r="AO11" i="1"/>
  <c r="AO8" i="1"/>
  <c r="B9" i="70" l="1"/>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37" i="43" l="1"/>
  <c r="H37" i="43"/>
  <c r="I37" i="43" s="1"/>
  <c r="R7" i="1" l="1"/>
  <c r="J26" i="15"/>
  <c r="J29" i="15" s="1"/>
  <c r="F35" i="15"/>
  <c r="C34" i="15" l="1"/>
  <c r="C31" i="15" s="1"/>
  <c r="C30" i="15" s="1"/>
  <c r="C39" i="15" s="1"/>
  <c r="Q69" i="15" s="1"/>
  <c r="Q68" i="15" s="1"/>
  <c r="F63" i="15"/>
  <c r="C62" i="15" s="1"/>
  <c r="C59" i="15" s="1"/>
  <c r="C58" i="15" s="1"/>
  <c r="C67" i="15" s="1"/>
  <c r="C68" i="15" s="1"/>
  <c r="M21" i="15"/>
  <c r="C80" i="15" l="1"/>
  <c r="C79" i="15" s="1"/>
  <c r="C40" i="15"/>
  <c r="J20" i="15"/>
  <c r="J17" i="15" s="1"/>
  <c r="J16" i="15" s="1"/>
  <c r="J25" i="15" s="1"/>
  <c r="C71" i="15"/>
  <c r="R12" i="1"/>
  <c r="R9" i="1"/>
  <c r="C25" i="43"/>
  <c r="C33" i="43" s="1"/>
  <c r="R8" i="1"/>
  <c r="R10" i="1"/>
  <c r="R11" i="1"/>
  <c r="B2" i="74"/>
  <c r="S8" i="1"/>
  <c r="T8" i="1" s="1"/>
  <c r="E8" i="70"/>
  <c r="O6" i="1"/>
  <c r="O16" i="1" s="1"/>
  <c r="G3" i="43"/>
  <c r="B116" i="43" s="1"/>
  <c r="G26" i="43"/>
  <c r="AP6" i="1"/>
  <c r="N370" i="46"/>
  <c r="J26" i="43"/>
  <c r="C36" i="69"/>
  <c r="L51" i="15"/>
  <c r="L57" i="15" l="1"/>
  <c r="L60" i="15" s="1"/>
  <c r="Q67" i="15"/>
  <c r="D7" i="74"/>
  <c r="D8" i="74"/>
  <c r="B2" i="15"/>
  <c r="B3" i="15" s="1"/>
  <c r="C83" i="15"/>
  <c r="C82" i="15" s="1"/>
  <c r="Q47" i="15"/>
  <c r="Q53" i="15" s="1"/>
  <c r="Q56" i="15"/>
  <c r="Q65" i="15"/>
  <c r="C43" i="15"/>
  <c r="C46" i="15"/>
  <c r="B118" i="43"/>
  <c r="B121" i="43"/>
  <c r="C121" i="43" s="1"/>
  <c r="H26" i="43"/>
  <c r="N94" i="46"/>
  <c r="Z7" i="43"/>
  <c r="F26" i="43"/>
  <c r="D26" i="43" s="1"/>
  <c r="E26" i="43"/>
  <c r="B119" i="43"/>
  <c r="C119" i="43" s="1"/>
  <c r="D120" i="43"/>
  <c r="E120" i="43" s="1"/>
  <c r="F120" i="43" s="1"/>
  <c r="G120" i="43" s="1"/>
  <c r="H120" i="43" s="1"/>
  <c r="I121" i="43"/>
  <c r="J121" i="43" s="1"/>
  <c r="K121" i="43" s="1"/>
  <c r="L121" i="43" s="1"/>
  <c r="M121" i="43" s="1"/>
  <c r="I118" i="43"/>
  <c r="J118" i="43" s="1"/>
  <c r="K118" i="43" s="1"/>
  <c r="L118" i="43" s="1"/>
  <c r="M118" i="43" s="1"/>
  <c r="I122" i="43"/>
  <c r="J122" i="43" s="1"/>
  <c r="K122" i="43" s="1"/>
  <c r="L122" i="43" s="1"/>
  <c r="M122" i="43" s="1"/>
  <c r="D121" i="43"/>
  <c r="E121" i="43" s="1"/>
  <c r="F121" i="43" s="1"/>
  <c r="AR8" i="1"/>
  <c r="C118" i="43"/>
  <c r="I120" i="43"/>
  <c r="J120" i="43" s="1"/>
  <c r="K120" i="43" s="1"/>
  <c r="L120" i="43" s="1"/>
  <c r="M120" i="43" s="1"/>
  <c r="B120" i="43"/>
  <c r="C120" i="43" s="1"/>
  <c r="D118" i="43"/>
  <c r="E118" i="43" s="1"/>
  <c r="F118" i="43" s="1"/>
  <c r="G118" i="43" s="1"/>
  <c r="H118" i="43" s="1"/>
  <c r="B122" i="43"/>
  <c r="C122" i="43" s="1"/>
  <c r="D119" i="43"/>
  <c r="E119" i="43" s="1"/>
  <c r="F119" i="43" s="1"/>
  <c r="G119" i="43" s="1"/>
  <c r="H119" i="43" s="1"/>
  <c r="G121" i="43"/>
  <c r="H121" i="43" s="1"/>
  <c r="I119" i="43"/>
  <c r="J119" i="43" s="1"/>
  <c r="K119" i="43" s="1"/>
  <c r="L119" i="43" s="1"/>
  <c r="M119" i="43" s="1"/>
  <c r="D122" i="43"/>
  <c r="E122" i="43" s="1"/>
  <c r="F122" i="43" s="1"/>
  <c r="G122" i="43" s="1"/>
  <c r="H122" i="43" s="1"/>
  <c r="AQ8" i="1"/>
  <c r="Q66" i="15" l="1"/>
  <c r="Q75" i="15" s="1"/>
  <c r="Q57" i="15"/>
  <c r="Q62" i="15" s="1"/>
  <c r="D116" i="43"/>
  <c r="H14" i="3"/>
  <c r="G14" i="3" s="1"/>
  <c r="H15" i="3"/>
  <c r="G15" i="3" s="1"/>
  <c r="I5" i="3"/>
  <c r="I4" i="6" s="1"/>
  <c r="H13" i="3"/>
  <c r="H5" i="3" s="1"/>
  <c r="G13" i="3"/>
  <c r="G5" i="3" l="1"/>
  <c r="B3" i="3" s="1"/>
  <c r="E298" i="3" l="1"/>
  <c r="E447" i="3"/>
  <c r="E37" i="3"/>
  <c r="E569" i="3"/>
  <c r="E392" i="3"/>
  <c r="E576" i="3"/>
  <c r="E343" i="3"/>
  <c r="E162" i="3"/>
  <c r="AR6" i="3"/>
  <c r="E340" i="3"/>
  <c r="E261" i="3"/>
  <c r="E53" i="3"/>
  <c r="E48" i="3"/>
  <c r="E454" i="3"/>
  <c r="E121" i="3"/>
  <c r="E196" i="3"/>
  <c r="E209" i="3"/>
  <c r="E279" i="3"/>
  <c r="E537" i="3"/>
  <c r="E536" i="3"/>
  <c r="E568" i="3"/>
  <c r="E423" i="3"/>
  <c r="E360" i="3"/>
  <c r="E577" i="3"/>
  <c r="E271" i="3"/>
  <c r="E191" i="3"/>
  <c r="E455" i="3"/>
  <c r="E256" i="3"/>
  <c r="E547" i="3"/>
  <c r="E450" i="3"/>
  <c r="E151" i="3"/>
  <c r="E71" i="3"/>
  <c r="E150" i="3"/>
  <c r="E207" i="3"/>
  <c r="E107" i="3"/>
  <c r="E580" i="3"/>
  <c r="E495" i="3"/>
  <c r="E106" i="3"/>
  <c r="E508" i="3"/>
  <c r="E220" i="3"/>
  <c r="J6" i="3"/>
  <c r="E147" i="3"/>
  <c r="E314" i="3"/>
  <c r="E352" i="3"/>
  <c r="E549" i="3"/>
  <c r="E124" i="3"/>
  <c r="E344" i="3"/>
  <c r="E437" i="3"/>
  <c r="E323" i="3"/>
  <c r="E496" i="3"/>
  <c r="E526" i="3"/>
  <c r="E446" i="3"/>
  <c r="E161" i="3"/>
  <c r="AO6" i="3"/>
  <c r="E224" i="3"/>
  <c r="E193" i="3"/>
  <c r="E431" i="3"/>
  <c r="E182" i="3"/>
  <c r="E481" i="3"/>
  <c r="E471" i="3"/>
  <c r="E469" i="3"/>
  <c r="E407" i="3"/>
  <c r="E380" i="3"/>
  <c r="E175" i="3"/>
  <c r="E282" i="3"/>
  <c r="E69" i="3"/>
  <c r="K6" i="3"/>
  <c r="E83" i="3"/>
  <c r="E301" i="3"/>
  <c r="E585" i="3"/>
  <c r="E502" i="3"/>
  <c r="E18" i="3"/>
  <c r="E394" i="3"/>
  <c r="E473" i="3"/>
  <c r="E228" i="3"/>
  <c r="E31" i="3"/>
  <c r="E72" i="3"/>
  <c r="E210" i="3"/>
  <c r="E74" i="3"/>
  <c r="E132" i="3"/>
  <c r="E425" i="3"/>
  <c r="E444" i="3"/>
  <c r="E434" i="3"/>
  <c r="E39" i="3"/>
  <c r="E204" i="3"/>
  <c r="E505" i="3"/>
  <c r="E351" i="3"/>
  <c r="E54" i="3"/>
  <c r="E269" i="3"/>
  <c r="E77" i="3"/>
  <c r="E440" i="3"/>
  <c r="E262" i="3"/>
  <c r="E527" i="3"/>
  <c r="E128" i="3"/>
  <c r="E232" i="3"/>
  <c r="E73" i="3"/>
  <c r="E478" i="3"/>
  <c r="E291" i="3"/>
  <c r="E567" i="3"/>
  <c r="E552" i="3"/>
  <c r="E546" i="3"/>
  <c r="E510" i="3"/>
  <c r="E511" i="3"/>
  <c r="E387" i="3"/>
  <c r="E345" i="3"/>
  <c r="E277" i="3"/>
  <c r="AK6" i="3"/>
  <c r="E171" i="3"/>
  <c r="E114" i="3"/>
  <c r="E362" i="3"/>
  <c r="E357" i="3"/>
  <c r="X6" i="3"/>
  <c r="W6" i="3"/>
  <c r="E560" i="3"/>
  <c r="E91" i="3"/>
  <c r="E538" i="3"/>
  <c r="E229" i="3"/>
  <c r="E572" i="3"/>
  <c r="E136" i="3"/>
  <c r="E125" i="3"/>
  <c r="M6" i="3"/>
  <c r="AE6" i="3"/>
  <c r="E583" i="3"/>
  <c r="E519" i="3"/>
  <c r="E509" i="3"/>
  <c r="E562" i="3"/>
  <c r="E563" i="3"/>
  <c r="E501" i="3"/>
  <c r="E587" i="3"/>
  <c r="E117" i="3"/>
  <c r="E333" i="3"/>
  <c r="E404" i="3"/>
  <c r="E395" i="3"/>
  <c r="E130" i="3"/>
  <c r="E242" i="3"/>
  <c r="P6" i="3"/>
  <c r="E433" i="3"/>
  <c r="E506" i="3"/>
  <c r="E89" i="3"/>
  <c r="E99" i="3"/>
  <c r="E453" i="3"/>
  <c r="E78" i="3"/>
  <c r="E29" i="3"/>
  <c r="E168" i="3"/>
  <c r="E514" i="3"/>
  <c r="E189" i="3"/>
  <c r="E476" i="3"/>
  <c r="E238" i="3"/>
  <c r="E368" i="3"/>
  <c r="E334" i="3"/>
  <c r="E188" i="3"/>
  <c r="E239" i="3"/>
  <c r="E166" i="3"/>
  <c r="E427" i="3"/>
  <c r="E491" i="3"/>
  <c r="E448" i="3"/>
  <c r="E438" i="3"/>
  <c r="E153" i="3"/>
  <c r="E109" i="3"/>
  <c r="E252" i="3"/>
  <c r="E382" i="3"/>
  <c r="E403" i="3"/>
  <c r="E411" i="3"/>
  <c r="E317" i="3"/>
  <c r="E414" i="3"/>
  <c r="E332" i="3"/>
  <c r="E218" i="3"/>
  <c r="E551" i="3"/>
  <c r="E405" i="3"/>
  <c r="E172" i="3"/>
  <c r="E28" i="3"/>
  <c r="E231" i="3"/>
  <c r="E561" i="3"/>
  <c r="E254" i="3"/>
  <c r="E573" i="3"/>
  <c r="E102" i="3"/>
  <c r="E135" i="3"/>
  <c r="E363" i="3"/>
  <c r="E120" i="3"/>
  <c r="E283" i="3"/>
  <c r="E432" i="3"/>
  <c r="E409" i="3"/>
  <c r="E44" i="3"/>
  <c r="E87" i="3"/>
  <c r="E313" i="3"/>
  <c r="E518" i="3"/>
  <c r="E457" i="3"/>
  <c r="E118" i="3"/>
  <c r="E119" i="3"/>
  <c r="E227" i="3"/>
  <c r="E531" i="3"/>
  <c r="E316" i="3"/>
  <c r="E305" i="3"/>
  <c r="E90" i="3"/>
  <c r="E500" i="3"/>
  <c r="E234" i="3"/>
  <c r="S6" i="3"/>
  <c r="E307" i="3"/>
  <c r="E62" i="3"/>
  <c r="E398" i="3"/>
  <c r="E429" i="3"/>
  <c r="E138" i="3"/>
  <c r="E581" i="3"/>
  <c r="E70" i="3"/>
  <c r="E286" i="3"/>
  <c r="E386" i="3"/>
  <c r="E208" i="3"/>
  <c r="E230" i="3"/>
  <c r="E273" i="3"/>
  <c r="E571" i="3"/>
  <c r="E358" i="3"/>
  <c r="E354" i="3"/>
  <c r="E366" i="3"/>
  <c r="E276" i="3"/>
  <c r="E555" i="3"/>
  <c r="E142" i="3"/>
  <c r="E507" i="3"/>
  <c r="E258" i="3"/>
  <c r="E92" i="3"/>
  <c r="E315" i="3"/>
  <c r="E52" i="3"/>
  <c r="E463" i="3"/>
  <c r="E139" i="3"/>
  <c r="E146" i="3"/>
  <c r="E348" i="3"/>
  <c r="E221" i="3"/>
  <c r="E76" i="3"/>
  <c r="E336" i="3"/>
  <c r="U6" i="3"/>
  <c r="E520" i="3"/>
  <c r="E477" i="3"/>
  <c r="E201" i="3"/>
  <c r="E75" i="3"/>
  <c r="E532" i="3"/>
  <c r="E111" i="3"/>
  <c r="E306" i="3"/>
  <c r="E293" i="3"/>
  <c r="E281" i="3"/>
  <c r="E415" i="3"/>
  <c r="E270" i="3"/>
  <c r="E475" i="3"/>
  <c r="E155" i="3"/>
  <c r="N6" i="3"/>
  <c r="E19" i="3"/>
  <c r="E170" i="3"/>
  <c r="E116" i="3"/>
  <c r="E347" i="3"/>
  <c r="E341" i="3"/>
  <c r="E195" i="3"/>
  <c r="E41" i="3"/>
  <c r="E268" i="3"/>
  <c r="O6" i="3"/>
  <c r="E522" i="3"/>
  <c r="E377" i="3"/>
  <c r="E321" i="3"/>
  <c r="E391" i="3"/>
  <c r="E32" i="3"/>
  <c r="E557" i="3"/>
  <c r="E350" i="3"/>
  <c r="E47" i="3"/>
  <c r="E133" i="3"/>
  <c r="E474" i="3"/>
  <c r="E553" i="3"/>
  <c r="E513" i="3"/>
  <c r="E458" i="3"/>
  <c r="E482" i="3"/>
  <c r="E465" i="3"/>
  <c r="E57" i="3"/>
  <c r="E253" i="3"/>
  <c r="E112" i="3"/>
  <c r="E312" i="3"/>
  <c r="E98" i="3"/>
  <c r="E367" i="3"/>
  <c r="E257" i="3"/>
  <c r="AN6" i="3"/>
  <c r="E535" i="3"/>
  <c r="E331" i="3"/>
  <c r="E181" i="3"/>
  <c r="E449" i="3"/>
  <c r="E299" i="3"/>
  <c r="E186" i="3"/>
  <c r="E529" i="3"/>
  <c r="E260" i="3"/>
  <c r="E302" i="3"/>
  <c r="E534" i="3"/>
  <c r="E480" i="3"/>
  <c r="E177" i="3"/>
  <c r="E294" i="3"/>
  <c r="E241" i="3"/>
  <c r="E104" i="3"/>
  <c r="E157" i="3"/>
  <c r="Z6" i="3"/>
  <c r="E42" i="3"/>
  <c r="E101" i="3"/>
  <c r="E122" i="3"/>
  <c r="E418" i="3"/>
  <c r="E578" i="3"/>
  <c r="E452" i="3"/>
  <c r="E318" i="3"/>
  <c r="E322" i="3"/>
  <c r="E159" i="3"/>
  <c r="E192" i="3"/>
  <c r="E559" i="3"/>
  <c r="V6" i="3"/>
  <c r="E249" i="3"/>
  <c r="AM6" i="3"/>
  <c r="E287" i="3"/>
  <c r="E445" i="3"/>
  <c r="E461" i="3"/>
  <c r="E85" i="3"/>
  <c r="E143" i="3"/>
  <c r="E329" i="3"/>
  <c r="E68" i="3"/>
  <c r="E337" i="3"/>
  <c r="E274" i="3"/>
  <c r="E330" i="3"/>
  <c r="E439" i="3"/>
  <c r="E203" i="3"/>
  <c r="E401" i="3"/>
  <c r="E164" i="3"/>
  <c r="E479" i="3"/>
  <c r="E43" i="3"/>
  <c r="E183" i="3"/>
  <c r="E219" i="3"/>
  <c r="E516" i="3"/>
  <c r="E586" i="3"/>
  <c r="E197" i="3"/>
  <c r="E141" i="3"/>
  <c r="E237" i="3"/>
  <c r="AP6" i="3"/>
  <c r="E430" i="3"/>
  <c r="E424" i="3"/>
  <c r="E540" i="3"/>
  <c r="E25" i="3"/>
  <c r="E346" i="3"/>
  <c r="E441" i="3"/>
  <c r="E420" i="3"/>
  <c r="E243" i="3"/>
  <c r="E361" i="3"/>
  <c r="E24" i="3"/>
  <c r="E223" i="3"/>
  <c r="E417" i="3"/>
  <c r="E327" i="3"/>
  <c r="E339" i="3"/>
  <c r="E140" i="3"/>
  <c r="E248" i="3"/>
  <c r="AJ6" i="3"/>
  <c r="E225" i="3"/>
  <c r="E397" i="3"/>
  <c r="E485" i="3"/>
  <c r="E579" i="3"/>
  <c r="E365" i="3"/>
  <c r="E40" i="3"/>
  <c r="E103" i="3"/>
  <c r="E250" i="3"/>
  <c r="E533" i="3"/>
  <c r="E353" i="3"/>
  <c r="E174" i="3"/>
  <c r="E202" i="3"/>
  <c r="E149" i="3"/>
  <c r="E493" i="3"/>
  <c r="E247" i="3"/>
  <c r="E574" i="3"/>
  <c r="E413" i="3"/>
  <c r="E460" i="3"/>
  <c r="E300" i="3"/>
  <c r="E515" i="3"/>
  <c r="E488" i="3"/>
  <c r="Q6" i="3"/>
  <c r="E410" i="3"/>
  <c r="E472" i="3"/>
  <c r="E359" i="3"/>
  <c r="L6" i="3"/>
  <c r="E105" i="3"/>
  <c r="E167" i="3"/>
  <c r="E67" i="3"/>
  <c r="E490" i="3"/>
  <c r="E245" i="3"/>
  <c r="E55" i="3"/>
  <c r="E324" i="3"/>
  <c r="E468" i="3"/>
  <c r="E543" i="3"/>
  <c r="AH6" i="3"/>
  <c r="E27" i="3"/>
  <c r="E127" i="3"/>
  <c r="E206" i="3"/>
  <c r="E570" i="3"/>
  <c r="E499" i="3"/>
  <c r="E215" i="3"/>
  <c r="E199" i="3"/>
  <c r="E17" i="3"/>
  <c r="E328" i="3"/>
  <c r="E326" i="3"/>
  <c r="E34" i="3"/>
  <c r="E160" i="3"/>
  <c r="AL6" i="3"/>
  <c r="E235" i="3"/>
  <c r="E212" i="3"/>
  <c r="E289" i="3"/>
  <c r="E100" i="3"/>
  <c r="E82" i="3"/>
  <c r="E408" i="3"/>
  <c r="T6" i="3"/>
  <c r="E400" i="3"/>
  <c r="E265" i="3"/>
  <c r="E492" i="3"/>
  <c r="E216" i="3"/>
  <c r="E364" i="3"/>
  <c r="E517" i="3"/>
  <c r="E129" i="3"/>
  <c r="E123" i="3"/>
  <c r="E134" i="3"/>
  <c r="E467" i="3"/>
  <c r="AA6" i="3"/>
  <c r="E65" i="3"/>
  <c r="E530" i="3"/>
  <c r="E240" i="3"/>
  <c r="E165" i="3"/>
  <c r="E422" i="3"/>
  <c r="E59" i="3"/>
  <c r="E442" i="3"/>
  <c r="E456" i="3"/>
  <c r="E548" i="3"/>
  <c r="E545" i="3"/>
  <c r="E86" i="3"/>
  <c r="E173" i="3"/>
  <c r="E296" i="3"/>
  <c r="E251" i="3"/>
  <c r="E226" i="3"/>
  <c r="E110" i="3"/>
  <c r="E372" i="3"/>
  <c r="E335" i="3"/>
  <c r="E494" i="3"/>
  <c r="E320" i="3"/>
  <c r="I3" i="6"/>
  <c r="R6" i="3"/>
  <c r="E466" i="3"/>
  <c r="E373" i="3"/>
  <c r="E94" i="3"/>
  <c r="E180" i="3"/>
  <c r="E93" i="3"/>
  <c r="E383" i="3"/>
  <c r="E45" i="3"/>
  <c r="E489" i="3"/>
  <c r="E145" i="3"/>
  <c r="E185" i="3"/>
  <c r="E255" i="3"/>
  <c r="E355" i="3"/>
  <c r="E236" i="3"/>
  <c r="E375" i="3"/>
  <c r="E308" i="3"/>
  <c r="E66" i="3"/>
  <c r="E22" i="3"/>
  <c r="AF6" i="3"/>
  <c r="E79" i="3"/>
  <c r="AB6" i="3"/>
  <c r="E200" i="3"/>
  <c r="E385" i="3"/>
  <c r="E462" i="3"/>
  <c r="E303" i="3"/>
  <c r="E539" i="3"/>
  <c r="E26" i="3"/>
  <c r="E451" i="3"/>
  <c r="E280" i="3"/>
  <c r="E435" i="3"/>
  <c r="E272" i="3"/>
  <c r="E464" i="3"/>
  <c r="E126" i="3"/>
  <c r="E184" i="3"/>
  <c r="E158" i="3"/>
  <c r="E61" i="3"/>
  <c r="E525" i="3"/>
  <c r="E521" i="3"/>
  <c r="E426" i="3"/>
  <c r="E148" i="3"/>
  <c r="E356" i="3"/>
  <c r="E88" i="3"/>
  <c r="AG6" i="3"/>
  <c r="E524" i="3"/>
  <c r="E584" i="3"/>
  <c r="E115" i="3"/>
  <c r="E198" i="3"/>
  <c r="E84" i="3"/>
  <c r="E154" i="3"/>
  <c r="E23" i="3"/>
  <c r="E304" i="3"/>
  <c r="E396" i="3"/>
  <c r="E338" i="3"/>
  <c r="E544" i="3"/>
  <c r="E264" i="3"/>
  <c r="E233" i="3"/>
  <c r="E388" i="3"/>
  <c r="E554" i="3"/>
  <c r="E244" i="3"/>
  <c r="E497" i="3"/>
  <c r="E288" i="3"/>
  <c r="E278" i="3"/>
  <c r="E246" i="3"/>
  <c r="E470" i="3"/>
  <c r="E290" i="3"/>
  <c r="E259" i="3"/>
  <c r="E297" i="3"/>
  <c r="E550" i="3"/>
  <c r="E556" i="3"/>
  <c r="E152" i="3"/>
  <c r="E349" i="3"/>
  <c r="E443" i="3"/>
  <c r="E541" i="3"/>
  <c r="E80" i="3"/>
  <c r="E35" i="3"/>
  <c r="E376" i="3"/>
  <c r="E163" i="3"/>
  <c r="E498" i="3"/>
  <c r="E564" i="3"/>
  <c r="E389" i="3"/>
  <c r="E503" i="3"/>
  <c r="E371" i="3"/>
  <c r="E266" i="3"/>
  <c r="E558" i="3"/>
  <c r="E295" i="3"/>
  <c r="E113" i="3"/>
  <c r="E16" i="3"/>
  <c r="AQ6" i="3"/>
  <c r="E14" i="3"/>
  <c r="E566" i="3"/>
  <c r="E504" i="3"/>
  <c r="E81" i="3"/>
  <c r="E179" i="3"/>
  <c r="E436" i="3"/>
  <c r="E419" i="3"/>
  <c r="E169" i="3"/>
  <c r="AI6" i="3"/>
  <c r="E284" i="3"/>
  <c r="E369" i="3"/>
  <c r="E374" i="3"/>
  <c r="E542" i="3"/>
  <c r="E38" i="3"/>
  <c r="E36" i="3"/>
  <c r="E483" i="3"/>
  <c r="E528" i="3"/>
  <c r="E384" i="3"/>
  <c r="E108" i="3"/>
  <c r="E211" i="3"/>
  <c r="E190" i="3"/>
  <c r="E144" i="3"/>
  <c r="E523" i="3"/>
  <c r="E131" i="3"/>
  <c r="E156" i="3"/>
  <c r="E263" i="3"/>
  <c r="E406" i="3"/>
  <c r="E393" i="3"/>
  <c r="E292" i="3"/>
  <c r="E56" i="3"/>
  <c r="E30" i="3"/>
  <c r="E46" i="3"/>
  <c r="E370" i="3"/>
  <c r="E342" i="3"/>
  <c r="E319" i="3"/>
  <c r="E390" i="3"/>
  <c r="E309" i="3"/>
  <c r="E214" i="3"/>
  <c r="E416" i="3"/>
  <c r="E176" i="3"/>
  <c r="E187" i="3"/>
  <c r="E64" i="3"/>
  <c r="E484" i="3"/>
  <c r="Y6" i="3"/>
  <c r="E459" i="3"/>
  <c r="E97" i="3"/>
  <c r="E379" i="3"/>
  <c r="E412" i="3"/>
  <c r="E310" i="3"/>
  <c r="E222" i="3"/>
  <c r="E60" i="3"/>
  <c r="E20" i="3"/>
  <c r="E512" i="3"/>
  <c r="E575" i="3"/>
  <c r="E49" i="3"/>
  <c r="E15" i="3"/>
  <c r="E399" i="3"/>
  <c r="E402" i="3"/>
  <c r="E137" i="3"/>
  <c r="E217" i="3"/>
  <c r="E487" i="3"/>
  <c r="E96" i="3"/>
  <c r="E178" i="3"/>
  <c r="E194" i="3"/>
  <c r="E58" i="3"/>
  <c r="E582" i="3"/>
  <c r="E421" i="3"/>
  <c r="E50" i="3"/>
  <c r="E63" i="3"/>
  <c r="E267" i="3"/>
  <c r="E428" i="3"/>
  <c r="E311" i="3"/>
  <c r="E486" i="3"/>
  <c r="E565" i="3"/>
  <c r="E285" i="3"/>
  <c r="E381" i="3"/>
  <c r="E275" i="3"/>
  <c r="E213" i="3"/>
  <c r="E205" i="3"/>
  <c r="E51" i="3"/>
  <c r="E325" i="3"/>
  <c r="E33" i="3"/>
  <c r="AS6" i="3"/>
  <c r="E21" i="3"/>
  <c r="E378" i="3"/>
  <c r="E95" i="3"/>
  <c r="AD6" i="3"/>
  <c r="I6" i="3"/>
  <c r="H6" i="3" s="1"/>
  <c r="E13" i="3"/>
  <c r="F19" i="6"/>
  <c r="E19" i="6" s="1"/>
  <c r="K6" i="1" s="1"/>
  <c r="F7" i="67"/>
  <c r="M29" i="67"/>
  <c r="F43" i="67"/>
  <c r="AC6" i="3" l="1"/>
  <c r="E6" i="3" s="1"/>
  <c r="F71" i="67"/>
  <c r="M7" i="67"/>
  <c r="J6" i="67" s="1"/>
  <c r="F50" i="67"/>
  <c r="C49" i="67" s="1"/>
  <c r="D3" i="81"/>
  <c r="D3" i="33"/>
  <c r="H16" i="1"/>
  <c r="K16" i="1"/>
  <c r="G16" i="1"/>
  <c r="Q16" i="1"/>
  <c r="M6" i="1"/>
  <c r="C16" i="67"/>
  <c r="N16" i="1" l="1"/>
  <c r="M16" i="1"/>
  <c r="H10" i="39"/>
  <c r="F10" i="39"/>
  <c r="F10" i="40"/>
  <c r="H10" i="40"/>
  <c r="J10" i="40"/>
  <c r="J10" i="39"/>
  <c r="J19" i="67"/>
  <c r="J5" i="67"/>
  <c r="J18" i="67"/>
  <c r="F27" i="68"/>
  <c r="F27" i="11"/>
  <c r="F28" i="12"/>
  <c r="C29" i="12" s="1"/>
  <c r="D28" i="12" s="1"/>
  <c r="C61" i="67"/>
  <c r="C48" i="67"/>
  <c r="F27" i="69"/>
  <c r="C66" i="67" l="1"/>
  <c r="C60" i="67"/>
  <c r="C47" i="69"/>
  <c r="D45" i="69" s="1"/>
  <c r="F45" i="69"/>
  <c r="C29" i="69"/>
  <c r="D27" i="69" s="1"/>
  <c r="W10" i="40"/>
  <c r="AC10" i="40"/>
  <c r="AA10" i="40"/>
  <c r="S10" i="40"/>
  <c r="AB10" i="39"/>
  <c r="U10" i="39"/>
  <c r="L16" i="1"/>
  <c r="C34" i="11"/>
  <c r="C34" i="68"/>
  <c r="C47" i="11"/>
  <c r="D45" i="11" s="1"/>
  <c r="C29" i="11"/>
  <c r="D27" i="11" s="1"/>
  <c r="C47" i="68"/>
  <c r="D45" i="68" s="1"/>
  <c r="F45" i="68"/>
  <c r="C29" i="68"/>
  <c r="D27" i="68" s="1"/>
  <c r="J24" i="67"/>
  <c r="J26" i="67"/>
  <c r="J29" i="67" s="1"/>
  <c r="AC10" i="39"/>
  <c r="W10" i="39"/>
  <c r="U10" i="40"/>
  <c r="AB10" i="40"/>
  <c r="AA10" i="39"/>
  <c r="S10" i="39"/>
  <c r="F50" i="68"/>
  <c r="F50" i="11"/>
  <c r="F50" i="69"/>
  <c r="C38" i="68" l="1"/>
  <c r="C35" i="68"/>
  <c r="C38" i="11"/>
  <c r="C35" i="11"/>
  <c r="BB13" i="3"/>
  <c r="BB5" i="3" s="1"/>
  <c r="BA13" i="3" l="1"/>
  <c r="E12" i="6"/>
  <c r="E10" i="6"/>
  <c r="E13" i="6"/>
  <c r="E11" i="6"/>
  <c r="E14" i="6"/>
  <c r="E15" i="6"/>
  <c r="E8" i="6"/>
  <c r="E16" i="6" l="1"/>
  <c r="E51" i="40"/>
  <c r="F51" i="40" s="1"/>
  <c r="E56" i="39"/>
  <c r="F27" i="6"/>
  <c r="F31" i="6" s="1"/>
  <c r="E63" i="39"/>
  <c r="F63" i="39" s="1"/>
  <c r="E59" i="40"/>
  <c r="F59" i="40" s="1"/>
  <c r="E58" i="40"/>
  <c r="F58" i="40" s="1"/>
  <c r="E62" i="39"/>
  <c r="F62" i="39" s="1"/>
  <c r="E61" i="39"/>
  <c r="F61" i="39" s="1"/>
  <c r="E57" i="40"/>
  <c r="F57" i="40" s="1"/>
  <c r="E64" i="39"/>
  <c r="F64" i="39" s="1"/>
  <c r="E60" i="40"/>
  <c r="F60" i="40" s="1"/>
  <c r="E60" i="39"/>
  <c r="F60" i="39" s="1"/>
  <c r="E56" i="40"/>
  <c r="F56" i="40" s="1"/>
  <c r="BA5" i="3"/>
  <c r="E27" i="6" s="1"/>
  <c r="AZ13" i="3"/>
  <c r="AZ5" i="3" s="1"/>
  <c r="AY6" i="3" l="1"/>
  <c r="E3" i="6"/>
  <c r="K23" i="6"/>
  <c r="M23" i="6" s="1"/>
  <c r="I23" i="6" s="1"/>
  <c r="S23" i="6" s="1"/>
  <c r="K25" i="6"/>
  <c r="M25" i="6" s="1"/>
  <c r="I25" i="6" s="1"/>
  <c r="S25" i="6" s="1"/>
  <c r="K20" i="6"/>
  <c r="M20" i="6" s="1"/>
  <c r="I20" i="6" s="1"/>
  <c r="S20" i="6" s="1"/>
  <c r="K26" i="6"/>
  <c r="M26" i="6" s="1"/>
  <c r="I26" i="6" s="1"/>
  <c r="S26" i="6" s="1"/>
  <c r="K24" i="6"/>
  <c r="M24" i="6" s="1"/>
  <c r="I24" i="6" s="1"/>
  <c r="S24" i="6" s="1"/>
  <c r="K22" i="6"/>
  <c r="M22" i="6" s="1"/>
  <c r="I22" i="6" s="1"/>
  <c r="S22" i="6" s="1"/>
  <c r="E31" i="6"/>
  <c r="K21" i="6"/>
  <c r="M21" i="6" s="1"/>
  <c r="I21" i="6" s="1"/>
  <c r="S21" i="6" s="1"/>
  <c r="K19" i="6"/>
  <c r="E65" i="39"/>
  <c r="F56" i="39"/>
  <c r="F65" i="39" s="1"/>
  <c r="B2" i="39" s="1"/>
  <c r="B3" i="39" s="1"/>
  <c r="K27" i="6" l="1"/>
  <c r="M19" i="6"/>
  <c r="S6" i="1"/>
  <c r="L18" i="9"/>
  <c r="M18" i="9"/>
  <c r="B118" i="9" s="1"/>
  <c r="C17" i="4"/>
  <c r="B4" i="52" s="1"/>
  <c r="B43" i="72" s="1"/>
  <c r="D19" i="11"/>
  <c r="C19" i="11" s="1"/>
  <c r="D3" i="21"/>
  <c r="B3" i="21" s="1"/>
  <c r="D37" i="11"/>
  <c r="C37" i="11" s="1"/>
  <c r="C33" i="11" s="1"/>
  <c r="D3" i="34"/>
  <c r="B3" i="34" s="1"/>
  <c r="D3" i="37"/>
  <c r="B3" i="37" s="1"/>
  <c r="D14" i="12"/>
  <c r="E6" i="6"/>
  <c r="BL6" i="3"/>
  <c r="AY519" i="3"/>
  <c r="AY319" i="3"/>
  <c r="AY169" i="3"/>
  <c r="AY518" i="3"/>
  <c r="AY197" i="3"/>
  <c r="AY104" i="3"/>
  <c r="AY430" i="3"/>
  <c r="AY350" i="3"/>
  <c r="BO6" i="3"/>
  <c r="AY45" i="3"/>
  <c r="AY133" i="3"/>
  <c r="AY271" i="3"/>
  <c r="AY489" i="3"/>
  <c r="AY65" i="3"/>
  <c r="AY44" i="3"/>
  <c r="AY248" i="3"/>
  <c r="AY439" i="3"/>
  <c r="AY190" i="3"/>
  <c r="AY125" i="3"/>
  <c r="BK6" i="3"/>
  <c r="AY281" i="3"/>
  <c r="AY581" i="3"/>
  <c r="BM6" i="3"/>
  <c r="AY80" i="3"/>
  <c r="AY70" i="3"/>
  <c r="AY50" i="3"/>
  <c r="AY577" i="3"/>
  <c r="AY254" i="3"/>
  <c r="AY335" i="3"/>
  <c r="AY432" i="3"/>
  <c r="AY458" i="3"/>
  <c r="AY300" i="3"/>
  <c r="BP6" i="3"/>
  <c r="AY33" i="3"/>
  <c r="AY56" i="3"/>
  <c r="AY293" i="3"/>
  <c r="AY448" i="3"/>
  <c r="AY408" i="3"/>
  <c r="AY526" i="3"/>
  <c r="AY416" i="3"/>
  <c r="AY545" i="3"/>
  <c r="AY275" i="3"/>
  <c r="AY475" i="3"/>
  <c r="AY382" i="3"/>
  <c r="AY361" i="3"/>
  <c r="BJ6" i="3"/>
  <c r="AY584" i="3"/>
  <c r="AY356" i="3"/>
  <c r="AY377" i="3"/>
  <c r="AY582" i="3"/>
  <c r="AY358" i="3"/>
  <c r="AY120" i="3"/>
  <c r="AY226" i="3"/>
  <c r="AY180" i="3"/>
  <c r="AY514" i="3"/>
  <c r="AY375" i="3"/>
  <c r="AY110" i="3"/>
  <c r="AY498" i="3"/>
  <c r="AY473" i="3"/>
  <c r="AY145" i="3"/>
  <c r="AY163" i="3"/>
  <c r="AY206" i="3"/>
  <c r="AY184" i="3"/>
  <c r="AY279" i="3"/>
  <c r="AY76" i="3"/>
  <c r="AY421" i="3"/>
  <c r="AY457" i="3"/>
  <c r="AY410" i="3"/>
  <c r="AY532" i="3"/>
  <c r="AY83" i="3"/>
  <c r="AY18" i="3"/>
  <c r="AY468" i="3"/>
  <c r="AY452" i="3"/>
  <c r="AY493" i="3"/>
  <c r="AY113" i="3"/>
  <c r="AY417" i="3"/>
  <c r="AY554" i="3"/>
  <c r="AY391" i="3"/>
  <c r="AY193" i="3"/>
  <c r="AY422" i="3"/>
  <c r="AY462" i="3"/>
  <c r="AY447" i="3"/>
  <c r="AY424" i="3"/>
  <c r="AY378" i="3"/>
  <c r="AY480" i="3"/>
  <c r="AY198" i="3"/>
  <c r="AY60" i="3"/>
  <c r="AY387" i="3"/>
  <c r="AY144" i="3"/>
  <c r="AY177" i="3"/>
  <c r="AY272" i="3"/>
  <c r="AY313" i="3"/>
  <c r="AY96" i="3"/>
  <c r="AY520" i="3"/>
  <c r="AY188" i="3"/>
  <c r="AY57" i="3"/>
  <c r="AY543" i="3"/>
  <c r="AY156" i="3"/>
  <c r="AY59" i="3"/>
  <c r="AY146" i="3"/>
  <c r="AY299" i="3"/>
  <c r="AY150" i="3"/>
  <c r="AY106" i="3"/>
  <c r="AY503" i="3"/>
  <c r="AY303" i="3"/>
  <c r="AY284" i="3"/>
  <c r="AY328" i="3"/>
  <c r="BD6" i="3"/>
  <c r="AY536" i="3"/>
  <c r="AY449" i="3"/>
  <c r="AY99" i="3"/>
  <c r="AY371" i="3"/>
  <c r="AY435" i="3"/>
  <c r="AY564" i="3"/>
  <c r="AY270" i="3"/>
  <c r="AY155" i="3"/>
  <c r="AY344" i="3"/>
  <c r="AY427" i="3"/>
  <c r="AY444" i="3"/>
  <c r="AY171" i="3"/>
  <c r="AY379" i="3"/>
  <c r="AY135" i="3"/>
  <c r="AY191" i="3"/>
  <c r="AY409" i="3"/>
  <c r="BI6" i="3"/>
  <c r="AY286" i="3"/>
  <c r="AY202" i="3"/>
  <c r="AY349" i="3"/>
  <c r="AY161" i="3"/>
  <c r="AY423" i="3"/>
  <c r="AY101" i="3"/>
  <c r="AY176" i="3"/>
  <c r="AY280" i="3"/>
  <c r="AY181" i="3"/>
  <c r="AY474" i="3"/>
  <c r="AY209" i="3"/>
  <c r="AY152" i="3"/>
  <c r="AY216" i="3"/>
  <c r="AY456" i="3"/>
  <c r="AY566" i="3"/>
  <c r="AY463" i="3"/>
  <c r="AY68" i="3"/>
  <c r="AY494" i="3"/>
  <c r="AY168" i="3"/>
  <c r="AY185" i="3"/>
  <c r="AY310" i="3"/>
  <c r="AY273" i="3"/>
  <c r="AY223" i="3"/>
  <c r="AY253" i="3"/>
  <c r="AY122" i="3"/>
  <c r="AY546" i="3"/>
  <c r="AY43" i="3"/>
  <c r="AY258" i="3"/>
  <c r="AY341" i="3"/>
  <c r="AY482" i="3"/>
  <c r="BB6" i="3"/>
  <c r="AY490" i="3"/>
  <c r="AY510" i="3"/>
  <c r="AY551" i="3"/>
  <c r="AY312" i="3"/>
  <c r="AY305" i="3"/>
  <c r="AY363" i="3"/>
  <c r="AY563" i="3"/>
  <c r="AY211" i="3"/>
  <c r="AY346" i="3"/>
  <c r="AY325" i="3"/>
  <c r="AY326" i="3"/>
  <c r="AY575" i="3"/>
  <c r="AY119" i="3"/>
  <c r="AY397" i="3"/>
  <c r="AY173" i="3"/>
  <c r="AY255" i="3"/>
  <c r="AY73" i="3"/>
  <c r="AY37" i="3"/>
  <c r="AY174" i="3"/>
  <c r="AY406" i="3"/>
  <c r="AY21" i="3"/>
  <c r="AY26" i="3"/>
  <c r="AY419" i="3"/>
  <c r="AY53" i="3"/>
  <c r="AY274" i="3"/>
  <c r="AY298" i="3"/>
  <c r="AY27" i="3"/>
  <c r="AY365" i="3"/>
  <c r="AY111" i="3"/>
  <c r="AY82" i="3"/>
  <c r="AY574" i="3"/>
  <c r="AY220" i="3"/>
  <c r="AY562" i="3"/>
  <c r="AY438" i="3"/>
  <c r="AY28" i="3"/>
  <c r="AY471" i="3"/>
  <c r="AY311" i="3"/>
  <c r="AY42" i="3"/>
  <c r="AY137" i="3"/>
  <c r="AY478" i="3"/>
  <c r="AY208" i="3"/>
  <c r="AY243" i="3"/>
  <c r="AY571" i="3"/>
  <c r="AY479" i="3"/>
  <c r="AY511" i="3"/>
  <c r="AY476" i="3"/>
  <c r="AY418" i="3"/>
  <c r="AY323" i="3"/>
  <c r="AY205" i="3"/>
  <c r="AY486" i="3"/>
  <c r="AY84" i="3"/>
  <c r="AY97" i="3"/>
  <c r="AY321" i="3"/>
  <c r="AY250" i="3"/>
  <c r="AY332" i="3"/>
  <c r="AY40" i="3"/>
  <c r="AY443" i="3"/>
  <c r="BE6" i="3"/>
  <c r="AY509" i="3"/>
  <c r="AY466" i="3"/>
  <c r="AY317" i="3"/>
  <c r="AY100" i="3"/>
  <c r="AY400" i="3"/>
  <c r="BQ6" i="3"/>
  <c r="AY160" i="3"/>
  <c r="AY283" i="3"/>
  <c r="AY383" i="3"/>
  <c r="AY405" i="3"/>
  <c r="AY389" i="3"/>
  <c r="AY201" i="3"/>
  <c r="AY287" i="3"/>
  <c r="AY214" i="3"/>
  <c r="AY278" i="3"/>
  <c r="AY34" i="3"/>
  <c r="AY413" i="3"/>
  <c r="AY294" i="3"/>
  <c r="AY115" i="3"/>
  <c r="AY289" i="3"/>
  <c r="AY318" i="3"/>
  <c r="AY505" i="3"/>
  <c r="AY25" i="3"/>
  <c r="BS6" i="3"/>
  <c r="AY307" i="3"/>
  <c r="AY539" i="3"/>
  <c r="AY392" i="3"/>
  <c r="AY78" i="3"/>
  <c r="AY260" i="3"/>
  <c r="AY527" i="3"/>
  <c r="BR6" i="3"/>
  <c r="AY22" i="3"/>
  <c r="AY262" i="3"/>
  <c r="AY210" i="3"/>
  <c r="AY166" i="3"/>
  <c r="AY362" i="3"/>
  <c r="AY204" i="3"/>
  <c r="AY175" i="3"/>
  <c r="AY530" i="3"/>
  <c r="AY241" i="3"/>
  <c r="AY103" i="3"/>
  <c r="AY373" i="3"/>
  <c r="AY507" i="3"/>
  <c r="AY247" i="3"/>
  <c r="AY215" i="3"/>
  <c r="AY183" i="3"/>
  <c r="AY515" i="3"/>
  <c r="AY249" i="3"/>
  <c r="AY542" i="3"/>
  <c r="BG6" i="3"/>
  <c r="AY339" i="3"/>
  <c r="AY244" i="3"/>
  <c r="AY465" i="3"/>
  <c r="AY20" i="3"/>
  <c r="AY576" i="3"/>
  <c r="AY460" i="3"/>
  <c r="AY66" i="3"/>
  <c r="AY381" i="3"/>
  <c r="AY517" i="3"/>
  <c r="AY333" i="3"/>
  <c r="AY426" i="3"/>
  <c r="AY178" i="3"/>
  <c r="AY338" i="3"/>
  <c r="AY334" i="3"/>
  <c r="AY496" i="3"/>
  <c r="AY239" i="3"/>
  <c r="AY360" i="3"/>
  <c r="AY374" i="3"/>
  <c r="BA6" i="3"/>
  <c r="AY77" i="3"/>
  <c r="AY69" i="3"/>
  <c r="AY134" i="3"/>
  <c r="AY500" i="3"/>
  <c r="AY388" i="3"/>
  <c r="AY501" i="3"/>
  <c r="AY87" i="3"/>
  <c r="AY570" i="3"/>
  <c r="AY396" i="3"/>
  <c r="AY256" i="3"/>
  <c r="AY151" i="3"/>
  <c r="AY189" i="3"/>
  <c r="AY31" i="3"/>
  <c r="AY138" i="3"/>
  <c r="AY354" i="3"/>
  <c r="AY401" i="3"/>
  <c r="AY222" i="3"/>
  <c r="AY200" i="3"/>
  <c r="AY264" i="3"/>
  <c r="AY558" i="3"/>
  <c r="AY290" i="3"/>
  <c r="AY556" i="3"/>
  <c r="AY549" i="3"/>
  <c r="AY74" i="3"/>
  <c r="AY246" i="3"/>
  <c r="AY131" i="3"/>
  <c r="AY398" i="3"/>
  <c r="AY364" i="3"/>
  <c r="AY345" i="3"/>
  <c r="AY94" i="3"/>
  <c r="AY41" i="3"/>
  <c r="AY525" i="3"/>
  <c r="AY552" i="3"/>
  <c r="AY203" i="3"/>
  <c r="AY29" i="3"/>
  <c r="AY583" i="3"/>
  <c r="AY141" i="3"/>
  <c r="AY336" i="3"/>
  <c r="AY240" i="3"/>
  <c r="AY376" i="3"/>
  <c r="AY194" i="3"/>
  <c r="AY548" i="3"/>
  <c r="AY322" i="3"/>
  <c r="AY47" i="3"/>
  <c r="AY446" i="3"/>
  <c r="AY352" i="3"/>
  <c r="AY114" i="3"/>
  <c r="AY63" i="3"/>
  <c r="AY529" i="3"/>
  <c r="AY242" i="3"/>
  <c r="AY154" i="3"/>
  <c r="AY54" i="3"/>
  <c r="AY225" i="3"/>
  <c r="AY86" i="3"/>
  <c r="BT6" i="3"/>
  <c r="AY71" i="3"/>
  <c r="AY234" i="3"/>
  <c r="AY109" i="3"/>
  <c r="AY488" i="3"/>
  <c r="AY102" i="3"/>
  <c r="AY384" i="3"/>
  <c r="AY165" i="3"/>
  <c r="AY560" i="3"/>
  <c r="AY252" i="3"/>
  <c r="AY251" i="3"/>
  <c r="AY288" i="3"/>
  <c r="AY506" i="3"/>
  <c r="AY538" i="3"/>
  <c r="AY441" i="3"/>
  <c r="AY502" i="3"/>
  <c r="AY327" i="3"/>
  <c r="AY454" i="3"/>
  <c r="AY259" i="3"/>
  <c r="AY523" i="3"/>
  <c r="AY199" i="3"/>
  <c r="AY587" i="3"/>
  <c r="AY522" i="3"/>
  <c r="AY16" i="3"/>
  <c r="AY437" i="3"/>
  <c r="AY139" i="3"/>
  <c r="AY295" i="3"/>
  <c r="AY467" i="3"/>
  <c r="AY85" i="3"/>
  <c r="AY572" i="3"/>
  <c r="AY98" i="3"/>
  <c r="AY192" i="3"/>
  <c r="AY470" i="3"/>
  <c r="AY544" i="3"/>
  <c r="AY528" i="3"/>
  <c r="AY330" i="3"/>
  <c r="AY351" i="3"/>
  <c r="AY513" i="3"/>
  <c r="AY297" i="3"/>
  <c r="AY586" i="3"/>
  <c r="AY431" i="3"/>
  <c r="AY491" i="3"/>
  <c r="AY263" i="3"/>
  <c r="AY472" i="3"/>
  <c r="AY348" i="3"/>
  <c r="AY127" i="3"/>
  <c r="BH6" i="3"/>
  <c r="AY565" i="3"/>
  <c r="AY292" i="3"/>
  <c r="AY487" i="3"/>
  <c r="AY123" i="3"/>
  <c r="AY196" i="3"/>
  <c r="AY464" i="3"/>
  <c r="AY385" i="3"/>
  <c r="AY140" i="3"/>
  <c r="AY353" i="3"/>
  <c r="AY357" i="3"/>
  <c r="AY126" i="3"/>
  <c r="AY433" i="3"/>
  <c r="AY158" i="3"/>
  <c r="AY578" i="3"/>
  <c r="AY90" i="3"/>
  <c r="AY167" i="3"/>
  <c r="AY497" i="3"/>
  <c r="AY296" i="3"/>
  <c r="AY105" i="3"/>
  <c r="AY17" i="3"/>
  <c r="AY24" i="3"/>
  <c r="AY88" i="3"/>
  <c r="AY559" i="3"/>
  <c r="AY228" i="3"/>
  <c r="AY393" i="3"/>
  <c r="AY580" i="3"/>
  <c r="AY36" i="3"/>
  <c r="AY524" i="3"/>
  <c r="AY124" i="3"/>
  <c r="AY232" i="3"/>
  <c r="AY451" i="3"/>
  <c r="AY237" i="3"/>
  <c r="AY386" i="3"/>
  <c r="AY217" i="3"/>
  <c r="AY324" i="3"/>
  <c r="AY315" i="3"/>
  <c r="BN6" i="3"/>
  <c r="AY453" i="3"/>
  <c r="AY569" i="3"/>
  <c r="AY394" i="3"/>
  <c r="AY195" i="3"/>
  <c r="AY395" i="3"/>
  <c r="AY235" i="3"/>
  <c r="AY118" i="3"/>
  <c r="AY540" i="3"/>
  <c r="AY129" i="3"/>
  <c r="AY132" i="3"/>
  <c r="AY492" i="3"/>
  <c r="AY455" i="3"/>
  <c r="AY112" i="3"/>
  <c r="AY75" i="3"/>
  <c r="AY302" i="3"/>
  <c r="AY142" i="3"/>
  <c r="AY62" i="3"/>
  <c r="AY547" i="3"/>
  <c r="AY35" i="3"/>
  <c r="AY343" i="3"/>
  <c r="AY236" i="3"/>
  <c r="AY484" i="3"/>
  <c r="AY320" i="3"/>
  <c r="AY182" i="3"/>
  <c r="AY32" i="3"/>
  <c r="AY436" i="3"/>
  <c r="AY531" i="3"/>
  <c r="AY331" i="3"/>
  <c r="AY309" i="3"/>
  <c r="AY579" i="3"/>
  <c r="AY52" i="3"/>
  <c r="AY537" i="3"/>
  <c r="AY316" i="3"/>
  <c r="AY266" i="3"/>
  <c r="AY459" i="3"/>
  <c r="AY306" i="3"/>
  <c r="AY48" i="3"/>
  <c r="AY404" i="3"/>
  <c r="AY128" i="3"/>
  <c r="AY442" i="3"/>
  <c r="AY367" i="3"/>
  <c r="AY411" i="3"/>
  <c r="AY107" i="3"/>
  <c r="AY39" i="3"/>
  <c r="BF6" i="3"/>
  <c r="AY461" i="3"/>
  <c r="AY304" i="3"/>
  <c r="AY95" i="3"/>
  <c r="AY403" i="3"/>
  <c r="AY369" i="3"/>
  <c r="AY585" i="3"/>
  <c r="AY51" i="3"/>
  <c r="AY81" i="3"/>
  <c r="AY434" i="3"/>
  <c r="AY412" i="3"/>
  <c r="AY534" i="3"/>
  <c r="AY314" i="3"/>
  <c r="AY212" i="3"/>
  <c r="AY186" i="3"/>
  <c r="AY23" i="3"/>
  <c r="AY257" i="3"/>
  <c r="AY445" i="3"/>
  <c r="AY415" i="3"/>
  <c r="AY370" i="3"/>
  <c r="AY372" i="3"/>
  <c r="AY450" i="3"/>
  <c r="AY355" i="3"/>
  <c r="AY153" i="3"/>
  <c r="AY516" i="3"/>
  <c r="AY277" i="3"/>
  <c r="AY261" i="3"/>
  <c r="AY508" i="3"/>
  <c r="AY229" i="3"/>
  <c r="AY170" i="3"/>
  <c r="AY49" i="3"/>
  <c r="AY553" i="3"/>
  <c r="AY407" i="3"/>
  <c r="AY337" i="3"/>
  <c r="AY420" i="3"/>
  <c r="AY269" i="3"/>
  <c r="AY14" i="3"/>
  <c r="AY117" i="3"/>
  <c r="AY157" i="3"/>
  <c r="AY79" i="3"/>
  <c r="AY499" i="3"/>
  <c r="AY179" i="3"/>
  <c r="AY347" i="3"/>
  <c r="AY233" i="3"/>
  <c r="AY557" i="3"/>
  <c r="AY285" i="3"/>
  <c r="AY108" i="3"/>
  <c r="AY390" i="3"/>
  <c r="AY429" i="3"/>
  <c r="AY164" i="3"/>
  <c r="AY38" i="3"/>
  <c r="AY213" i="3"/>
  <c r="AY495" i="3"/>
  <c r="AY116" i="3"/>
  <c r="AY30" i="3"/>
  <c r="AY483" i="3"/>
  <c r="AY121" i="3"/>
  <c r="AY485" i="3"/>
  <c r="AY399" i="3"/>
  <c r="AY231" i="3"/>
  <c r="AY143" i="3"/>
  <c r="AY265" i="3"/>
  <c r="AY46" i="3"/>
  <c r="AY282" i="3"/>
  <c r="AY13" i="3"/>
  <c r="AY15" i="3"/>
  <c r="AY89" i="3"/>
  <c r="AY61" i="3"/>
  <c r="AY92" i="3"/>
  <c r="AY533" i="3"/>
  <c r="AY207" i="3"/>
  <c r="AY267" i="3"/>
  <c r="AY567" i="3"/>
  <c r="AY402" i="3"/>
  <c r="AY72" i="3"/>
  <c r="AY64" i="3"/>
  <c r="AY238" i="3"/>
  <c r="AY187" i="3"/>
  <c r="AY148" i="3"/>
  <c r="AY55" i="3"/>
  <c r="AY568" i="3"/>
  <c r="AY440" i="3"/>
  <c r="AY19" i="3"/>
  <c r="AY550" i="3"/>
  <c r="AY368" i="3"/>
  <c r="AY218" i="3"/>
  <c r="AY245" i="3"/>
  <c r="AY425" i="3"/>
  <c r="AY308" i="3"/>
  <c r="AY147" i="3"/>
  <c r="AY136" i="3"/>
  <c r="AY342" i="3"/>
  <c r="AY329" i="3"/>
  <c r="AY428" i="3"/>
  <c r="AY573" i="3"/>
  <c r="AY67" i="3"/>
  <c r="AY301" i="3"/>
  <c r="AY224" i="3"/>
  <c r="AY481" i="3"/>
  <c r="AY172" i="3"/>
  <c r="AY162" i="3"/>
  <c r="AY535" i="3"/>
  <c r="AY219" i="3"/>
  <c r="AY541" i="3"/>
  <c r="AY477" i="3"/>
  <c r="AY561" i="3"/>
  <c r="AY91" i="3"/>
  <c r="AY366" i="3"/>
  <c r="AY380" i="3"/>
  <c r="AY340" i="3"/>
  <c r="BC6" i="3"/>
  <c r="AY504" i="3"/>
  <c r="AY555" i="3"/>
  <c r="AY130" i="3"/>
  <c r="AY359" i="3"/>
  <c r="AY159" i="3"/>
  <c r="AY291" i="3"/>
  <c r="AY512" i="3"/>
  <c r="AY93" i="3"/>
  <c r="AY521" i="3"/>
  <c r="AY227" i="3"/>
  <c r="AY149" i="3"/>
  <c r="AY230" i="3"/>
  <c r="AY268" i="3"/>
  <c r="AY469" i="3"/>
  <c r="AY414" i="3"/>
  <c r="AY221" i="3"/>
  <c r="AY276" i="3"/>
  <c r="AY58" i="3"/>
  <c r="D3" i="6"/>
  <c r="C17" i="67"/>
  <c r="C34" i="69"/>
  <c r="C14" i="67"/>
  <c r="C35" i="69" l="1"/>
  <c r="C38" i="69"/>
  <c r="C15" i="67"/>
  <c r="C18" i="67"/>
  <c r="H23" i="6"/>
  <c r="D9" i="6"/>
  <c r="D13" i="6"/>
  <c r="D10" i="6"/>
  <c r="H25" i="6"/>
  <c r="D6" i="6"/>
  <c r="D5" i="6"/>
  <c r="D12" i="6"/>
  <c r="L19" i="9"/>
  <c r="D29" i="6"/>
  <c r="D14" i="6"/>
  <c r="D11" i="6"/>
  <c r="H26" i="6"/>
  <c r="H21" i="6"/>
  <c r="D15" i="6"/>
  <c r="H24" i="6"/>
  <c r="H20" i="6"/>
  <c r="H22" i="6"/>
  <c r="D23" i="6"/>
  <c r="R23" i="6" s="1"/>
  <c r="D21" i="6"/>
  <c r="R21" i="6" s="1"/>
  <c r="D22" i="6"/>
  <c r="C18" i="4"/>
  <c r="D8" i="6"/>
  <c r="D28" i="6"/>
  <c r="D30" i="6" s="1"/>
  <c r="M19" i="9"/>
  <c r="C118" i="9" s="1"/>
  <c r="D24" i="6"/>
  <c r="D25" i="6"/>
  <c r="R25" i="6" s="1"/>
  <c r="D26" i="6"/>
  <c r="R26" i="6" s="1"/>
  <c r="D20" i="6"/>
  <c r="R20" i="6" s="1"/>
  <c r="E61" i="40"/>
  <c r="F61" i="40" s="1"/>
  <c r="B2" i="40" s="1"/>
  <c r="B3" i="40" s="1"/>
  <c r="D19" i="6"/>
  <c r="E33" i="43"/>
  <c r="D1" i="43"/>
  <c r="D17" i="12"/>
  <c r="C17" i="12" s="1"/>
  <c r="C14" i="12"/>
  <c r="C16" i="12" s="1"/>
  <c r="M27" i="6"/>
  <c r="I19" i="6"/>
  <c r="D10" i="11"/>
  <c r="C10" i="11" s="1"/>
  <c r="D20" i="12"/>
  <c r="C20" i="12" s="1"/>
  <c r="D10" i="68"/>
  <c r="C39" i="11"/>
  <c r="C43" i="11" s="1"/>
  <c r="C42" i="11"/>
  <c r="C46" i="11"/>
  <c r="C45" i="11" s="1"/>
  <c r="C24" i="11"/>
  <c r="C20" i="11"/>
  <c r="C25" i="11" s="1"/>
  <c r="S16" i="1"/>
  <c r="AR6" i="1"/>
  <c r="AQ6" i="1"/>
  <c r="T6" i="1"/>
  <c r="T16" i="1" s="1"/>
  <c r="E6" i="70"/>
  <c r="E2" i="70" s="1"/>
  <c r="D10" i="69"/>
  <c r="C19" i="67" l="1"/>
  <c r="C20" i="67" s="1"/>
  <c r="C26" i="67" s="1"/>
  <c r="C41" i="11"/>
  <c r="C49" i="11" s="1"/>
  <c r="C51" i="11" s="1"/>
  <c r="C22" i="11"/>
  <c r="D19" i="69"/>
  <c r="D37" i="69" s="1"/>
  <c r="C37" i="69" s="1"/>
  <c r="C33" i="69" s="1"/>
  <c r="C10" i="69"/>
  <c r="I27" i="6"/>
  <c r="S19" i="6"/>
  <c r="S27" i="6" s="1"/>
  <c r="C27" i="31"/>
  <c r="C33" i="81"/>
  <c r="C33" i="33"/>
  <c r="R24" i="6"/>
  <c r="D16" i="6"/>
  <c r="R22" i="6"/>
  <c r="C28" i="11"/>
  <c r="C27" i="11" s="1"/>
  <c r="C10" i="68"/>
  <c r="D19" i="68"/>
  <c r="D27" i="6"/>
  <c r="D31" i="6" s="1"/>
  <c r="H19" i="6"/>
  <c r="H27" i="6" s="1"/>
  <c r="A10" i="51"/>
  <c r="B9" i="72" s="1"/>
  <c r="A7" i="51"/>
  <c r="B7" i="72" s="1"/>
  <c r="C4" i="52"/>
  <c r="B45" i="72" s="1"/>
  <c r="C31" i="11" l="1"/>
  <c r="C52" i="11" s="1"/>
  <c r="B2" i="11" s="1"/>
  <c r="B3" i="11" s="1"/>
  <c r="C23" i="67"/>
  <c r="C29" i="67" s="1"/>
  <c r="R19" i="6"/>
  <c r="V3" i="43"/>
  <c r="V2" i="43"/>
  <c r="H33" i="81"/>
  <c r="J33" i="81"/>
  <c r="F33" i="81"/>
  <c r="C25" i="31"/>
  <c r="B22" i="31"/>
  <c r="B14" i="74" s="1"/>
  <c r="B1" i="74" s="1"/>
  <c r="C39" i="69"/>
  <c r="C43" i="69" s="1"/>
  <c r="C42" i="69"/>
  <c r="I6" i="6"/>
  <c r="I5" i="6"/>
  <c r="C19" i="68"/>
  <c r="C24" i="68" s="1"/>
  <c r="D37" i="68"/>
  <c r="C37" i="68" s="1"/>
  <c r="C33" i="68" s="1"/>
  <c r="H33" i="33"/>
  <c r="J33" i="33"/>
  <c r="F33" i="33"/>
  <c r="C26" i="31"/>
  <c r="C8" i="69"/>
  <c r="B29" i="1"/>
  <c r="C56" i="11"/>
  <c r="C57" i="11" s="1"/>
  <c r="C41" i="69" l="1"/>
  <c r="C46" i="69"/>
  <c r="C45" i="69" s="1"/>
  <c r="Q49" i="67"/>
  <c r="C36" i="67"/>
  <c r="C57" i="67"/>
  <c r="C64" i="67" s="1"/>
  <c r="J59" i="67"/>
  <c r="J60" i="67" s="1"/>
  <c r="J14" i="67"/>
  <c r="C13" i="67"/>
  <c r="C39" i="68"/>
  <c r="C43" i="68" s="1"/>
  <c r="C42" i="68"/>
  <c r="W33" i="81"/>
  <c r="AC33" i="81"/>
  <c r="V48" i="81" s="1"/>
  <c r="I48" i="81" s="1"/>
  <c r="E34" i="43"/>
  <c r="C31" i="43" s="1"/>
  <c r="C34" i="43"/>
  <c r="C30" i="43"/>
  <c r="W33" i="33"/>
  <c r="AC33" i="33"/>
  <c r="V48" i="33" s="1"/>
  <c r="I48" i="33" s="1"/>
  <c r="C8" i="68"/>
  <c r="C5" i="68" s="1"/>
  <c r="C18" i="12"/>
  <c r="C21" i="12" s="1"/>
  <c r="S33" i="33"/>
  <c r="AA33" i="33"/>
  <c r="R48" i="33" s="1"/>
  <c r="U33" i="33"/>
  <c r="AB33" i="33"/>
  <c r="T48" i="33" s="1"/>
  <c r="G48" i="33" s="1"/>
  <c r="S33" i="81"/>
  <c r="AA33" i="81"/>
  <c r="R48" i="81" s="1"/>
  <c r="U33" i="81"/>
  <c r="AB33" i="81"/>
  <c r="T48" i="81" s="1"/>
  <c r="G48" i="81" s="1"/>
  <c r="C7" i="69"/>
  <c r="C5" i="69" s="1"/>
  <c r="R27" i="6"/>
  <c r="R6" i="1"/>
  <c r="M21" i="67"/>
  <c r="F35" i="67"/>
  <c r="E6" i="76"/>
  <c r="C49" i="69" l="1"/>
  <c r="C51" i="69" s="1"/>
  <c r="E2" i="76"/>
  <c r="C34" i="67"/>
  <c r="F63" i="67"/>
  <c r="C62" i="67" s="1"/>
  <c r="C59" i="67" s="1"/>
  <c r="J20" i="67"/>
  <c r="J17" i="67" s="1"/>
  <c r="C23" i="69"/>
  <c r="C20" i="69"/>
  <c r="C25" i="69" s="1"/>
  <c r="E48" i="81"/>
  <c r="I53" i="81" s="1"/>
  <c r="J53" i="81" s="1"/>
  <c r="R49" i="81"/>
  <c r="E48" i="33"/>
  <c r="I53" i="33" s="1"/>
  <c r="J53" i="33" s="1"/>
  <c r="R49" i="33"/>
  <c r="I52" i="33"/>
  <c r="J52" i="33" s="1"/>
  <c r="B2" i="43"/>
  <c r="C37" i="67"/>
  <c r="Q70" i="67"/>
  <c r="C56" i="67"/>
  <c r="C65" i="67" s="1"/>
  <c r="C75" i="67"/>
  <c r="Q48" i="67"/>
  <c r="L46" i="67"/>
  <c r="R16" i="1"/>
  <c r="G53" i="81"/>
  <c r="H53" i="81" s="1"/>
  <c r="G52" i="81"/>
  <c r="H52" i="81" s="1"/>
  <c r="G53" i="33"/>
  <c r="H53" i="33" s="1"/>
  <c r="G52" i="33"/>
  <c r="H52" i="33" s="1"/>
  <c r="C22" i="12"/>
  <c r="C30" i="12" s="1"/>
  <c r="C28" i="12" s="1"/>
  <c r="C20" i="68"/>
  <c r="C25" i="68" s="1"/>
  <c r="C23" i="68"/>
  <c r="I52" i="81"/>
  <c r="J52" i="81" s="1"/>
  <c r="C41" i="68"/>
  <c r="C46" i="68"/>
  <c r="C45" i="68" s="1"/>
  <c r="J22" i="67"/>
  <c r="J13" i="67"/>
  <c r="J23" i="67" s="1"/>
  <c r="B6" i="76"/>
  <c r="C27" i="12" l="1"/>
  <c r="C25" i="12" s="1"/>
  <c r="C32" i="12" s="1"/>
  <c r="B2" i="12" s="1"/>
  <c r="B3" i="12" s="1"/>
  <c r="B2" i="76"/>
  <c r="B3" i="76" s="1"/>
  <c r="C49" i="68"/>
  <c r="C51" i="68" s="1"/>
  <c r="C22" i="68"/>
  <c r="C28" i="68"/>
  <c r="C27" i="68" s="1"/>
  <c r="C48" i="33"/>
  <c r="C49" i="33"/>
  <c r="C48" i="81"/>
  <c r="C49" i="81"/>
  <c r="C50" i="81" s="1"/>
  <c r="C22" i="69"/>
  <c r="J16" i="67"/>
  <c r="J25" i="67" s="1"/>
  <c r="B3" i="43"/>
  <c r="E52" i="33"/>
  <c r="F52" i="33" s="1"/>
  <c r="E53" i="33"/>
  <c r="F53" i="33" s="1"/>
  <c r="E53" i="81"/>
  <c r="F53" i="81" s="1"/>
  <c r="E52" i="81"/>
  <c r="F52" i="81" s="1"/>
  <c r="C28" i="69"/>
  <c r="C27" i="69" s="1"/>
  <c r="C58" i="67"/>
  <c r="C67" i="67" s="1"/>
  <c r="C68" i="67" s="1"/>
  <c r="C31" i="69" l="1"/>
  <c r="C52" i="69" s="1"/>
  <c r="C57" i="69" s="1"/>
  <c r="C56" i="69" s="1"/>
  <c r="C31" i="68"/>
  <c r="C52" i="68" s="1"/>
  <c r="B2" i="68" s="1"/>
  <c r="B3" i="68" s="1"/>
  <c r="C71" i="67"/>
  <c r="B2" i="81"/>
  <c r="B3" i="81"/>
  <c r="U6" i="1"/>
  <c r="B2" i="33"/>
  <c r="B3" i="33"/>
  <c r="F6" i="67"/>
  <c r="C20" i="9"/>
  <c r="C19" i="9"/>
  <c r="C57" i="68" l="1"/>
  <c r="C56" i="68" s="1"/>
  <c r="B2" i="69"/>
  <c r="C103" i="9"/>
  <c r="C6" i="67"/>
  <c r="C21" i="9"/>
  <c r="C102" i="9"/>
  <c r="B3" i="69"/>
  <c r="C10" i="67" l="1"/>
  <c r="C5" i="67" s="1"/>
  <c r="C32" i="67"/>
  <c r="C33" i="67"/>
  <c r="C38" i="67" l="1"/>
  <c r="C31" i="67"/>
  <c r="C30" i="67" l="1"/>
  <c r="C39" i="67" s="1"/>
  <c r="Q69" i="67" s="1"/>
  <c r="Q68" i="67" s="1"/>
  <c r="C80" i="67" l="1"/>
  <c r="C79" i="67" s="1"/>
  <c r="C40" i="67"/>
  <c r="C43" i="67" s="1"/>
  <c r="L51" i="67"/>
  <c r="Q67" i="67" l="1"/>
  <c r="C83" i="67"/>
  <c r="C82" i="67" s="1"/>
  <c r="Q47" i="67"/>
  <c r="Q53" i="67" s="1"/>
  <c r="Q65" i="67"/>
  <c r="Q75" i="67" s="1"/>
  <c r="C45" i="67"/>
  <c r="C46" i="67" s="1"/>
  <c r="D2" i="67"/>
  <c r="B2" i="67" s="1"/>
  <c r="Q56" i="67"/>
  <c r="Q62" i="67" s="1"/>
  <c r="D19" i="9"/>
  <c r="AO6" i="1"/>
  <c r="B3" i="67" l="1"/>
  <c r="D21" i="9"/>
  <c r="D102" i="9"/>
  <c r="D22" i="9"/>
  <c r="G19" i="9"/>
  <c r="B6" i="70"/>
  <c r="B2" i="70" s="1"/>
  <c r="B3" i="70" s="1"/>
  <c r="D20" i="9"/>
  <c r="D35" i="9"/>
  <c r="D34" i="9"/>
  <c r="G20" i="9" l="1"/>
  <c r="G22" i="9" s="1"/>
  <c r="D103" i="9"/>
  <c r="G21" i="9"/>
  <c r="C32" i="9" l="1"/>
  <c r="I118" i="9" s="1"/>
  <c r="R24" i="31"/>
  <c r="T24" i="31" s="1"/>
  <c r="R27" i="31" l="1"/>
  <c r="R26" i="31"/>
  <c r="S24" i="31"/>
  <c r="C35" i="9"/>
  <c r="G118" i="9" s="1"/>
  <c r="G4" i="52" s="1"/>
  <c r="B52" i="72" s="1"/>
  <c r="R25" i="31"/>
  <c r="I4" i="52"/>
  <c r="H118" i="9"/>
  <c r="C105" i="9"/>
  <c r="H102" i="9"/>
  <c r="D7" i="53" s="1"/>
  <c r="B21" i="72" s="1"/>
  <c r="S25" i="31" l="1"/>
  <c r="T25" i="31"/>
  <c r="S26" i="31"/>
  <c r="T26" i="31"/>
  <c r="S27" i="31"/>
  <c r="T27" i="31"/>
  <c r="C34" i="9"/>
  <c r="E118" i="9"/>
  <c r="E4" i="52" s="1"/>
  <c r="B48" i="72" s="1"/>
  <c r="F118" i="9"/>
  <c r="F4" i="52" s="1"/>
  <c r="B51" i="72" s="1"/>
  <c r="H4" i="52"/>
  <c r="C104" i="9"/>
  <c r="H119" i="9"/>
  <c r="H5" i="52" s="1"/>
  <c r="H101" i="9"/>
  <c r="S22" i="31" l="1"/>
  <c r="D14" i="74" s="1"/>
  <c r="B5" i="74" s="1"/>
  <c r="D5" i="74" s="1"/>
  <c r="T22" i="31"/>
  <c r="F119" i="9"/>
  <c r="F5" i="52" s="1"/>
  <c r="B53" i="72" s="1"/>
  <c r="D118" i="9"/>
  <c r="D119" i="9" s="1"/>
  <c r="D5" i="52" s="1"/>
  <c r="B49" i="72" s="1"/>
  <c r="D45" i="9"/>
  <c r="M48" i="9"/>
  <c r="D5" i="53"/>
  <c r="H107" i="9"/>
  <c r="E14" i="74" l="1"/>
  <c r="G14" i="74"/>
  <c r="B6" i="74" s="1"/>
  <c r="D6" i="74" s="1"/>
  <c r="R22" i="31"/>
  <c r="C5" i="74"/>
  <c r="B20" i="31"/>
  <c r="B21" i="31" s="1"/>
  <c r="F14" i="74"/>
  <c r="D4" i="52"/>
  <c r="B47" i="72" s="1"/>
  <c r="D122" i="9"/>
  <c r="D13" i="53"/>
  <c r="M49" i="9"/>
  <c r="H108" i="9"/>
  <c r="B20" i="72"/>
  <c r="D6" i="53"/>
  <c r="B22" i="72" s="1"/>
  <c r="D52" i="9"/>
  <c r="C93" i="9"/>
  <c r="C86" i="9" s="1"/>
  <c r="D55" i="9"/>
  <c r="M53" i="9" s="1"/>
  <c r="D53" i="9"/>
  <c r="C64" i="9"/>
  <c r="C63" i="9" s="1"/>
  <c r="C67" i="9" s="1"/>
  <c r="C78" i="9"/>
  <c r="C73" i="9" s="1"/>
  <c r="C85" i="9"/>
  <c r="C72" i="9"/>
  <c r="C79" i="9" l="1"/>
  <c r="C80" i="9" s="1"/>
  <c r="E80" i="9" s="1"/>
  <c r="E81" i="9" s="1"/>
  <c r="C95" i="9"/>
  <c r="C96" i="9" s="1"/>
  <c r="E96" i="9" s="1"/>
  <c r="E97" i="9" s="1"/>
  <c r="D15" i="53"/>
  <c r="B31" i="72" s="1"/>
  <c r="C6" i="74"/>
  <c r="B30" i="72"/>
  <c r="D14" i="53"/>
  <c r="B32" i="72" s="1"/>
  <c r="C68" i="9"/>
  <c r="D54" i="9" s="1"/>
  <c r="D59" i="9"/>
  <c r="M55" i="9" s="1"/>
  <c r="L64" i="9"/>
  <c r="M64" i="9" s="1"/>
  <c r="L67" i="9"/>
  <c r="M67" i="9" s="1"/>
  <c r="L66" i="9"/>
  <c r="M66" i="9" s="1"/>
  <c r="L68" i="9"/>
  <c r="M68" i="9" s="1"/>
  <c r="L65" i="9"/>
  <c r="M65" i="9" s="1"/>
  <c r="L63" i="9"/>
  <c r="M63" i="9" s="1"/>
  <c r="D8" i="52"/>
  <c r="D123" i="9"/>
  <c r="D9" i="52"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<sst xmlns="http://schemas.openxmlformats.org/spreadsheetml/2006/main" count="8320" uniqueCount="3482">
  <si>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</si>
  <si>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</si>
  <si>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</si>
  <si>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</si>
  <si>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</si>
  <si>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</si>
  <si>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</si>
  <si>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</si>
  <si>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</si>
  <si>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</si>
  <si>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</si>
  <si>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</si>
  <si>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</si>
  <si>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</si>
  <si>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</si>
  <si>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</si>
  <si>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</si>
  <si>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</si>
  <si>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</si>
  <si>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</si>
  <si>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</si>
  <si>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</si>
  <si>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</si>
  <si>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</si>
  <si>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</si>
  <si>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</si>
  <si>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</si>
  <si>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</si>
  <si>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</si>
  <si>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</si>
  <si>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</si>
  <si>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</si>
  <si>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</si>
  <si>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</si>
  <si>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</si>
  <si>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</si>
  <si>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</si>
  <si>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</si>
  <si>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</si>
  <si>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</si>
  <si>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</si>
  <si>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</si>
  <si>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</si>
  <si>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</si>
  <si>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</si>
  <si>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</si>
  <si>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</si>
  <si>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</si>
  <si>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</si>
  <si>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</si>
  <si>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</si>
  <si>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</si>
  <si>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</si>
  <si>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</si>
  <si>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</si>
  <si>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</si>
  <si>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</si>
  <si>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</si>
  <si>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</si>
  <si>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</si>
  <si>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</si>
  <si>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</si>
  <si>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</si>
  <si>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</si>
  <si>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</si>
  <si>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</si>
  <si>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</si>
  <si>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</si>
  <si>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</si>
  <si>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</si>
  <si>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</si>
  <si>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</si>
  <si>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</si>
  <si>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</si>
  <si>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</si>
  <si>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</si>
  <si>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</si>
  <si>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</si>
  <si>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</si>
  <si>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</si>
  <si>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</si>
  <si>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</si>
  <si>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</si>
  <si>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</si>
  <si>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</si>
  <si>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</si>
  <si>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</si>
  <si>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</si>
  <si>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</si>
  <si>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</si>
  <si>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</si>
  <si>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</si>
  <si>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</si>
  <si>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</si>
  <si>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</si>
  <si>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</si>
  <si>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</si>
  <si>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</si>
  <si>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</si>
  <si>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</si>
  <si>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</si>
  <si>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</si>
  <si>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</si>
  <si>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</si>
  <si>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</si>
  <si>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</si>
  <si>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</si>
  <si>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</si>
  <si>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</si>
  <si>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</si>
  <si>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</si>
  <si>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</si>
  <si>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</si>
  <si>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</si>
  <si>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</si>
  <si>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</si>
  <si>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</si>
  <si>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</si>
  <si>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</si>
  <si>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</si>
  <si>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</si>
  <si>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</si>
  <si>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</si>
  <si>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</si>
  <si>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</si>
  <si>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</si>
  <si>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</si>
  <si>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</si>
  <si>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</si>
  <si>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</si>
  <si>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</si>
  <si>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</si>
  <si>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</si>
  <si>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</si>
  <si>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</si>
  <si>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</si>
  <si>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</si>
  <si>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</si>
  <si>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</si>
  <si>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</si>
  <si>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</si>
  <si>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</si>
  <si>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</si>
  <si>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</si>
  <si>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</si>
  <si>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</si>
  <si>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</si>
  <si>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</si>
  <si>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</si>
  <si>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</si>
  <si>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</si>
  <si>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</si>
  <si>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</si>
  <si>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</si>
  <si>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</si>
  <si>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</si>
  <si>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</si>
  <si>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</si>
  <si>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</si>
  <si>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</si>
  <si>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</si>
  <si>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</si>
  <si>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</si>
  <si>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</si>
  <si>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</si>
  <si>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</si>
  <si>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</si>
  <si>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</si>
  <si>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</si>
  <si>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</si>
  <si>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</si>
  <si>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</si>
  <si>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</si>
  <si>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</si>
  <si>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</si>
  <si>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</si>
  <si>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</si>
  <si>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</si>
  <si>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</si>
  <si>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</si>
  <si>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</si>
  <si>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</si>
  <si>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</si>
  <si>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</si>
  <si>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</si>
  <si>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</si>
  <si>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</si>
  <si>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</si>
  <si>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</si>
  <si>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</si>
  <si>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</si>
  <si>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</si>
  <si>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</si>
  <si>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</si>
  <si>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</si>
  <si>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</si>
  <si>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</si>
  <si>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</si>
  <si>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</si>
  <si>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</si>
  <si>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</si>
  <si>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</si>
  <si>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</si>
  <si>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</si>
  <si>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</si>
  <si>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</si>
  <si>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</si>
  <si>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</si>
  <si>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</si>
  <si>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</si>
  <si>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</si>
  <si>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</si>
  <si>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</si>
  <si>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</si>
  <si>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</si>
  <si>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</si>
  <si>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</si>
  <si>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</si>
  <si>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</si>
  <si>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</si>
  <si>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</si>
  <si>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</si>
  <si>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</si>
  <si>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</si>
  <si>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</si>
  <si>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</si>
  <si>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</si>
  <si>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</si>
  <si>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</si>
  <si>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</si>
  <si>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</si>
  <si>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</si>
  <si>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</si>
  <si>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</si>
  <si>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</si>
  <si>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</si>
  <si>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</si>
  <si>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</si>
  <si>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</si>
  <si>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</si>
  <si>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</si>
  <si>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</si>
  <si>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</si>
  <si>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</si>
  <si>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</si>
  <si>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</si>
  <si>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</si>
  <si>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</si>
  <si>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</si>
  <si>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</si>
  <si>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</si>
  <si>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</si>
  <si>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</si>
  <si>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</si>
  <si>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</si>
  <si>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</si>
  <si>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</si>
  <si>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</si>
  <si>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</si>
  <si>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</si>
  <si>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</si>
  <si>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</si>
  <si>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</si>
  <si>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</si>
  <si>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</si>
  <si>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</si>
  <si>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</si>
  <si>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</si>
  <si>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</si>
  <si>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</si>
  <si>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</si>
  <si>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</si>
  <si>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</si>
  <si>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</si>
  <si>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</si>
  <si>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</si>
  <si>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</si>
  <si>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</si>
  <si>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</si>
  <si>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</si>
  <si>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</si>
  <si>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</si>
  <si>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</si>
  <si>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</si>
  <si>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</si>
  <si>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</si>
  <si>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</si>
  <si>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</si>
  <si>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</si>
  <si>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</si>
  <si>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</si>
  <si>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</si>
  <si>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</si>
  <si>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</si>
  <si>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</si>
  <si>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</si>
  <si>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</si>
  <si>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</si>
  <si>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</si>
  <si>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</si>
  <si>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</si>
  <si>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</si>
  <si>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</si>
  <si>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</si>
  <si>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</si>
  <si>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</si>
  <si>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</si>
  <si>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</si>
  <si>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</si>
  <si>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</si>
  <si>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</si>
  <si>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</si>
  <si>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</si>
  <si>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</si>
  <si>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</si>
  <si>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</si>
  <si>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</si>
  <si>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</si>
  <si>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</si>
  <si>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</si>
  <si>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</si>
  <si>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</si>
  <si>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</si>
  <si>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</si>
  <si>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</si>
  <si>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</si>
  <si>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</si>
  <si>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</si>
  <si>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</si>
  <si>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</si>
  <si>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</si>
  <si>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</si>
  <si>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</si>
  <si>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</si>
  <si>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</si>
  <si>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</si>
  <si>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</si>
  <si>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</si>
  <si>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</si>
  <si>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</si>
  <si>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</si>
  <si>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</si>
  <si>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</si>
  <si>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</si>
  <si>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</si>
  <si>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</si>
  <si>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</si>
  <si>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</si>
  <si>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</si>
  <si>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</si>
  <si>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</si>
  <si>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</si>
  <si>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</si>
  <si>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</si>
  <si>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</si>
  <si>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</si>
  <si>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</si>
  <si>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</si>
  <si>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</si>
  <si>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</si>
  <si>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</si>
  <si>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</si>
  <si>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</si>
  <si>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</si>
  <si>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</si>
  <si>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</si>
  <si>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</si>
  <si>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</si>
  <si>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</si>
  <si>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</si>
  <si>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</si>
  <si>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</si>
  <si>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</si>
  <si>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</si>
  <si>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</si>
  <si>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</si>
  <si>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</si>
  <si>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</si>
  <si>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</si>
  <si>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</si>
  <si>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</si>
  <si>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</si>
  <si>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</si>
  <si>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</si>
  <si>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</si>
  <si>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</si>
  <si>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</si>
  <si>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</si>
  <si>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</si>
  <si>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</si>
  <si>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</si>
  <si>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</si>
  <si>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</si>
  <si>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</si>
  <si>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</si>
  <si>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</si>
  <si>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</si>
  <si>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</si>
  <si>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</si>
  <si>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</si>
  <si>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</si>
  <si>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</si>
  <si>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</si>
  <si>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</si>
  <si>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</si>
  <si>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</si>
  <si>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</si>
  <si>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</si>
  <si>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</si>
  <si>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</si>
  <si>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</si>
  <si>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</si>
  <si>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</si>
  <si>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</si>
  <si>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</si>
  <si>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</si>
  <si>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</si>
  <si>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</si>
  <si>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</si>
  <si>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</si>
  <si>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</si>
  <si>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</si>
  <si>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</si>
  <si>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</si>
  <si>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</si>
  <si>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</si>
  <si>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</si>
  <si>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</si>
  <si>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</si>
  <si>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</si>
  <si>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</si>
  <si>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</si>
  <si>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</si>
  <si>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</si>
  <si>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</si>
  <si>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</si>
  <si>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</si>
  <si>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</si>
  <si>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</si>
  <si>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</si>
  <si>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</si>
  <si>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</si>
  <si>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</si>
  <si>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</si>
  <si>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</si>
  <si>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</si>
  <si>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</si>
  <si>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</si>
  <si>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</si>
  <si>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</si>
  <si>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</si>
  <si>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</si>
  <si>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</si>
  <si>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</si>
  <si>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</si>
  <si>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</si>
  <si>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</si>
  <si>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</si>
  <si>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</si>
  <si>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</si>
  <si>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</si>
  <si>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</si>
  <si>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</si>
  <si>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</si>
  <si>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</si>
  <si>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</si>
  <si>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</si>
  <si>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</si>
  <si>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</si>
  <si>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</si>
  <si>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</si>
  <si>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</si>
  <si>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</si>
  <si>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</si>
  <si>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</si>
  <si>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</si>
  <si>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</si>
  <si>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</si>
  <si>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</si>
  <si>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</si>
  <si>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</si>
  <si>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</si>
  <si>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</si>
  <si>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</si>
  <si>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</si>
  <si>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</si>
  <si>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</si>
  <si>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</si>
  <si>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</si>
  <si>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</si>
  <si>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</si>
  <si>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</si>
  <si>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</si>
  <si>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</si>
  <si>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</si>
  <si>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</si>
  <si>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</si>
  <si>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</si>
  <si>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</si>
  <si>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</si>
  <si>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</si>
  <si>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</si>
  <si>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</si>
  <si>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</si>
  <si>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</si>
  <si>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</si>
  <si>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</si>
  <si>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</si>
  <si>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</si>
  <si>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</si>
  <si>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</si>
  <si>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</si>
  <si>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</si>
  <si>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</si>
  <si>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</si>
  <si>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</si>
  <si>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</si>
  <si>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</si>
  <si>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</si>
  <si>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</si>
  <si>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</si>
  <si>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</si>
  <si>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</si>
  <si>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</si>
  <si>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</si>
  <si>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</si>
  <si>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</si>
  <si>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</si>
  <si>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</si>
  <si>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</si>
  <si>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</si>
  <si>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</si>
  <si>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</si>
  <si>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</si>
  <si>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</si>
  <si>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</si>
  <si>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</si>
  <si>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</si>
  <si>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</si>
  <si>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</si>
  <si>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</si>
  <si>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</si>
  <si>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</si>
  <si>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</si>
  <si>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</si>
  <si>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</si>
  <si>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</si>
  <si>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</si>
  <si>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</si>
  <si>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</si>
  <si>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</si>
  <si>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</si>
  <si>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</si>
  <si>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</si>
  <si>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</si>
  <si>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</si>
  <si>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</si>
  <si>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</si>
  <si>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</si>
  <si>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</si>
  <si>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</si>
  <si>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</si>
  <si>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</si>
  <si>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</si>
  <si>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</si>
  <si>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</si>
  <si>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</si>
  <si>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</si>
  <si>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</si>
  <si>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</si>
  <si>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</si>
  <si>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</si>
  <si>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</si>
  <si>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</si>
  <si>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</si>
  <si>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</si>
  <si>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</si>
  <si>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</si>
  <si>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</si>
  <si>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</si>
  <si>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</si>
  <si>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</si>
  <si>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</si>
  <si>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</si>
  <si>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</si>
  <si>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</si>
  <si>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</si>
  <si>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</si>
  <si>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</si>
  <si>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</si>
  <si>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</si>
  <si>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</si>
  <si>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</si>
  <si>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</si>
  <si>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</si>
  <si>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</si>
  <si>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</si>
  <si>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</si>
  <si>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</si>
  <si>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</si>
  <si>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</si>
  <si>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</si>
  <si>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</si>
  <si>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</si>
  <si>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</si>
  <si>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</si>
  <si>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</si>
  <si>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</si>
  <si>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</si>
  <si>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</si>
  <si>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</si>
  <si>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</si>
  <si>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</si>
  <si>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</si>
  <si>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</si>
  <si>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</si>
  <si>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</si>
  <si>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</si>
  <si>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</si>
  <si>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</si>
  <si>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</si>
  <si>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</si>
  <si>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</si>
  <si>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</si>
  <si>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</si>
  <si>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</si>
  <si>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</si>
  <si>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</si>
  <si>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</si>
  <si>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</si>
  <si>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</si>
  <si>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</si>
  <si>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</si>
  <si>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</si>
  <si>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</si>
  <si>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</si>
  <si>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</si>
  <si>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</si>
  <si>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</si>
  <si>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</si>
  <si>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</si>
  <si>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</si>
  <si>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</si>
  <si>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</si>
  <si>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</si>
  <si>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</si>
  <si>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</si>
  <si>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</si>
  <si>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</si>
  <si>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</si>
  <si>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</si>
  <si>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</si>
  <si>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</si>
  <si>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</si>
  <si>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</si>
  <si>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</si>
  <si>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</si>
  <si>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</si>
  <si>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</si>
  <si>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</si>
  <si>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</si>
  <si>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</si>
  <si>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</si>
  <si>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</si>
  <si>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</si>
  <si>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</si>
  <si>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</si>
  <si>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</si>
  <si>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</si>
  <si>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</si>
  <si>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</si>
  <si>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</si>
  <si>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</si>
  <si>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</si>
  <si>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</si>
  <si>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</si>
  <si>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</si>
  <si>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</si>
  <si>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</si>
  <si>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</si>
  <si>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</si>
  <si>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</si>
  <si>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</si>
  <si>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</si>
  <si>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</si>
  <si>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</si>
  <si>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</si>
  <si>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</si>
  <si>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</si>
  <si>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</si>
  <si>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</si>
  <si>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</si>
  <si>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</si>
  <si>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</si>
  <si>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</si>
  <si>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</si>
  <si>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</si>
  <si>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</si>
  <si>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</si>
  <si>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</si>
  <si>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</si>
  <si>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</si>
  <si>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</si>
  <si>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</si>
  <si>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</si>
  <si>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</si>
  <si>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</si>
  <si>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</si>
  <si>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</si>
  <si>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</si>
  <si>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</si>
  <si>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</si>
  <si>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</si>
  <si>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</si>
  <si>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</si>
  <si>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</si>
  <si>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</si>
  <si>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</si>
  <si>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</si>
  <si>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</si>
  <si>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</si>
  <si>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</si>
  <si>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</si>
  <si>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</si>
  <si>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</si>
  <si>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</si>
  <si>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</si>
  <si>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</si>
  <si>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</si>
  <si>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</si>
  <si>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</si>
  <si>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</si>
  <si>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</si>
  <si>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</si>
  <si>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</si>
  <si>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</si>
  <si>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</si>
  <si>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</si>
  <si>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</si>
  <si>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</si>
  <si>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</si>
  <si>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</si>
  <si>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</si>
  <si>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</si>
  <si>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</si>
  <si>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</si>
  <si>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</si>
  <si>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</si>
  <si>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</si>
  <si>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</si>
  <si>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</si>
  <si>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</si>
  <si>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</si>
  <si>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</si>
  <si>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</si>
  <si>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</si>
  <si>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</si>
  <si>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</si>
  <si>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</si>
  <si>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</si>
  <si>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</si>
  <si>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</si>
  <si>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</si>
  <si>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</si>
  <si>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</si>
  <si>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</si>
  <si>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</si>
  <si>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</si>
  <si>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</si>
  <si>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</si>
  <si>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</si>
  <si>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</si>
  <si>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</si>
  <si>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</si>
  <si>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</si>
  <si>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</si>
  <si>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</si>
  <si>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</si>
  <si>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</si>
  <si>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</si>
  <si>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</si>
  <si>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</si>
  <si>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</si>
  <si>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</si>
  <si>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</si>
  <si>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</si>
  <si>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</si>
  <si>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</si>
  <si>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</si>
  <si>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</si>
  <si>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</si>
  <si>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</si>
  <si>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</si>
  <si>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</si>
  <si>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</si>
  <si>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</si>
  <si>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</si>
  <si>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</si>
  <si>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</si>
  <si>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</si>
  <si>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</si>
  <si>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</si>
  <si>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</si>
  <si>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</si>
  <si>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</si>
  <si>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</si>
  <si>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</si>
  <si>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</si>
  <si>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</si>
  <si>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</si>
  <si>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</si>
  <si>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</si>
  <si>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</si>
  <si>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</si>
  <si>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</si>
  <si>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</si>
  <si>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</si>
  <si>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</si>
  <si>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</si>
  <si>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</si>
  <si>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</si>
  <si>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</si>
  <si>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</si>
  <si>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</si>
  <si>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</si>
  <si>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</si>
  <si>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</si>
  <si>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</si>
  <si>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</si>
  <si>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</si>
  <si>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</si>
  <si>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</si>
  <si>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</si>
  <si>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</si>
  <si>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</si>
  <si>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</si>
  <si>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</si>
  <si>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</si>
  <si>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</si>
  <si>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</si>
  <si>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</si>
  <si>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</si>
  <si>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</si>
  <si>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</si>
  <si>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</si>
  <si>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</si>
  <si>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</si>
  <si>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</si>
  <si>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</si>
  <si>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</si>
  <si>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</si>
  <si>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</si>
  <si>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</si>
  <si>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</si>
  <si>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</si>
  <si>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</si>
  <si>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</si>
  <si>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</si>
  <si>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</si>
  <si>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</si>
  <si>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</si>
  <si>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</si>
  <si>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</si>
  <si>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</si>
  <si>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</si>
  <si>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</si>
  <si>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</si>
  <si>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</si>
  <si>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</si>
  <si>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</si>
  <si>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</si>
  <si>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</si>
  <si>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</si>
  <si>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</si>
  <si>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</si>
  <si>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</si>
  <si>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</si>
  <si>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</si>
  <si>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</si>
  <si>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</si>
  <si>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</si>
  <si>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</si>
  <si>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</si>
  <si>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</si>
  <si>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</si>
  <si>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</si>
  <si>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</si>
  <si>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</si>
  <si>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</si>
  <si>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</si>
  <si>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</si>
  <si>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</si>
  <si>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</si>
  <si>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</si>
  <si>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</si>
  <si>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</si>
  <si>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</si>
  <si>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</si>
  <si>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</si>
  <si>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</si>
  <si>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</si>
  <si>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</si>
  <si>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</si>
  <si>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</si>
  <si>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</si>
  <si>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</si>
  <si>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</si>
  <si>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</si>
  <si>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</si>
  <si>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</si>
  <si>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</si>
  <si>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</si>
  <si>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</si>
  <si>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</si>
  <si>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</si>
  <si>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</si>
  <si>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</si>
  <si>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</si>
  <si>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</si>
  <si>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</si>
  <si>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</si>
  <si>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</si>
  <si>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</si>
  <si>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</si>
  <si>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</si>
  <si>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</si>
  <si>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</si>
  <si>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</si>
  <si>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</si>
  <si>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</si>
  <si>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</si>
  <si>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</si>
  <si>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</si>
  <si>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</si>
  <si>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</si>
  <si>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</si>
  <si>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</si>
  <si>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</si>
  <si>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</si>
  <si>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</si>
  <si>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</si>
  <si>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</si>
  <si>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</si>
  <si>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</si>
  <si>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</si>
  <si>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</si>
  <si>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</si>
  <si>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</si>
  <si>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</si>
  <si>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</si>
  <si>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</si>
  <si>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</si>
  <si>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</si>
  <si>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</si>
  <si>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</si>
  <si>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</si>
  <si>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</si>
  <si>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</si>
  <si>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</si>
  <si>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</si>
  <si>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</si>
  <si>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</si>
  <si>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</si>
  <si>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</si>
  <si>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</si>
  <si>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</si>
  <si>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</si>
  <si>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</si>
  <si>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</si>
  <si>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</si>
  <si>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</si>
  <si>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</si>
  <si>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</si>
  <si>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</si>
  <si>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</si>
  <si>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</si>
  <si>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</si>
  <si>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</si>
  <si>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</si>
  <si>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</si>
  <si>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</si>
  <si>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</si>
  <si>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</si>
  <si>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</si>
  <si>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</si>
  <si>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</si>
  <si>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</si>
  <si>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</si>
  <si>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</si>
  <si>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</si>
  <si>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</si>
  <si>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</si>
  <si>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</si>
  <si>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</si>
  <si>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</si>
  <si>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</si>
  <si>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</si>
  <si>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</si>
  <si>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</si>
  <si>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</si>
  <si>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</si>
  <si>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</si>
  <si>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</si>
  <si>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</si>
  <si>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</si>
  <si>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</si>
  <si>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</si>
  <si>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</si>
  <si>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</si>
  <si>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</si>
  <si>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</si>
  <si>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</si>
  <si>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</si>
  <si>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</si>
  <si>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</si>
  <si>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</si>
  <si>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</si>
  <si>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</si>
  <si>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</si>
  <si>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</si>
  <si>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</si>
  <si>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</si>
  <si>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</si>
  <si>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</si>
  <si>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</si>
  <si>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</si>
  <si>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</si>
  <si>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</si>
  <si>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</si>
  <si>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</si>
  <si>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</si>
  <si>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</si>
  <si>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</si>
  <si>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</si>
  <si>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</si>
  <si>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</si>
  <si>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</si>
  <si>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</si>
  <si>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</si>
  <si>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</si>
  <si>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</si>
  <si>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</si>
  <si>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</si>
  <si>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</si>
  <si>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</si>
  <si>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</si>
  <si>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</si>
  <si>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</si>
  <si>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</si>
  <si>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</si>
  <si>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</si>
  <si>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</si>
  <si>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</si>
  <si>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</si>
  <si>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</si>
  <si>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</si>
  <si>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</si>
  <si>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</si>
  <si>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</si>
  <si>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</si>
  <si>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</si>
  <si>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</si>
  <si>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</si>
  <si>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</si>
  <si>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</si>
  <si>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</si>
  <si>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</si>
  <si>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</si>
  <si>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</si>
  <si>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</si>
  <si>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</si>
  <si>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</si>
  <si>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</si>
  <si>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</si>
  <si>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</si>
  <si>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</si>
  <si>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</si>
  <si>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</si>
  <si>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</si>
  <si>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</si>
  <si>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</si>
  <si>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</si>
  <si>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</si>
  <si>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</si>
  <si>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</si>
  <si>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</si>
  <si>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</si>
  <si>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</si>
  <si>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</si>
  <si>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</si>
  <si>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</si>
  <si>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</si>
  <si>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</si>
  <si>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</si>
  <si>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</si>
  <si>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</si>
  <si>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</si>
  <si>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</si>
  <si>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</si>
  <si>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</si>
  <si>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</si>
  <si>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</si>
  <si>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</si>
  <si>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</si>
  <si>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</si>
  <si>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</si>
  <si>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</si>
  <si>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</si>
  <si>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</si>
  <si>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</si>
  <si>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</si>
  <si>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</si>
  <si>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</si>
  <si>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</si>
  <si>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</si>
  <si>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</si>
  <si>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</si>
  <si>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</si>
  <si>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</si>
  <si>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</si>
  <si>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</si>
  <si>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</si>
  <si>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</si>
  <si>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</si>
  <si>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</si>
  <si>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</si>
  <si>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</si>
  <si>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</si>
  <si>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</si>
  <si>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</si>
  <si>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</si>
  <si>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</si>
  <si>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</si>
  <si>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</si>
  <si>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</si>
  <si>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</si>
  <si>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</si>
  <si>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</si>
  <si>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</si>
  <si>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</si>
  <si>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</si>
  <si>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</si>
  <si>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</si>
  <si>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</si>
  <si>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</si>
  <si>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</si>
  <si>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</si>
  <si>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</si>
  <si>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</si>
  <si>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</si>
  <si>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</si>
  <si>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</si>
  <si>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</si>
  <si>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</si>
  <si>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</si>
  <si>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</si>
  <si>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</si>
  <si>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</si>
  <si>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</si>
  <si>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</si>
  <si>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</si>
  <si>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</si>
  <si>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</si>
  <si>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</si>
  <si>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</si>
  <si>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</si>
  <si>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</si>
  <si>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</si>
  <si>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</si>
  <si>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</si>
  <si>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</si>
  <si>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</si>
  <si>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</si>
  <si>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</si>
  <si>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</si>
  <si>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</si>
  <si>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</si>
  <si>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</si>
  <si>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</si>
  <si>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</si>
  <si>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</si>
  <si>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</si>
  <si>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</si>
  <si>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</si>
  <si>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</si>
  <si>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</si>
  <si>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</si>
  <si>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</si>
  <si>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</si>
  <si>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</si>
  <si>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</si>
  <si>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</si>
  <si>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</si>
  <si>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</si>
  <si>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</si>
  <si>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</si>
  <si>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</si>
  <si>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</si>
  <si>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</si>
  <si>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</si>
  <si>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</si>
  <si>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</si>
  <si>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</si>
  <si>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</si>
  <si>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</si>
  <si>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</si>
  <si>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</si>
  <si>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</si>
  <si>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</si>
  <si>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</si>
  <si>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</si>
  <si>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</si>
  <si>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</si>
  <si>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</si>
  <si>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</si>
  <si>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</si>
  <si>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</si>
  <si>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</si>
  <si>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</si>
  <si>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</si>
  <si>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</si>
  <si>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</si>
  <si>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</si>
  <si>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</si>
  <si>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</si>
  <si>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</si>
  <si>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</si>
  <si>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</si>
  <si>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</si>
  <si>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</si>
  <si>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</si>
  <si>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</si>
  <si>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</si>
  <si>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</si>
  <si>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</si>
  <si>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</si>
  <si>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</si>
  <si>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</si>
  <si>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</si>
  <si>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</si>
  <si>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</si>
  <si>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</si>
  <si>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</si>
  <si>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</si>
  <si>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</si>
  <si>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</si>
  <si>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</si>
  <si>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</si>
  <si>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</si>
  <si>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</si>
  <si>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</si>
  <si>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</si>
  <si>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</si>
  <si>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</si>
  <si>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</si>
  <si>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</si>
  <si>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</si>
  <si>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</si>
  <si>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</si>
  <si>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</si>
  <si>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</si>
  <si>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</si>
  <si>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</si>
  <si>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</si>
  <si>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</si>
  <si>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</si>
  <si>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</si>
  <si>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</si>
  <si>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</si>
  <si>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</si>
  <si>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</si>
  <si>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</si>
  <si>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</si>
  <si>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</si>
  <si>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</si>
  <si>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</si>
  <si>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</si>
  <si>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</si>
  <si>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</si>
  <si>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</si>
  <si>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</si>
  <si>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</si>
  <si>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</si>
  <si>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</si>
  <si>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</si>
  <si>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</si>
  <si>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</si>
  <si>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</si>
  <si>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</si>
  <si>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</si>
  <si>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</si>
  <si>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</si>
  <si>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</si>
  <si>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</si>
  <si>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</si>
  <si>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</si>
  <si>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</si>
  <si>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</si>
  <si>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</si>
  <si>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</si>
  <si>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</si>
  <si>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</si>
  <si>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</si>
  <si>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</si>
  <si>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</si>
  <si>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</si>
  <si>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</si>
  <si>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</si>
  <si>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</si>
  <si>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</si>
  <si>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</si>
  <si>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</si>
  <si>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</si>
  <si>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</si>
  <si>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</si>
  <si>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</si>
  <si>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</si>
  <si>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</si>
  <si>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</si>
  <si>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</si>
  <si>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</si>
  <si>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</si>
  <si>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</si>
  <si>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</si>
  <si>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</si>
  <si>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</si>
  <si>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</si>
  <si>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</si>
  <si>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</si>
  <si>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</si>
  <si>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</si>
  <si>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</si>
  <si>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</si>
  <si>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</si>
  <si>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</si>
  <si>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</si>
  <si>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</si>
  <si>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</si>
  <si>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</si>
  <si>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</si>
  <si>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</si>
  <si>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</si>
  <si>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</si>
  <si>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</si>
  <si>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</si>
  <si>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</si>
  <si>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</si>
  <si>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</si>
  <si>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</si>
  <si>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</si>
  <si>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</si>
  <si>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</si>
  <si>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</si>
  <si>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</si>
  <si>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</si>
  <si>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</si>
  <si>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</si>
  <si>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</si>
  <si>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</si>
  <si>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</si>
  <si>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</si>
  <si>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</si>
  <si>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</si>
  <si>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</si>
  <si>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</si>
  <si>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</si>
  <si>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</si>
  <si>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</si>
  <si>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</si>
  <si>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</si>
  <si>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</si>
  <si>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</si>
  <si>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</si>
  <si>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</si>
  <si>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</si>
  <si>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</si>
  <si>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</si>
  <si>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</si>
  <si>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</si>
  <si>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</si>
  <si>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</si>
  <si>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</si>
  <si>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</si>
  <si>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</si>
  <si>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</si>
  <si>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</si>
  <si>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</si>
  <si>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</si>
  <si>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</si>
  <si>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</si>
  <si>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</si>
  <si>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</si>
  <si>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</si>
  <si>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</si>
  <si>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</si>
  <si>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</si>
  <si>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</si>
  <si>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</si>
  <si>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</si>
  <si>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</si>
  <si>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</si>
  <si>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</si>
  <si>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</si>
  <si>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</si>
  <si>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</si>
  <si>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</si>
  <si>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</si>
  <si>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</si>
  <si>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</si>
  <si>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</si>
  <si>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</si>
  <si>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</si>
  <si>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</si>
  <si>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</si>
  <si>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</si>
  <si>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</si>
  <si>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</si>
  <si>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</si>
  <si>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</si>
  <si>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</si>
  <si>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</si>
  <si>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</si>
  <si>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</si>
  <si>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</si>
  <si>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</si>
  <si>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</si>
  <si>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</si>
  <si>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</si>
  <si>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</si>
  <si>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</si>
  <si>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</si>
  <si>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</si>
  <si>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</si>
  <si>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</si>
  <si>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</si>
  <si>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</si>
  <si>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</si>
  <si>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</si>
  <si>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</si>
  <si>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</si>
  <si>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</si>
  <si>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</si>
  <si>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</si>
  <si>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</si>
  <si>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</si>
  <si>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</si>
  <si>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</si>
  <si>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</si>
  <si>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</si>
  <si>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</si>
  <si>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</si>
  <si>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</si>
  <si>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</si>
  <si>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</si>
  <si>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</si>
  <si>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</si>
  <si>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</si>
  <si>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</si>
  <si>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</si>
  <si>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</si>
  <si>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</si>
  <si>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</si>
  <si>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</si>
  <si>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</si>
  <si>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</si>
  <si>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</si>
  <si>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</si>
  <si>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</si>
  <si>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</si>
  <si>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</si>
  <si>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</si>
  <si>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</si>
  <si>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</si>
  <si>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</si>
  <si>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</si>
  <si>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</si>
  <si>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</si>
  <si>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</si>
  <si>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</si>
  <si>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</si>
  <si>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</si>
  <si>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</si>
  <si>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</si>
  <si>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</si>
  <si>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</si>
  <si>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</si>
  <si>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</si>
  <si>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</si>
  <si>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</si>
  <si>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</si>
  <si>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</si>
  <si>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</si>
  <si>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</si>
  <si>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</si>
  <si>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</si>
  <si>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</si>
  <si>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</si>
  <si>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</si>
  <si>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</si>
  <si>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</si>
  <si>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</si>
  <si>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</si>
  <si>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</si>
  <si>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</si>
  <si>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</si>
  <si>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</si>
  <si>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</si>
  <si>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</si>
  <si>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</si>
  <si>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</si>
  <si>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</si>
  <si>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</si>
  <si>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</si>
  <si>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</si>
  <si>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</si>
  <si>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</si>
  <si>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</si>
  <si>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</si>
  <si>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</si>
  <si>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</si>
  <si>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</si>
  <si>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</si>
  <si>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</si>
  <si>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</si>
  <si>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</si>
  <si>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</si>
  <si>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</si>
  <si>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</si>
  <si>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</si>
  <si>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</si>
  <si>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</si>
  <si>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</si>
  <si>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</si>
  <si>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</si>
  <si>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</si>
  <si>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</si>
  <si>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</si>
  <si>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</si>
  <si>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</si>
  <si>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</si>
  <si>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</si>
  <si>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</si>
  <si>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</si>
  <si>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</si>
  <si>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</si>
  <si>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</si>
  <si>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</si>
  <si>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</si>
  <si>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</si>
  <si>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</si>
  <si>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</si>
  <si>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</si>
  <si>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</si>
  <si>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</si>
  <si>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</si>
  <si>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</si>
  <si>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</si>
  <si>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</si>
  <si>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</si>
  <si>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</si>
  <si>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</si>
  <si>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</si>
  <si>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</si>
  <si>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</si>
  <si>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</si>
  <si>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</si>
  <si>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</si>
  <si>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</si>
  <si>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</si>
  <si>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</si>
  <si>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</si>
  <si>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</si>
  <si>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</si>
  <si>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</si>
  <si>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</si>
  <si>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</si>
  <si>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</si>
  <si>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</si>
  <si>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</si>
  <si>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</si>
  <si>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</si>
  <si>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</si>
  <si>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</si>
  <si>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</si>
  <si>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</si>
  <si>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</si>
  <si>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</si>
  <si>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</si>
  <si>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</si>
  <si>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</si>
  <si>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</si>
  <si>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</si>
  <si>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</si>
  <si>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</si>
  <si>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</si>
  <si>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</si>
  <si>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</si>
  <si>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</si>
  <si>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</si>
  <si>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</si>
  <si>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</si>
  <si>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</si>
  <si>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</si>
  <si>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</si>
  <si>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</si>
  <si>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</si>
  <si>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</si>
  <si>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</si>
  <si>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</si>
  <si>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</si>
  <si>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</si>
  <si>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</si>
  <si>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</si>
  <si>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</si>
  <si>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</si>
  <si>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</si>
  <si>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</si>
  <si>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</si>
  <si>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</si>
  <si>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</si>
  <si>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</si>
  <si>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</si>
  <si>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</si>
  <si>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</si>
  <si>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</si>
  <si>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</si>
  <si>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</si>
  <si>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</si>
  <si>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</si>
  <si>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</si>
  <si>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</si>
  <si>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</si>
  <si>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</si>
  <si>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</si>
  <si>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</si>
  <si>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</si>
  <si>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</si>
  <si>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</si>
  <si>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</si>
  <si>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</si>
  <si>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</si>
  <si>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</si>
  <si>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</si>
  <si>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</si>
  <si>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</si>
  <si>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</si>
  <si>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</si>
  <si>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</si>
  <si>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</si>
  <si>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</si>
  <si>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</si>
  <si>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</si>
  <si>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</si>
  <si>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</si>
  <si>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</si>
  <si>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</si>
  <si>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</si>
  <si>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</si>
  <si>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</si>
  <si>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</si>
  <si>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</si>
  <si>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</si>
  <si>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</si>
  <si>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</si>
  <si>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</si>
  <si>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</si>
  <si>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</si>
  <si>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</si>
  <si>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</si>
  <si>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</si>
  <si>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</si>
  <si>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</si>
  <si>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</si>
  <si>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</si>
  <si>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</si>
  <si>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</si>
  <si>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</si>
  <si>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</si>
  <si>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</si>
  <si>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</si>
  <si>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</si>
  <si>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</si>
  <si>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</si>
  <si>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</si>
  <si>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</si>
  <si>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</si>
  <si>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</si>
  <si>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</si>
  <si>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</si>
  <si>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</si>
  <si>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</si>
  <si>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</si>
  <si>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</si>
  <si>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</si>
  <si>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</si>
  <si>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</si>
  <si>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</si>
  <si>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</si>
  <si>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</si>
  <si>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</si>
  <si>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</si>
  <si>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</si>
  <si>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</si>
  <si>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</si>
  <si>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</si>
  <si>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</si>
  <si>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</si>
  <si>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</si>
  <si>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</si>
  <si>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</si>
  <si>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</si>
  <si>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</si>
  <si>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</si>
  <si>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</si>
  <si>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</si>
  <si>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</si>
  <si>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</si>
  <si>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</si>
  <si>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</si>
  <si>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</si>
  <si>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</si>
  <si>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</si>
  <si>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</si>
  <si>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</si>
  <si>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</si>
  <si>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</si>
  <si>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</si>
  <si>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</si>
  <si>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</si>
  <si>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</si>
  <si>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</si>
  <si>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</si>
  <si>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</si>
  <si>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</si>
  <si>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</si>
  <si>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</si>
  <si>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</si>
  <si>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</si>
  <si>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</si>
  <si>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</si>
  <si>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</si>
  <si>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</si>
  <si>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</si>
  <si>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</si>
  <si>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</si>
  <si>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</si>
  <si>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</si>
  <si>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</si>
  <si>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</si>
  <si>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</si>
  <si>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</si>
  <si>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</si>
  <si>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</si>
  <si>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</si>
  <si>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</si>
  <si>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</si>
  <si>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</si>
  <si>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</si>
  <si>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</si>
  <si>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</si>
  <si>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</si>
  <si>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</si>
  <si>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</si>
  <si>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</si>
  <si>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</si>
  <si>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</si>
  <si>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</si>
  <si>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</si>
  <si>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</si>
  <si>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</si>
  <si>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</si>
  <si>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</si>
  <si>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</si>
  <si>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</si>
  <si>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</si>
  <si>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</si>
  <si>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</si>
  <si>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</si>
  <si>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</si>
  <si>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</si>
  <si>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</si>
  <si>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</si>
  <si>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</si>
  <si>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</si>
  <si>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</si>
  <si>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</si>
  <si>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</si>
  <si>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</si>
  <si>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</si>
  <si>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</si>
  <si>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</si>
  <si>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</si>
  <si>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</si>
  <si>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</si>
  <si>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</si>
  <si>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</si>
  <si>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</si>
  <si>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</si>
  <si>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</si>
  <si>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</si>
  <si>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</si>
  <si>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</si>
  <si>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</si>
  <si>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</si>
  <si>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</si>
  <si>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</si>
  <si>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</si>
  <si>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</si>
  <si>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</si>
  <si>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</si>
  <si>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</si>
  <si>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</si>
  <si>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</si>
  <si>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</si>
  <si>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</si>
  <si>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</si>
  <si>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</si>
  <si>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</si>
  <si>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</si>
  <si>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</si>
  <si>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</si>
  <si>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</si>
  <si>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</si>
  <si>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</si>
  <si>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</si>
  <si>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</si>
  <si>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</si>
  <si>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</si>
  <si>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</si>
  <si>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</si>
  <si>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</si>
  <si>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</si>
  <si>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</si>
  <si>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</si>
  <si>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</si>
  <si>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</si>
  <si>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</si>
  <si>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</si>
  <si>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</si>
  <si>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</si>
  <si>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</si>
  <si>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</si>
  <si>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</si>
  <si>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</si>
  <si>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</si>
  <si>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</si>
  <si>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</si>
  <si>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</si>
  <si>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</si>
  <si>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</si>
  <si>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</si>
  <si>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</si>
  <si>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</si>
  <si>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</si>
  <si>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</si>
  <si>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</si>
  <si>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</si>
  <si>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</si>
  <si>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</si>
  <si>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</si>
  <si>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</si>
  <si>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</si>
  <si>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</si>
  <si>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</si>
  <si>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</si>
  <si>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</si>
  <si>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</si>
  <si>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</si>
  <si>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</si>
  <si>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</si>
  <si>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</si>
  <si>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</si>
  <si>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</si>
  <si>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</si>
  <si>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</si>
  <si>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</si>
  <si>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</si>
  <si>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</si>
  <si>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</si>
  <si>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</si>
  <si>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</si>
  <si>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</si>
  <si>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</si>
  <si>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</si>
  <si>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</si>
  <si>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</si>
  <si>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</si>
  <si>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</si>
  <si>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</si>
  <si>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</si>
  <si>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</si>
  <si>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</si>
  <si>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</si>
  <si>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</si>
  <si>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</si>
  <si>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</si>
  <si>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</si>
  <si>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</si>
  <si>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</si>
  <si>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</si>
  <si>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</si>
  <si>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</si>
  <si>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</si>
  <si>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</si>
  <si>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</si>
  <si>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</si>
  <si>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</si>
  <si>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</si>
  <si>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</si>
  <si>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</si>
  <si>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</si>
  <si>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</si>
  <si>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</si>
  <si>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</si>
  <si>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</si>
  <si>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</si>
  <si>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</si>
  <si>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</si>
  <si>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</si>
  <si>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</si>
  <si>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</si>
  <si>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</si>
  <si>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</si>
  <si>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</si>
  <si>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</si>
  <si>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</si>
  <si>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</si>
  <si>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</si>
  <si>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</si>
  <si>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</si>
  <si>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</si>
  <si>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</si>
  <si>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</si>
  <si>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</si>
  <si>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</si>
  <si>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</si>
  <si>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</si>
  <si>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</si>
  <si>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</si>
  <si>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</si>
  <si>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</si>
  <si>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</si>
  <si>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</si>
  <si>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</si>
  <si>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</si>
  <si>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</si>
  <si>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</si>
  <si>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</si>
  <si>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</si>
  <si>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</si>
  <si>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</si>
  <si>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</si>
  <si>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</si>
  <si>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</si>
  <si>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</si>
  <si>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</si>
  <si>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</si>
  <si>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</si>
  <si>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</si>
  <si>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</si>
  <si>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</si>
  <si>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</si>
  <si>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</si>
  <si>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</si>
  <si>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</si>
  <si>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</si>
  <si>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</si>
  <si>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</si>
  <si>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</si>
  <si>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</si>
  <si>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</si>
  <si>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</si>
  <si>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</si>
  <si>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</si>
  <si>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</si>
  <si>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</si>
  <si>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</si>
  <si>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</si>
  <si>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</si>
  <si>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</si>
  <si>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</si>
  <si>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</si>
  <si>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</si>
  <si>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</si>
  <si>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</si>
  <si>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</si>
  <si>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</si>
  <si>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</si>
  <si>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</si>
  <si>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</si>
  <si>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</si>
  <si>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</si>
  <si>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</si>
  <si>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</si>
  <si>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</si>
  <si>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</si>
  <si>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</si>
  <si>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</si>
  <si>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</si>
  <si>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</si>
  <si>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</si>
  <si>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</si>
  <si>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</si>
  <si>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</si>
  <si>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</si>
  <si>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</si>
  <si>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</si>
  <si>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</si>
  <si>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</si>
  <si>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</si>
  <si>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</si>
  <si>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</si>
  <si>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</si>
  <si>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</si>
  <si>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</si>
  <si>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</si>
  <si>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</si>
  <si>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</si>
  <si>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</si>
  <si>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</si>
  <si>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</si>
  <si>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</si>
  <si>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</si>
  <si>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</si>
  <si>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</si>
  <si>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</si>
  <si>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</si>
  <si>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</si>
  <si>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</si>
  <si>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</si>
  <si>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</si>
  <si>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</si>
  <si>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</si>
  <si>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</si>
  <si>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</si>
  <si>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</si>
  <si>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</si>
  <si>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</si>
  <si>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</si>
  <si>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</si>
  <si>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</si>
  <si>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</si>
  <si>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</si>
  <si>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</si>
  <si>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</si>
  <si>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</si>
  <si>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</si>
  <si>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</si>
  <si>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</si>
  <si>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</si>
  <si>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</si>
  <si>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</si>
  <si>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</si>
  <si>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</si>
  <si>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</si>
  <si>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</si>
  <si>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</si>
  <si>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</si>
  <si>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</si>
  <si>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</si>
  <si>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</si>
  <si>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</si>
  <si>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</si>
  <si>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</si>
  <si>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</si>
  <si>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</si>
  <si>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</si>
  <si>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</si>
  <si>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</si>
  <si>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</si>
  <si>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</si>
  <si>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</si>
  <si>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</si>
  <si>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</si>
  <si>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</si>
  <si>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</si>
  <si>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</si>
  <si>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</si>
  <si>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</si>
  <si>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</si>
  <si>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</si>
  <si>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</si>
  <si>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</si>
  <si>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</si>
  <si>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</si>
  <si>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</si>
  <si>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</si>
  <si>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</si>
  <si>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</si>
  <si>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</si>
  <si>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</si>
  <si>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</si>
  <si>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</si>
  <si>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</si>
  <si>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</si>
  <si>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</si>
  <si>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</si>
  <si>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</si>
  <si>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</si>
  <si>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</si>
  <si>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</si>
  <si>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</si>
  <si>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</si>
  <si>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</si>
  <si>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</si>
  <si>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</si>
  <si>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</si>
  <si>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</si>
  <si>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</si>
  <si>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</si>
  <si>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</si>
  <si>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</si>
  <si>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</si>
  <si>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</si>
  <si>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</si>
  <si>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</si>
  <si>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</si>
  <si>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</si>
  <si>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</si>
  <si>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</si>
  <si>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</si>
  <si>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</si>
  <si>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</si>
  <si>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</si>
  <si>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</si>
  <si>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</si>
  <si>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</si>
  <si>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</si>
  <si>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</si>
  <si>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</si>
  <si>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</si>
  <si>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</si>
  <si>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</si>
  <si>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</si>
  <si>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</si>
  <si>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</si>
  <si>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</si>
  <si>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</si>
  <si>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</si>
  <si>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</si>
  <si>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</si>
  <si>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</si>
  <si>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</si>
  <si>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</si>
  <si>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</si>
  <si>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</si>
  <si>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</si>
  <si>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</si>
  <si>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</si>
  <si>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</si>
  <si>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</si>
  <si>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</si>
  <si>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</si>
  <si>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</si>
  <si>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</si>
  <si>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</si>
  <si>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</si>
  <si>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</si>
  <si>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</si>
  <si>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</si>
  <si>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</si>
  <si>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</si>
  <si>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</si>
  <si>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</si>
  <si>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</si>
  <si>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</si>
  <si>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</si>
  <si>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</si>
  <si>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</si>
  <si>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</si>
  <si>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</si>
  <si>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</si>
  <si>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</si>
  <si>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</si>
  <si>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</si>
  <si>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</si>
  <si>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</si>
  <si>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</si>
  <si>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</si>
  <si>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</si>
  <si>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</si>
  <si>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</si>
  <si>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</si>
  <si>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</si>
  <si>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</si>
  <si>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</si>
  <si>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</si>
  <si>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</si>
  <si>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</si>
  <si>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</si>
  <si>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</si>
  <si>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</si>
  <si>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</si>
  <si>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</si>
  <si>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</si>
  <si>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</si>
  <si>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</si>
  <si>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</si>
  <si>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</si>
  <si>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</si>
  <si>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</si>
  <si>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</si>
  <si>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</si>
  <si>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</si>
  <si>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</si>
  <si>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</si>
  <si>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</si>
  <si>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</si>
  <si>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</si>
  <si>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</si>
  <si>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</si>
  <si>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</si>
  <si>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</si>
  <si>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</si>
  <si>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</si>
  <si>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</si>
  <si>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</si>
  <si>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</si>
  <si>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</si>
  <si>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</si>
  <si>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</si>
  <si>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</si>
  <si>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</si>
  <si>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</si>
  <si>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</si>
  <si>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</si>
  <si>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</si>
  <si>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</si>
  <si>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</si>
  <si>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</si>
  <si>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</si>
  <si>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</si>
  <si>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</si>
  <si>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</si>
  <si>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</si>
  <si>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</si>
  <si>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</si>
  <si>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</si>
  <si>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</si>
  <si>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</si>
  <si>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</si>
  <si>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</si>
  <si>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</si>
  <si>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</si>
  <si>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</si>
  <si>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</si>
  <si>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</si>
  <si>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</si>
  <si>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</si>
  <si>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</si>
  <si>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</si>
  <si>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</si>
  <si>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</si>
  <si>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</si>
  <si>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</si>
  <si>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</si>
  <si>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</si>
  <si>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</si>
  <si>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</si>
  <si>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</si>
  <si>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</si>
  <si>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</si>
  <si>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</si>
  <si>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</si>
  <si>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</si>
  <si>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</si>
  <si>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</si>
  <si>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</si>
  <si>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</si>
  <si>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</si>
  <si>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</si>
  <si>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</si>
  <si>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</si>
  <si>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</si>
  <si>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</si>
  <si>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</si>
  <si>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</si>
  <si>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</si>
  <si>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</si>
  <si>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</si>
  <si>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</si>
  <si>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</si>
  <si>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</si>
  <si>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</si>
  <si>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</si>
  <si>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</si>
  <si>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</si>
  <si>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</si>
  <si>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</si>
  <si>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</si>
  <si>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</si>
  <si>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</si>
  <si>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</si>
  <si>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</si>
  <si>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</si>
  <si>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</si>
  <si>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</si>
  <si>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</si>
  <si>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</si>
  <si>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</si>
  <si>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</si>
  <si>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</si>
  <si>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</si>
  <si>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</si>
  <si>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</si>
  <si>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</si>
  <si>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</si>
  <si>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</si>
  <si>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</si>
  <si>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</si>
  <si>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</si>
  <si>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</si>
  <si>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</si>
  <si>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</si>
  <si>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</si>
  <si>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</si>
  <si>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</si>
  <si>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</si>
  <si>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</si>
  <si>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</si>
  <si>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</si>
  <si>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</si>
  <si>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</si>
  <si>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</si>
  <si>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</si>
  <si>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</si>
  <si>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</si>
  <si>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</si>
  <si>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</si>
  <si>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</si>
  <si>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</si>
  <si>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</si>
  <si>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</si>
  <si>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</si>
  <si>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</si>
  <si>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</si>
  <si>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</si>
  <si>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</si>
  <si>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</si>
  <si>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</si>
  <si>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</si>
  <si>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</si>
  <si>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</si>
  <si>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</si>
  <si>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</si>
  <si>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</si>
  <si>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</si>
  <si>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</si>
  <si>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</si>
  <si>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</si>
  <si>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</si>
  <si>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</si>
  <si>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</si>
  <si>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</si>
  <si>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</si>
  <si>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</si>
  <si>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</si>
  <si>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</si>
  <si>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</si>
  <si>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</si>
  <si>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</si>
  <si>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</si>
  <si>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</si>
  <si>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</si>
  <si>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</si>
  <si>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</si>
  <si>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</si>
  <si>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</si>
  <si>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</si>
  <si>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</si>
  <si>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</si>
  <si>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</si>
  <si>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</si>
  <si>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</si>
  <si>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</si>
  <si>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</si>
  <si>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</si>
  <si>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</si>
  <si>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</si>
  <si>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</si>
  <si>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</si>
  <si>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</si>
  <si>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</si>
  <si>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</si>
  <si>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</si>
  <si>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</si>
  <si>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</si>
  <si>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</si>
  <si>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</si>
  <si>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</si>
  <si>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</si>
  <si>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</si>
  <si>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</si>
  <si>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</si>
  <si>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</si>
  <si>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</si>
  <si>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</si>
  <si>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</si>
  <si>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</si>
  <si>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</si>
  <si>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</si>
  <si>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</si>
  <si>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</si>
  <si>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</si>
  <si>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</si>
  <si>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</si>
  <si>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</si>
  <si>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</si>
  <si>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</si>
  <si>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</si>
  <si>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</si>
  <si>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</si>
  <si>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</si>
  <si>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</si>
  <si>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</si>
  <si>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</si>
  <si>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</si>
  <si>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</si>
  <si>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</si>
  <si>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</si>
  <si>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</si>
  <si>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</si>
  <si>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</si>
  <si>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</si>
  <si>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</si>
  <si>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</si>
  <si>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</si>
  <si>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</si>
  <si>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</si>
  <si>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</si>
  <si>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</si>
  <si>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</si>
  <si>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</si>
  <si>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</si>
  <si>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</si>
  <si>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</si>
  <si>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</si>
  <si>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</si>
  <si>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</si>
  <si>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</si>
  <si>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</si>
  <si>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</si>
  <si>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</si>
  <si>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</si>
  <si>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</si>
  <si>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</si>
  <si>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</si>
  <si>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</si>
  <si>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</si>
  <si>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</si>
  <si>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</si>
  <si>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</si>
  <si>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</si>
  <si>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</si>
  <si>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</si>
  <si>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</si>
  <si>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</si>
  <si>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</si>
  <si>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</si>
  <si>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</si>
  <si>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</si>
  <si>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</si>
  <si>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</si>
  <si>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</si>
  <si>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</si>
  <si>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</si>
  <si>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</si>
  <si>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</si>
  <si>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</si>
  <si>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</si>
  <si>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</si>
  <si>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</si>
  <si>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</si>
  <si>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</si>
  <si>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</si>
  <si>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</si>
  <si>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</si>
  <si>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</si>
  <si>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</si>
  <si>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</si>
  <si>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</si>
  <si>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</si>
  <si>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</si>
  <si>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</si>
  <si>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</si>
  <si>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</si>
  <si>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</si>
  <si>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</si>
  <si>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</si>
  <si>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</si>
  <si>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</si>
  <si>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</si>
  <si>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</si>
  <si>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</si>
  <si>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</si>
  <si>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</si>
  <si>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</si>
  <si>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</si>
  <si>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</si>
  <si>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</si>
  <si>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</si>
  <si>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</si>
  <si>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</si>
  <si>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</si>
  <si>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</si>
  <si>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</si>
  <si>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</si>
  <si>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</si>
  <si>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</si>
  <si>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</si>
  <si>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</si>
  <si>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</si>
  <si>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</si>
  <si>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</si>
  <si>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</si>
  <si>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</si>
  <si>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</si>
  <si>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</si>
  <si>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</si>
  <si>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</si>
  <si>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</si>
  <si>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</si>
  <si>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</si>
  <si>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</si>
  <si>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</si>
  <si>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</si>
  <si>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</si>
  <si>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</si>
  <si>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</si>
  <si>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</si>
  <si>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</si>
  <si>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</si>
  <si>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</si>
  <si>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</si>
  <si>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</si>
  <si>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</si>
  <si>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</si>
  <si>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</si>
  <si>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</si>
  <si>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</si>
  <si>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</si>
  <si>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</si>
  <si>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</si>
  <si>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</si>
  <si>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</si>
  <si>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</si>
  <si>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</si>
  <si>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</si>
  <si>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</si>
  <si>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</si>
  <si>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</si>
  <si>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</si>
  <si>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</si>
  <si>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</si>
  <si>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</si>
  <si>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</si>
  <si>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</si>
  <si>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</si>
  <si>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</si>
  <si>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</si>
  <si>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</si>
  <si>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</si>
  <si>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</si>
  <si>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</si>
  <si>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</si>
  <si>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</si>
  <si>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</si>
  <si>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</si>
  <si>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</si>
  <si>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</si>
  <si>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</si>
  <si>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</si>
  <si>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</si>
  <si>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</si>
  <si>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</si>
  <si>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</si>
  <si>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</si>
  <si>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</si>
  <si>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</si>
  <si>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</si>
  <si>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</si>
  <si>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</si>
  <si>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</si>
  <si>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</si>
  <si>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</si>
  <si>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</si>
  <si>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</si>
  <si>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</si>
  <si>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</si>
  <si>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</si>
  <si>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</si>
  <si>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</si>
  <si>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</si>
  <si>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</si>
  <si>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</si>
  <si>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</si>
  <si>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</si>
  <si>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</si>
  <si>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</si>
  <si>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</si>
  <si>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</si>
  <si>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</si>
  <si>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</si>
  <si>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</si>
  <si>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</si>
  <si>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</si>
  <si>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</si>
  <si>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</si>
  <si>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</si>
  <si>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</si>
  <si>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</si>
  <si>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</si>
  <si>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</si>
  <si>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</si>
  <si>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</si>
  <si>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</si>
  <si>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</si>
  <si>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</si>
  <si>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</si>
  <si>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</si>
  <si>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</si>
  <si>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</si>
  <si>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</si>
  <si>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</si>
  <si>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</si>
  <si>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</si>
  <si>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</si>
  <si>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</si>
  <si>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</si>
  <si>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</si>
  <si>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</si>
  <si>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</si>
  <si>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</si>
  <si>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</si>
  <si>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</si>
  <si>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</si>
  <si>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</si>
  <si>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</si>
  <si>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</si>
  <si>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</si>
  <si>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</si>
  <si>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</si>
  <si>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</si>
  <si>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</si>
  <si>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</si>
  <si>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</si>
  <si>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</si>
  <si>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</si>
  <si>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</si>
  <si>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</si>
  <si>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</si>
  <si>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</si>
  <si>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</si>
  <si>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</si>
  <si>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</si>
  <si>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</si>
  <si>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</si>
  <si>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</si>
  <si>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</si>
  <si>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</si>
  <si>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</si>
  <si>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</si>
  <si>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</si>
  <si>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</si>
  <si>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</si>
  <si>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</si>
  <si>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</si>
  <si>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</si>
  <si>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</si>
  <si>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</si>
  <si>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</si>
  <si>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</si>
  <si>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</si>
  <si>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</si>
  <si>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</si>
  <si>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</si>
  <si>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</si>
  <si>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</si>
  <si>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</si>
  <si>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</si>
  <si>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</si>
  <si>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</si>
  <si>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</si>
  <si>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</si>
  <si>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</si>
  <si>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</si>
  <si>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</si>
  <si>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</si>
  <si>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</si>
  <si>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</si>
  <si>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</si>
  <si>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</si>
  <si>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</si>
  <si>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</si>
  <si>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</si>
  <si>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</si>
  <si>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</si>
  <si>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</si>
  <si>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</si>
  <si>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</si>
  <si>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</si>
  <si>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</si>
  <si>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</si>
  <si>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</si>
  <si>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</si>
  <si>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</si>
  <si>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</si>
  <si>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</si>
  <si>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</si>
  <si>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</si>
  <si>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</si>
  <si>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</si>
  <si>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</si>
  <si>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</si>
  <si>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</si>
  <si>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</si>
  <si>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</si>
  <si>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</si>
  <si>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</si>
  <si>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</si>
  <si>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</si>
  <si>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</si>
  <si>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</si>
  <si>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</si>
  <si>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</si>
  <si>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</si>
  <si>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</si>
  <si>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</si>
  <si>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</si>
  <si>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</si>
  <si>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</si>
  <si>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</si>
  <si>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</si>
  <si>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</si>
  <si>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</si>
  <si>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</si>
  <si>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</si>
  <si>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</si>
  <si>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</si>
  <si>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</si>
  <si>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</si>
  <si>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</si>
  <si>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</si>
  <si>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</si>
  <si>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</si>
  <si>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</si>
  <si>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</si>
  <si>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</si>
  <si>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</si>
  <si>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</si>
  <si>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</si>
  <si>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</si>
  <si>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</si>
  <si>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</si>
  <si>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</si>
  <si>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</si>
  <si>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</si>
  <si>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</si>
  <si>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</si>
  <si>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</si>
  <si>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</si>
  <si>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</si>
  <si>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</si>
  <si>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</si>
  <si>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</si>
  <si>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</si>
  <si>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</si>
  <si>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</si>
  <si>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</si>
  <si>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</si>
  <si>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</si>
  <si>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</si>
  <si>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</si>
  <si>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</si>
  <si>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</si>
  <si>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</si>
  <si>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</si>
  <si>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</si>
  <si>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</si>
  <si>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</si>
  <si>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</si>
  <si>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</si>
  <si>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</si>
  <si>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</si>
  <si>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</si>
  <si>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</si>
  <si>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</si>
  <si>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</si>
  <si>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</si>
  <si>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</si>
  <si>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</si>
  <si>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</si>
  <si>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</si>
  <si>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</si>
  <si>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</si>
  <si>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</si>
  <si>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</si>
  <si>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</si>
  <si>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</si>
  <si>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</si>
  <si>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</si>
  <si>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</si>
  <si>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</si>
  <si>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</si>
  <si>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</si>
  <si>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</si>
  <si>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</si>
  <si>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</si>
  <si>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</si>
  <si>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</si>
  <si>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</si>
  <si>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</si>
  <si>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</si>
  <si>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</si>
  <si>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</si>
  <si>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</si>
  <si>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</si>
  <si>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</si>
  <si>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</si>
  <si>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</si>
  <si>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</si>
  <si>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</si>
  <si>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</si>
  <si>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</si>
  <si>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</si>
  <si>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</si>
  <si>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</si>
  <si>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</si>
  <si>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</si>
  <si>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</si>
  <si>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</si>
  <si>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</si>
  <si>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</si>
  <si>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</si>
  <si>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</si>
  <si>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</si>
  <si>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</si>
  <si>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</si>
  <si>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</si>
  <si>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</si>
  <si>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</si>
  <si>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</si>
  <si>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</si>
  <si>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</si>
  <si>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</si>
  <si>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</si>
  <si>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</si>
  <si>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</si>
  <si>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</si>
  <si>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</si>
  <si>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</si>
  <si>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</si>
  <si>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</si>
  <si>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</si>
  <si>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</si>
  <si>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</si>
  <si>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</si>
  <si>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</si>
  <si>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</si>
  <si>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</si>
  <si>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</si>
  <si>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</si>
  <si>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</si>
  <si>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</si>
  <si>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</si>
  <si>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</si>
  <si>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</si>
  <si>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</si>
  <si>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</si>
  <si>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</si>
  <si>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</si>
  <si>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</si>
  <si>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</si>
  <si>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</si>
  <si>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</si>
  <si>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</si>
  <si>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</si>
  <si>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</si>
  <si>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</si>
  <si>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</si>
  <si>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</si>
  <si>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</si>
  <si>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</si>
  <si>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</si>
  <si>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</si>
  <si>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</si>
  <si>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</si>
  <si>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</si>
  <si>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</si>
  <si>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</si>
  <si>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</si>
  <si>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</si>
  <si>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</si>
  <si>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</si>
  <si>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</si>
  <si>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</si>
  <si>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</si>
  <si>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</si>
  <si>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</si>
  <si>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</si>
  <si>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</si>
  <si>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</si>
  <si>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</si>
  <si>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</si>
  <si>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</si>
  <si>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</si>
  <si>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</si>
  <si>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</si>
  <si>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</si>
  <si>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</si>
  <si>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</si>
  <si>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</si>
  <si>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</si>
  <si>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</si>
  <si>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</si>
  <si>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</si>
  <si>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</si>
  <si>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</si>
  <si>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</si>
  <si>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</si>
  <si>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</si>
  <si>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</si>
  <si>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</si>
  <si>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</si>
  <si>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</si>
  <si>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</si>
  <si>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</si>
  <si>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</si>
  <si>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</si>
  <si>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</si>
  <si>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</si>
  <si>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</si>
  <si>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</si>
  <si>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</si>
  <si>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</si>
  <si>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</si>
  <si>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</si>
  <si>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</si>
  <si>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</si>
  <si>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</si>
  <si>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</si>
  <si>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</si>
  <si>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</si>
  <si>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</si>
  <si>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</si>
  <si>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</si>
  <si>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</si>
  <si>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</si>
  <si>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</si>
  <si>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</si>
  <si>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</si>
  <si>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</si>
  <si>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</si>
  <si>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</si>
  <si>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</si>
  <si>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</si>
  <si>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</si>
  <si>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</si>
  <si>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</si>
  <si>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</si>
  <si>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</si>
  <si>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</si>
  <si>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</si>
  <si>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</si>
  <si>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</si>
  <si>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</si>
  <si>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</si>
  <si>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</si>
  <si>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</si>
  <si>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</si>
  <si>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</si>
  <si>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</si>
  <si>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</si>
  <si>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</si>
  <si>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</si>
  <si>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</si>
  <si>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</si>
  <si>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</si>
  <si>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</si>
  <si>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</si>
  <si>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</si>
  <si>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</si>
  <si>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</si>
  <si>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</si>
  <si>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</si>
  <si>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</si>
  <si>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</si>
  <si>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</si>
  <si>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</si>
  <si>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</si>
  <si>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</si>
  <si>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</si>
  <si>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</si>
  <si>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</si>
  <si>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</si>
  <si>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</si>
  <si>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</si>
  <si>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</si>
  <si>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</si>
  <si>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</si>
  <si>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</si>
  <si>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</si>
  <si>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</si>
  <si>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</si>
  <si>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</si>
  <si>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</si>
  <si>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</si>
  <si>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</si>
  <si>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</si>
  <si>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</si>
  <si>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</si>
  <si>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</si>
  <si>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</si>
  <si>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</si>
  <si>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</si>
  <si>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</si>
  <si>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</si>
  <si>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</si>
  <si>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</si>
  <si>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</si>
  <si>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</si>
  <si>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</si>
  <si>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</si>
  <si>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</si>
  <si>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</si>
  <si>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</si>
  <si>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</si>
  <si>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</si>
  <si>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</si>
  <si>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</si>
  <si>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</si>
  <si>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</si>
  <si>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</si>
  <si>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</si>
  <si>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</si>
  <si>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</si>
  <si>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</si>
  <si>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</si>
  <si>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</si>
  <si>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</si>
  <si>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</si>
  <si>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</si>
  <si>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</si>
  <si>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</si>
  <si>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</si>
  <si>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</si>
  <si>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</si>
  <si>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</si>
  <si>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</si>
  <si>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</si>
  <si>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</si>
  <si>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</si>
  <si>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</si>
  <si>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</si>
  <si>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</si>
  <si>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</si>
  <si>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</si>
  <si>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</si>
  <si>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</si>
  <si>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</si>
  <si>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</si>
  <si>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</si>
  <si>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</si>
  <si>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</si>
  <si>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</si>
  <si>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</si>
  <si>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</si>
  <si>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</si>
  <si>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</si>
  <si>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</si>
  <si>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</si>
  <si>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</si>
  <si>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</si>
  <si>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</si>
  <si>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</si>
  <si>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</si>
  <si>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</si>
  <si>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</si>
  <si>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</si>
  <si>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</si>
  <si>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</si>
  <si>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</si>
  <si>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</si>
  <si>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</si>
  <si>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</si>
  <si>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</si>
  <si>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</si>
  <si>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</si>
  <si>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</si>
  <si>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</si>
  <si>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</si>
  <si>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</si>
  <si>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</si>
  <si>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</si>
  <si>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</si>
  <si>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</si>
  <si>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</si>
  <si>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</si>
  <si>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</si>
  <si>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</si>
  <si>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</si>
  <si>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</si>
  <si>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</si>
  <si>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</si>
  <si>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</si>
  <si>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</si>
  <si>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</si>
  <si>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</si>
  <si>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</si>
  <si>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</si>
  <si>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</si>
  <si>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</si>
  <si>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</si>
  <si>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</si>
  <si>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</si>
  <si>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</si>
  <si>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</si>
  <si>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</si>
  <si>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</si>
  <si>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</si>
  <si>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</si>
  <si>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</si>
  <si>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</si>
  <si>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</si>
  <si>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</si>
  <si>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</si>
  <si>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</si>
  <si>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</si>
  <si>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</si>
  <si>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</si>
  <si>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</si>
  <si>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</si>
  <si>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</si>
  <si>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</si>
  <si>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</si>
  <si>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</si>
  <si>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</si>
  <si>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</si>
  <si>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</si>
  <si>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</si>
  <si>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</si>
  <si>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</si>
  <si>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</si>
  <si>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</si>
  <si>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</si>
  <si>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</si>
  <si>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</si>
  <si>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</si>
  <si>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</si>
  <si>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</si>
  <si>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</si>
  <si>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</si>
  <si>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</si>
  <si>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</si>
  <si>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</si>
  <si>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</si>
  <si>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</si>
  <si>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</si>
  <si>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</si>
  <si>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</si>
  <si>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</si>
  <si>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</si>
  <si>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</si>
  <si>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</si>
  <si>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</si>
  <si>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</si>
  <si>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</si>
  <si>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</si>
  <si>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</si>
  <si>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</si>
  <si>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</si>
  <si>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</si>
  <si>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</si>
  <si>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</si>
  <si>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</si>
  <si>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</si>
  <si>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</si>
  <si>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</si>
  <si>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</si>
  <si>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</si>
  <si>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</si>
  <si>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</si>
  <si>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</si>
  <si>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</si>
  <si>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</si>
  <si>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</si>
  <si>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</si>
  <si>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</si>
  <si>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</si>
  <si>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</si>
  <si>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</si>
  <si>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</si>
  <si>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</si>
  <si>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</si>
  <si>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</si>
  <si>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</si>
  <si>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</si>
  <si>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</si>
  <si>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</si>
  <si>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</si>
  <si>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</si>
  <si>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</si>
  <si>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</si>
  <si>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</si>
  <si>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</si>
  <si>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</si>
  <si>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</si>
  <si>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</si>
  <si>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</si>
  <si>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</si>
  <si>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</si>
  <si>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</si>
  <si>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</si>
  <si>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</si>
  <si>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</si>
  <si>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</si>
  <si>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</si>
  <si>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</si>
  <si>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</si>
  <si>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</si>
  <si>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</si>
  <si>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</si>
  <si>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</si>
  <si>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</si>
  <si>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</si>
  <si>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</si>
  <si>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</si>
  <si>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</si>
  <si>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</si>
  <si>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</si>
  <si>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</si>
  <si>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</si>
  <si>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</si>
  <si>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</si>
  <si>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</si>
  <si>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</si>
  <si>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</si>
  <si>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</si>
  <si>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</si>
  <si>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</si>
  <si>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</si>
  <si>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</si>
  <si>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</si>
  <si>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</si>
  <si>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</si>
  <si>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</si>
  <si>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</si>
  <si>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</si>
  <si>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</si>
  <si>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</si>
  <si>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</si>
  <si>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</si>
  <si>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</si>
  <si>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</si>
  <si>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</si>
  <si>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</si>
  <si>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</si>
  <si>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</si>
  <si>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</si>
  <si>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</si>
  <si>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</si>
  <si>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</si>
  <si>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</si>
  <si>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</si>
  <si>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</si>
  <si>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</si>
  <si>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</si>
  <si>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</si>
  <si>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</si>
  <si>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</si>
  <si>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</si>
  <si>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</si>
  <si>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</si>
  <si>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</si>
  <si>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</si>
  <si>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</si>
  <si>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</si>
  <si>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</si>
  <si>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</si>
  <si>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</si>
  <si>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</si>
  <si>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</si>
  <si>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</si>
  <si>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</si>
  <si>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</si>
  <si>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</si>
  <si>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</si>
  <si>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</si>
  <si>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</si>
  <si>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</si>
  <si>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</si>
  <si>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</si>
  <si>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</si>
  <si>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</si>
  <si>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</si>
  <si>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</si>
  <si>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</si>
  <si>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</si>
  <si>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</si>
  <si>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</si>
  <si>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</si>
  <si>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</si>
  <si>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</si>
  <si>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</si>
  <si>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</si>
  <si>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</si>
  <si>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</si>
  <si>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</si>
  <si>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</si>
  <si>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</si>
  <si>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</si>
  <si>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</si>
  <si>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</si>
  <si>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</si>
  <si>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</si>
  <si>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</si>
  <si>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</si>
  <si>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</si>
  <si>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</si>
  <si>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</si>
  <si>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</si>
  <si>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</si>
  <si>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</si>
  <si>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</si>
  <si>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</si>
  <si>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</si>
  <si>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</si>
  <si>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</si>
  <si>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</si>
  <si>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</si>
  <si>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</si>
  <si>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</si>
  <si>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</si>
  <si>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</si>
  <si>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</si>
  <si>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</si>
  <si>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</si>
  <si>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</si>
  <si>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</si>
  <si>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</si>
  <si>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</si>
  <si>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</si>
  <si>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</si>
  <si>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</si>
  <si>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</si>
  <si>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</si>
  <si>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</si>
  <si>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</si>
  <si>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</si>
  <si>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</si>
  <si>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</si>
  <si>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</si>
  <si>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</si>
  <si>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</si>
  <si>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</si>
  <si>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</si>
  <si>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</si>
  <si>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</si>
  <si>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</si>
  <si>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</si>
  <si>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</si>
  <si>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</si>
  <si>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</si>
  <si>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</si>
  <si>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</si>
  <si>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</si>
  <si>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</si>
  <si>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</si>
  <si>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房地产抵押价值</t>
  </si>
  <si>
    <t>抵押</t>
  </si>
  <si>
    <t>商业</t>
    <phoneticPr fontId="3" type="noConversion"/>
  </si>
  <si>
    <t>是</t>
  </si>
  <si>
    <t>地上</t>
  </si>
  <si>
    <t>成新度</t>
  </si>
  <si>
    <t>收益法 (元)</t>
  </si>
  <si>
    <t>自定义容积率</t>
  </si>
  <si>
    <t>不临65条商业街</t>
  </si>
  <si>
    <t>与级别开发程度一致</t>
  </si>
  <si>
    <t>楼层修正</t>
  </si>
  <si>
    <t>较好</t>
  </si>
  <si>
    <t>好</t>
  </si>
  <si>
    <t>北京市</t>
  </si>
  <si>
    <t>企业</t>
  </si>
  <si>
    <t>未包含在土地购买价格中</t>
  </si>
  <si>
    <t>已包含在土地取得成本中</t>
  </si>
  <si>
    <t>现房</t>
  </si>
  <si>
    <t>项目局部</t>
  </si>
  <si>
    <t>押二</t>
  </si>
  <si>
    <t>钢混</t>
  </si>
  <si>
    <t>非生产用房</t>
  </si>
  <si>
    <t>否</t>
  </si>
  <si>
    <t>楼面单价</t>
  </si>
  <si>
    <t>单套模式</t>
  </si>
  <si>
    <t>租金</t>
  </si>
  <si>
    <t>Ⅵ-兴1</t>
  </si>
  <si>
    <t>高米店北茉莉公馆东门底商</t>
    <phoneticPr fontId="3" type="noConversion"/>
  </si>
  <si>
    <t>挂牌</t>
  </si>
  <si>
    <t>挂牌</t>
    <phoneticPr fontId="30" type="noConversion"/>
  </si>
  <si>
    <t>双面临街</t>
    <phoneticPr fontId="3" type="noConversion"/>
  </si>
  <si>
    <t>单面临街</t>
    <phoneticPr fontId="3" type="noConversion"/>
  </si>
  <si>
    <t>不临街</t>
    <phoneticPr fontId="3" type="noConversion"/>
  </si>
  <si>
    <t>商业中心</t>
    <phoneticPr fontId="3" type="noConversion"/>
  </si>
  <si>
    <t>独立商业楼</t>
    <phoneticPr fontId="3" type="noConversion"/>
  </si>
  <si>
    <t>住宅配套底商</t>
    <phoneticPr fontId="3" type="noConversion"/>
  </si>
  <si>
    <t>办公配套底商</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</si>
  <si>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</si>
  <si>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</si>
  <si>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</si>
  <si>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</si>
  <si>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</si>
  <si>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</si>
  <si>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可餐饮</t>
    <phoneticPr fontId="3" type="noConversion"/>
  </si>
  <si>
    <t>不可餐饮</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</si>
  <si>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</si>
  <si>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</si>
  <si>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</si>
  <si>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</si>
  <si>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</si>
  <si>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单面临街</t>
  </si>
  <si>
    <t>较好</t>
    <phoneticPr fontId="30" type="noConversion"/>
  </si>
  <si>
    <t>较好</t>
    <phoneticPr fontId="30" type="noConversion"/>
  </si>
  <si>
    <t>一般</t>
  </si>
  <si>
    <t>较差</t>
  </si>
  <si>
    <t>差</t>
  </si>
  <si>
    <t>较好</t>
    <rPh sb="0" eb="1">
      <t>jiao hao</t>
    </rPh>
    <phoneticPr fontId="3" type="noConversion"/>
  </si>
  <si>
    <t>一般</t>
    <rPh sb="0" eb="1">
      <t>yi ban</t>
    </rPh>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</si>
  <si>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</si>
  <si>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</si>
  <si>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t>负1层</t>
    <phoneticPr fontId="3" type="noConversion"/>
  </si>
  <si>
    <t>1拖负1层</t>
    <phoneticPr fontId="3" type="noConversion"/>
  </si>
  <si>
    <t>住宅配套底商</t>
  </si>
  <si>
    <t>普通装修</t>
  </si>
  <si>
    <t>七通</t>
    <phoneticPr fontId="3" type="noConversion"/>
  </si>
  <si>
    <t>六通</t>
  </si>
  <si>
    <t>六通</t>
    <phoneticPr fontId="30" type="noConversion"/>
  </si>
  <si>
    <t>五通</t>
    <phoneticPr fontId="30" type="noConversion"/>
  </si>
  <si>
    <t>可餐饮</t>
  </si>
  <si>
    <t>标准层高</t>
  </si>
  <si>
    <t>非标层高</t>
  </si>
  <si>
    <t>较适宜</t>
  </si>
  <si>
    <r>
      <t>1-2</t>
    </r>
    <r>
      <rPr>
        <sz val="11"/>
        <color indexed="8"/>
        <rFont val="宋体"/>
        <family val="3"/>
        <charset val="134"/>
      </rPr>
      <t>层</t>
    </r>
    <phoneticPr fontId="30" type="noConversion"/>
  </si>
  <si>
    <t>1-2层</t>
  </si>
  <si>
    <t>较好</t>
    <phoneticPr fontId="30" type="noConversion"/>
  </si>
  <si>
    <t>1层</t>
  </si>
  <si>
    <t>比较法-商业</t>
  </si>
  <si>
    <t>收益比率</t>
  </si>
  <si>
    <t>否</t>
    <phoneticPr fontId="30" type="noConversion"/>
  </si>
  <si>
    <t>是</t>
    <phoneticPr fontId="30" type="noConversion"/>
  </si>
  <si>
    <t>有树遮挡</t>
    <phoneticPr fontId="30" type="noConversion"/>
  </si>
  <si>
    <t>售价</t>
  </si>
  <si>
    <t>有树遮挡</t>
    <phoneticPr fontId="30" type="noConversion"/>
  </si>
  <si>
    <t>3层</t>
    <phoneticPr fontId="3" type="noConversion"/>
  </si>
  <si>
    <r>
      <rPr>
        <sz val="11"/>
        <color indexed="8"/>
        <rFont val="宋体"/>
        <family val="3"/>
        <charset val="134"/>
      </rPr>
      <t>负</t>
    </r>
    <r>
      <rPr>
        <sz val="11"/>
        <color indexed="8"/>
        <rFont val="Arial"/>
        <family val="2"/>
      </rPr>
      <t>1</t>
    </r>
    <r>
      <rPr>
        <sz val="11"/>
        <color indexed="8"/>
        <rFont val="宋体"/>
        <family val="3"/>
        <charset val="134"/>
      </rPr>
      <t>层至</t>
    </r>
    <r>
      <rPr>
        <sz val="11"/>
        <color indexed="8"/>
        <rFont val="Arial"/>
        <family val="2"/>
      </rPr>
      <t>3</t>
    </r>
    <r>
      <rPr>
        <sz val="11"/>
        <color indexed="8"/>
        <rFont val="宋体"/>
        <family val="3"/>
        <charset val="134"/>
      </rPr>
      <t>层</t>
    </r>
    <phoneticPr fontId="30" type="noConversion"/>
  </si>
  <si>
    <t>负1层至3层</t>
  </si>
  <si>
    <t>瑞康家园东门底商</t>
    <phoneticPr fontId="3" type="noConversion"/>
  </si>
  <si>
    <t>有无产权证</t>
    <phoneticPr fontId="30" type="noConversion"/>
  </si>
  <si>
    <t>有</t>
    <phoneticPr fontId="30" type="noConversion"/>
  </si>
  <si>
    <r>
      <rPr>
        <sz val="11"/>
        <rFont val="宋体"/>
        <family val="3"/>
        <charset val="134"/>
      </rPr>
      <t>有</t>
    </r>
    <r>
      <rPr>
        <sz val="11"/>
        <rFont val="Arial"/>
        <family val="2"/>
      </rPr>
      <t xml:space="preserve"> </t>
    </r>
    <phoneticPr fontId="30" type="noConversion"/>
  </si>
  <si>
    <t>有无产权证</t>
    <phoneticPr fontId="134" type="noConversion"/>
  </si>
  <si>
    <t>有</t>
    <phoneticPr fontId="134" type="noConversion"/>
  </si>
  <si>
    <t>有</t>
    <phoneticPr fontId="134" type="noConversion"/>
  </si>
  <si>
    <t>不可餐饮</t>
  </si>
  <si>
    <t>较好</t>
    <phoneticPr fontId="30" type="noConversion"/>
  </si>
  <si>
    <t>瑞海家园三区底商</t>
    <phoneticPr fontId="30" type="noConversion"/>
  </si>
  <si>
    <t>较好</t>
    <phoneticPr fontId="30" type="noConversion"/>
  </si>
  <si>
    <t>较好</t>
    <phoneticPr fontId="30" type="noConversion"/>
  </si>
  <si>
    <t>一层</t>
    <phoneticPr fontId="24" type="noConversion"/>
  </si>
  <si>
    <t>二层</t>
    <phoneticPr fontId="24" type="noConversion"/>
  </si>
  <si>
    <t>三层</t>
    <phoneticPr fontId="24" type="noConversion"/>
  </si>
  <si>
    <t>地下一层</t>
    <phoneticPr fontId="24" type="noConversion"/>
  </si>
  <si>
    <t>2层</t>
  </si>
  <si>
    <t>3层</t>
  </si>
  <si>
    <t>负1层</t>
  </si>
  <si>
    <t>1拖负1层</t>
  </si>
  <si>
    <t>中心城区以外</t>
  </si>
  <si>
    <t>估价对象一层</t>
    <phoneticPr fontId="3" type="noConversion"/>
  </si>
  <si>
    <t>办公配套底商</t>
  </si>
  <si>
    <t>五通</t>
  </si>
  <si>
    <t>时代龙河大道临街商铺</t>
    <phoneticPr fontId="3" type="noConversion"/>
  </si>
  <si>
    <t>星光影视城</t>
    <phoneticPr fontId="30" type="noConversion"/>
  </si>
  <si>
    <t>简单装修</t>
  </si>
  <si>
    <t>中建港悦大厦底商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</si>
</sst>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293752</xdr:colOff>
      <xdr:row>39</xdr:row>
      <xdr:rowOff>123960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894952" cy="6810510"/>
        </a:xfrm>
        <a:prstGeom prst="rect">
          <a:avLst/>
        </a:prstGeom>
      </xdr:spPr>
    </xdr:pic>
    <xdr:clientData/>
  </xdr:twoCellAnchor>
  <xdr:twoCellAnchor>
    <xdr:from>
      <xdr:col>6</xdr:col>
      <xdr:colOff>557039</xdr:colOff>
      <xdr:row>22</xdr:row>
      <xdr:rowOff>161925</xdr:rowOff>
    </xdr:from>
    <xdr:to>
      <xdr:col>8</xdr:col>
      <xdr:colOff>203026</xdr:colOff>
      <xdr:row>25</xdr:row>
      <xdr:rowOff>114300</xdr:rowOff>
    </xdr:to>
    <xdr:sp macro="" textlink="">
      <xdr:nvSpPr>
        <xdr:cNvPr id="12" name="椭圆形标注 11"/>
        <xdr:cNvSpPr>
          <a:spLocks noChangeArrowheads="1"/>
        </xdr:cNvSpPr>
      </xdr:nvSpPr>
      <xdr:spPr bwMode="auto">
        <a:xfrm>
          <a:off x="4671839" y="3933825"/>
          <a:ext cx="1017587" cy="466725"/>
        </a:xfrm>
        <a:prstGeom prst="wedgeEllipseCallout">
          <a:avLst>
            <a:gd name="adj1" fmla="val -46569"/>
            <a:gd name="adj2" fmla="val 70546"/>
          </a:avLst>
        </a:prstGeom>
        <a:solidFill>
          <a:srgbClr val="FF0000"/>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horz" wrap="square" lIns="91440" tIns="45720" rIns="91440" bIns="45720" numCol="1" anchor="t" anchorCtr="0" compatLnSpc="1">
          <a:prstTxWarp prst="textNoShape">
            <a:avLst/>
          </a:prstTxWarp>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just" defTabSz="914400" rtl="0" eaLnBrk="1" fontAlgn="base" latinLnBrk="0" hangingPunct="1">
            <a:lnSpc>
              <a:spcPct val="100000"/>
            </a:lnSpc>
            <a:spcBef>
              <a:spcPct val="0"/>
            </a:spcBef>
            <a:spcAft>
              <a:spcPct val="0"/>
            </a:spcAft>
            <a:buClrTx/>
            <a:buSzTx/>
            <a:buFontTx/>
            <a:buNone/>
            <a:tabLst/>
          </a:pPr>
          <a:r>
            <a:rPr kumimoji="0" lang="zh-CN" altLang="en-US" sz="1000" b="1" i="0" u="none" strike="noStrike" cap="none" normalizeH="0" baseline="0">
              <a:ln>
                <a:noFill/>
              </a:ln>
              <a:solidFill>
                <a:srgbClr val="FFFFFF"/>
              </a:solidFill>
              <a:effectLst/>
              <a:latin typeface="华文细黑" pitchFamily="2" charset="-122"/>
              <a:ea typeface="华文细黑" pitchFamily="2" charset="-122"/>
              <a:cs typeface="宋体" pitchFamily="2" charset="-122"/>
            </a:rPr>
            <a:t>估价对象</a:t>
          </a:r>
          <a:endParaRPr kumimoji="0" lang="zh-CN" sz="1800" b="0" i="0" u="none" strike="noStrike" cap="none" normalizeH="0" baseline="0">
            <a:ln>
              <a:noFill/>
            </a:ln>
            <a:solidFill>
              <a:schemeClr val="tx1"/>
            </a:solidFill>
            <a:effectLst/>
            <a:latin typeface="Arial" pitchFamily="34" charset="0"/>
            <a:ea typeface="宋体" pitchFamily="2" charset="-122"/>
            <a:cs typeface="宋体" pitchFamily="2" charset="-122"/>
          </a:endParaRPr>
        </a:p>
      </xdr:txBody>
    </xdr:sp>
    <xdr:clientData/>
  </xdr:twoCellAnchor>
  <xdr:twoCellAnchor>
    <xdr:from>
      <xdr:col>6</xdr:col>
      <xdr:colOff>371475</xdr:colOff>
      <xdr:row>25</xdr:row>
      <xdr:rowOff>138070</xdr:rowOff>
    </xdr:from>
    <xdr:to>
      <xdr:col>6</xdr:col>
      <xdr:colOff>659507</xdr:colOff>
      <xdr:row>27</xdr:row>
      <xdr:rowOff>48525</xdr:rowOff>
    </xdr:to>
    <xdr:sp macro="" textlink="">
      <xdr:nvSpPr>
        <xdr:cNvPr id="13" name="五角星 12"/>
        <xdr:cNvSpPr/>
      </xdr:nvSpPr>
      <xdr:spPr>
        <a:xfrm>
          <a:off x="4486275" y="4424320"/>
          <a:ext cx="288032" cy="253355"/>
        </a:xfrm>
        <a:prstGeom prst="star5">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3</xdr:col>
      <xdr:colOff>657225</xdr:colOff>
      <xdr:row>29</xdr:row>
      <xdr:rowOff>76200</xdr:rowOff>
    </xdr:from>
    <xdr:to>
      <xdr:col>7</xdr:col>
      <xdr:colOff>165695</xdr:colOff>
      <xdr:row>35</xdr:row>
      <xdr:rowOff>28575</xdr:rowOff>
    </xdr:to>
    <xdr:sp macro="" textlink="">
      <xdr:nvSpPr>
        <xdr:cNvPr id="14" name="流程图: 过程 13"/>
        <xdr:cNvSpPr/>
      </xdr:nvSpPr>
      <xdr:spPr>
        <a:xfrm>
          <a:off x="2714625" y="5048250"/>
          <a:ext cx="2251670" cy="981075"/>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solidFill>
                <a:schemeClr val="bg1"/>
              </a:solidFill>
            </a:rPr>
            <a:t>瑞康家园配套商业楼，</a:t>
          </a:r>
          <a:r>
            <a:rPr lang="en-US" altLang="zh-CN" sz="1000">
              <a:solidFill>
                <a:schemeClr val="bg1"/>
              </a:solidFill>
            </a:rPr>
            <a:t>1-2</a:t>
          </a:r>
          <a:r>
            <a:rPr lang="zh-CN" altLang="en-US" sz="1000">
              <a:solidFill>
                <a:schemeClr val="bg1"/>
              </a:solidFill>
            </a:rPr>
            <a:t>层，产权面积</a:t>
          </a:r>
          <a:r>
            <a:rPr lang="en-US" altLang="zh-CN" sz="1000">
              <a:solidFill>
                <a:schemeClr val="bg1"/>
              </a:solidFill>
            </a:rPr>
            <a:t>201</a:t>
          </a:r>
          <a:r>
            <a:rPr lang="zh-CN" altLang="en-US" sz="1000">
              <a:solidFill>
                <a:schemeClr val="bg1"/>
              </a:solidFill>
            </a:rPr>
            <a:t>平，售价</a:t>
          </a:r>
          <a:r>
            <a:rPr lang="en-US" altLang="zh-CN" sz="1000">
              <a:solidFill>
                <a:schemeClr val="bg1"/>
              </a:solidFill>
            </a:rPr>
            <a:t>780</a:t>
          </a:r>
          <a:r>
            <a:rPr lang="zh-CN" altLang="en-US" sz="1000">
              <a:solidFill>
                <a:schemeClr val="bg1"/>
              </a:solidFill>
            </a:rPr>
            <a:t>万，年租金</a:t>
          </a:r>
          <a:r>
            <a:rPr lang="en-US" altLang="zh-CN" sz="1000">
              <a:solidFill>
                <a:schemeClr val="bg1"/>
              </a:solidFill>
            </a:rPr>
            <a:t>32</a:t>
          </a:r>
          <a:r>
            <a:rPr lang="zh-CN" altLang="en-US" sz="1000">
              <a:solidFill>
                <a:schemeClr val="bg1"/>
              </a:solidFill>
            </a:rPr>
            <a:t>万，日租金</a:t>
          </a:r>
          <a:r>
            <a:rPr lang="en-US" altLang="zh-CN" sz="1000">
              <a:solidFill>
                <a:schemeClr val="bg1"/>
              </a:solidFill>
            </a:rPr>
            <a:t>4.36</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天），无转让费，证照全，可餐饮简单装修</a:t>
          </a:r>
        </a:p>
      </xdr:txBody>
    </xdr:sp>
    <xdr:clientData/>
  </xdr:twoCellAnchor>
  <xdr:twoCellAnchor>
    <xdr:from>
      <xdr:col>7</xdr:col>
      <xdr:colOff>268585</xdr:colOff>
      <xdr:row>31</xdr:row>
      <xdr:rowOff>108571</xdr:rowOff>
    </xdr:from>
    <xdr:to>
      <xdr:col>7</xdr:col>
      <xdr:colOff>484609</xdr:colOff>
      <xdr:row>32</xdr:row>
      <xdr:rowOff>153145</xdr:rowOff>
    </xdr:to>
    <xdr:sp macro="" textlink="">
      <xdr:nvSpPr>
        <xdr:cNvPr id="15" name="十字星 14"/>
        <xdr:cNvSpPr/>
      </xdr:nvSpPr>
      <xdr:spPr>
        <a:xfrm>
          <a:off x="5069185" y="542352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2</xdr:col>
      <xdr:colOff>219075</xdr:colOff>
      <xdr:row>9</xdr:row>
      <xdr:rowOff>142875</xdr:rowOff>
    </xdr:from>
    <xdr:to>
      <xdr:col>5</xdr:col>
      <xdr:colOff>413345</xdr:colOff>
      <xdr:row>15</xdr:row>
      <xdr:rowOff>161926</xdr:rowOff>
    </xdr:to>
    <xdr:sp macro="" textlink="">
      <xdr:nvSpPr>
        <xdr:cNvPr id="16" name="流程图: 过程 15"/>
        <xdr:cNvSpPr/>
      </xdr:nvSpPr>
      <xdr:spPr>
        <a:xfrm>
          <a:off x="1590675" y="1685925"/>
          <a:ext cx="2251670" cy="1047751"/>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地铁高米店北站，茉莉公馆住宅区配套商业楼，共两层，一层</a:t>
          </a:r>
          <a:r>
            <a:rPr lang="en-US" altLang="zh-CN" sz="1000"/>
            <a:t>6</a:t>
          </a:r>
          <a:r>
            <a:rPr lang="zh-CN" altLang="en-US" sz="1000"/>
            <a:t>米层高打隔断做了二层，产权面积</a:t>
          </a:r>
          <a:r>
            <a:rPr lang="en-US" altLang="zh-CN" sz="1000"/>
            <a:t>235</a:t>
          </a:r>
          <a:r>
            <a:rPr lang="zh-CN" altLang="en-US" sz="1000"/>
            <a:t>平</a:t>
          </a:r>
          <a:r>
            <a:rPr lang="zh-CN" altLang="en-US" sz="1000">
              <a:solidFill>
                <a:schemeClr val="bg1"/>
              </a:solidFill>
            </a:rPr>
            <a:t>，售价</a:t>
          </a:r>
          <a:r>
            <a:rPr lang="en-US" altLang="zh-CN" sz="1000">
              <a:solidFill>
                <a:schemeClr val="bg1"/>
              </a:solidFill>
            </a:rPr>
            <a:t>1100</a:t>
          </a:r>
          <a:r>
            <a:rPr lang="zh-CN" altLang="en-US" sz="1000">
              <a:solidFill>
                <a:schemeClr val="bg1"/>
              </a:solidFill>
            </a:rPr>
            <a:t>万，年租金</a:t>
          </a:r>
          <a:r>
            <a:rPr lang="en-US" altLang="zh-CN" sz="1000">
              <a:solidFill>
                <a:schemeClr val="bg1"/>
              </a:solidFill>
            </a:rPr>
            <a:t>60</a:t>
          </a:r>
          <a:r>
            <a:rPr lang="zh-CN" altLang="en-US" sz="1000">
              <a:solidFill>
                <a:schemeClr val="bg1"/>
              </a:solidFill>
            </a:rPr>
            <a:t>万，日租金</a:t>
          </a:r>
          <a:r>
            <a:rPr lang="en-US" altLang="zh-CN" sz="1000">
              <a:solidFill>
                <a:schemeClr val="bg1"/>
              </a:solidFill>
            </a:rPr>
            <a:t>7</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a:t>
          </a:r>
          <a:r>
            <a:rPr lang="zh-CN" altLang="en-US" sz="1000"/>
            <a:t>，可餐饮简单装修</a:t>
          </a:r>
        </a:p>
      </xdr:txBody>
    </xdr:sp>
    <xdr:clientData/>
  </xdr:twoCellAnchor>
  <xdr:twoCellAnchor>
    <xdr:from>
      <xdr:col>6</xdr:col>
      <xdr:colOff>1885</xdr:colOff>
      <xdr:row>12</xdr:row>
      <xdr:rowOff>89521</xdr:rowOff>
    </xdr:from>
    <xdr:to>
      <xdr:col>6</xdr:col>
      <xdr:colOff>217909</xdr:colOff>
      <xdr:row>13</xdr:row>
      <xdr:rowOff>134095</xdr:rowOff>
    </xdr:to>
    <xdr:sp macro="" textlink="">
      <xdr:nvSpPr>
        <xdr:cNvPr id="17" name="十字星 16"/>
        <xdr:cNvSpPr/>
      </xdr:nvSpPr>
      <xdr:spPr>
        <a:xfrm>
          <a:off x="4116685" y="214692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6</xdr:col>
      <xdr:colOff>428625</xdr:colOff>
      <xdr:row>5</xdr:row>
      <xdr:rowOff>76201</xdr:rowOff>
    </xdr:from>
    <xdr:to>
      <xdr:col>9</xdr:col>
      <xdr:colOff>622895</xdr:colOff>
      <xdr:row>9</xdr:row>
      <xdr:rowOff>76201</xdr:rowOff>
    </xdr:to>
    <xdr:sp macro="" textlink="">
      <xdr:nvSpPr>
        <xdr:cNvPr id="18" name="流程图: 过程 17"/>
        <xdr:cNvSpPr/>
      </xdr:nvSpPr>
      <xdr:spPr>
        <a:xfrm>
          <a:off x="4543425" y="933451"/>
          <a:ext cx="2251670" cy="685800"/>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瑞海家园三区底商，一层，产权面积</a:t>
          </a:r>
          <a:r>
            <a:rPr lang="en-US" altLang="zh-CN" sz="1000"/>
            <a:t>188.22</a:t>
          </a:r>
          <a:r>
            <a:rPr lang="zh-CN" altLang="en-US" sz="1000"/>
            <a:t>平，售价</a:t>
          </a:r>
          <a:r>
            <a:rPr lang="en-US" altLang="zh-CN" sz="1000"/>
            <a:t>820</a:t>
          </a:r>
          <a:r>
            <a:rPr lang="zh-CN" altLang="en-US" sz="1000"/>
            <a:t>万，无转让费，证照全，可餐饮简单装修</a:t>
          </a:r>
        </a:p>
      </xdr:txBody>
    </xdr:sp>
    <xdr:clientData/>
  </xdr:twoCellAnchor>
  <xdr:twoCellAnchor>
    <xdr:from>
      <xdr:col>6</xdr:col>
      <xdr:colOff>116185</xdr:colOff>
      <xdr:row>7</xdr:row>
      <xdr:rowOff>32371</xdr:rowOff>
    </xdr:from>
    <xdr:to>
      <xdr:col>6</xdr:col>
      <xdr:colOff>332209</xdr:colOff>
      <xdr:row>8</xdr:row>
      <xdr:rowOff>76945</xdr:rowOff>
    </xdr:to>
    <xdr:sp macro="" textlink="">
      <xdr:nvSpPr>
        <xdr:cNvPr id="19" name="十字星 18"/>
        <xdr:cNvSpPr/>
      </xdr:nvSpPr>
      <xdr:spPr>
        <a:xfrm>
          <a:off x="4230985" y="123252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editAs="oneCell">
    <xdr:from>
      <xdr:col>13</xdr:col>
      <xdr:colOff>428625</xdr:colOff>
      <xdr:row>65</xdr:row>
      <xdr:rowOff>60743</xdr:rowOff>
    </xdr:from>
    <xdr:to>
      <xdr:col>26</xdr:col>
      <xdr:colOff>544751</xdr:colOff>
      <xdr:row>101</xdr:row>
      <xdr:rowOff>104774</xdr:rowOff>
    </xdr:to>
    <xdr:pic>
      <xdr:nvPicPr>
        <xdr:cNvPr id="2" name="图片 1"/>
        <xdr:cNvPicPr>
          <a:picLocks noChangeAspect="1"/>
        </xdr:cNvPicPr>
      </xdr:nvPicPr>
      <xdr:blipFill>
        <a:blip xmlns:r="http://schemas.openxmlformats.org/officeDocument/2006/relationships" r:embed="rId2"/>
        <a:stretch>
          <a:fillRect/>
        </a:stretch>
      </xdr:blipFill>
      <xdr:spPr>
        <a:xfrm>
          <a:off x="9344025" y="11204993"/>
          <a:ext cx="9031526" cy="6216231"/>
        </a:xfrm>
        <a:prstGeom prst="rect">
          <a:avLst/>
        </a:prstGeom>
      </xdr:spPr>
    </xdr:pic>
    <xdr:clientData/>
  </xdr:twoCellAnchor>
  <xdr:twoCellAnchor editAs="oneCell">
    <xdr:from>
      <xdr:col>10</xdr:col>
      <xdr:colOff>552450</xdr:colOff>
      <xdr:row>39</xdr:row>
      <xdr:rowOff>67548</xdr:rowOff>
    </xdr:from>
    <xdr:to>
      <xdr:col>24</xdr:col>
      <xdr:colOff>122332</xdr:colOff>
      <xdr:row>65</xdr:row>
      <xdr:rowOff>104043</xdr:rowOff>
    </xdr:to>
    <xdr:pic>
      <xdr:nvPicPr>
        <xdr:cNvPr id="20" name="图片 19"/>
        <xdr:cNvPicPr>
          <a:picLocks noChangeAspect="1"/>
        </xdr:cNvPicPr>
      </xdr:nvPicPr>
      <xdr:blipFill>
        <a:blip xmlns:r="http://schemas.openxmlformats.org/officeDocument/2006/relationships" r:embed="rId3"/>
        <a:stretch>
          <a:fillRect/>
        </a:stretch>
      </xdr:blipFill>
      <xdr:spPr>
        <a:xfrm>
          <a:off x="7410450" y="6754098"/>
          <a:ext cx="9171082" cy="4494195"/>
        </a:xfrm>
        <a:prstGeom prst="rect">
          <a:avLst/>
        </a:prstGeom>
      </xdr:spPr>
    </xdr:pic>
    <xdr:clientData/>
  </xdr:twoCellAnchor>
  <xdr:twoCellAnchor>
    <xdr:from>
      <xdr:col>2</xdr:col>
      <xdr:colOff>417215</xdr:colOff>
      <xdr:row>1</xdr:row>
      <xdr:rowOff>9525</xdr:rowOff>
    </xdr:from>
    <xdr:to>
      <xdr:col>5</xdr:col>
      <xdr:colOff>611485</xdr:colOff>
      <xdr:row>5</xdr:row>
      <xdr:rowOff>9525</xdr:rowOff>
    </xdr:to>
    <xdr:sp macro="" textlink="">
      <xdr:nvSpPr>
        <xdr:cNvPr id="21" name="流程图: 过程 20"/>
        <xdr:cNvSpPr/>
      </xdr:nvSpPr>
      <xdr:spPr>
        <a:xfrm>
          <a:off x="1788815" y="180975"/>
          <a:ext cx="2251670" cy="685800"/>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兴海家园月苑底商，一层，产权面积</a:t>
          </a:r>
          <a:r>
            <a:rPr lang="en-US" altLang="zh-CN" sz="1000"/>
            <a:t>124.33</a:t>
          </a:r>
          <a:r>
            <a:rPr lang="zh-CN" altLang="en-US" sz="1000"/>
            <a:t>平，日租金</a:t>
          </a:r>
          <a:r>
            <a:rPr lang="en-US" altLang="zh-CN" sz="1000"/>
            <a:t>5.24</a:t>
          </a:r>
          <a:r>
            <a:rPr lang="zh-CN" altLang="en-US" sz="1000"/>
            <a:t>（元</a:t>
          </a:r>
          <a:r>
            <a:rPr lang="en-US" altLang="zh-CN" sz="1000"/>
            <a:t>/㎡·</a:t>
          </a:r>
          <a:r>
            <a:rPr lang="zh-CN" altLang="en-US" sz="1000"/>
            <a:t>天），无转让费，证照全，不可餐饮简单装修</a:t>
          </a:r>
        </a:p>
      </xdr:txBody>
    </xdr:sp>
    <xdr:clientData/>
  </xdr:twoCellAnchor>
  <xdr:twoCellAnchor>
    <xdr:from>
      <xdr:col>6</xdr:col>
      <xdr:colOff>133350</xdr:colOff>
      <xdr:row>2</xdr:row>
      <xdr:rowOff>146670</xdr:rowOff>
    </xdr:from>
    <xdr:to>
      <xdr:col>6</xdr:col>
      <xdr:colOff>349374</xdr:colOff>
      <xdr:row>4</xdr:row>
      <xdr:rowOff>19794</xdr:rowOff>
    </xdr:to>
    <xdr:sp macro="" textlink="">
      <xdr:nvSpPr>
        <xdr:cNvPr id="22" name="十字星 21"/>
        <xdr:cNvSpPr/>
      </xdr:nvSpPr>
      <xdr:spPr>
        <a:xfrm>
          <a:off x="4248150" y="489570"/>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0</xdr:col>
      <xdr:colOff>457200</xdr:colOff>
      <xdr:row>23</xdr:row>
      <xdr:rowOff>152401</xdr:rowOff>
    </xdr:from>
    <xdr:to>
      <xdr:col>4</xdr:col>
      <xdr:colOff>146645</xdr:colOff>
      <xdr:row>28</xdr:row>
      <xdr:rowOff>57151</xdr:rowOff>
    </xdr:to>
    <xdr:sp macro="" textlink="">
      <xdr:nvSpPr>
        <xdr:cNvPr id="23" name="流程图: 过程 22"/>
        <xdr:cNvSpPr/>
      </xdr:nvSpPr>
      <xdr:spPr>
        <a:xfrm>
          <a:off x="457200" y="4095751"/>
          <a:ext cx="2432645" cy="762000"/>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solidFill>
                <a:schemeClr val="bg1"/>
              </a:solidFill>
            </a:rPr>
            <a:t>喜欢优选团购超市商铺，</a:t>
          </a:r>
          <a:r>
            <a:rPr lang="en-US" altLang="zh-CN" sz="1000">
              <a:solidFill>
                <a:schemeClr val="bg1"/>
              </a:solidFill>
            </a:rPr>
            <a:t>1</a:t>
          </a:r>
          <a:r>
            <a:rPr lang="zh-CN" altLang="en-US" sz="1000">
              <a:solidFill>
                <a:schemeClr val="bg1"/>
              </a:solidFill>
            </a:rPr>
            <a:t>层，产权面积</a:t>
          </a:r>
          <a:r>
            <a:rPr lang="en-US" altLang="zh-CN" sz="1000">
              <a:solidFill>
                <a:schemeClr val="bg1"/>
              </a:solidFill>
            </a:rPr>
            <a:t>105</a:t>
          </a:r>
          <a:r>
            <a:rPr lang="zh-CN" altLang="en-US" sz="1000">
              <a:solidFill>
                <a:schemeClr val="bg1"/>
              </a:solidFill>
            </a:rPr>
            <a:t>平，日租金</a:t>
          </a:r>
          <a:r>
            <a:rPr lang="en-US" altLang="zh-CN" sz="1000">
              <a:solidFill>
                <a:schemeClr val="bg1"/>
              </a:solidFill>
            </a:rPr>
            <a:t>5.29</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天），无转让费，证照全，不可餐饮简单装修</a:t>
          </a:r>
        </a:p>
      </xdr:txBody>
    </xdr:sp>
    <xdr:clientData/>
  </xdr:twoCellAnchor>
  <xdr:twoCellAnchor>
    <xdr:from>
      <xdr:col>4</xdr:col>
      <xdr:colOff>201910</xdr:colOff>
      <xdr:row>26</xdr:row>
      <xdr:rowOff>22846</xdr:rowOff>
    </xdr:from>
    <xdr:to>
      <xdr:col>4</xdr:col>
      <xdr:colOff>417934</xdr:colOff>
      <xdr:row>27</xdr:row>
      <xdr:rowOff>67420</xdr:rowOff>
    </xdr:to>
    <xdr:sp macro="" textlink="">
      <xdr:nvSpPr>
        <xdr:cNvPr id="24" name="十字星 23"/>
        <xdr:cNvSpPr/>
      </xdr:nvSpPr>
      <xdr:spPr>
        <a:xfrm>
          <a:off x="2945110" y="4480546"/>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editAs="oneCell">
    <xdr:from>
      <xdr:col>0</xdr:col>
      <xdr:colOff>0</xdr:colOff>
      <xdr:row>40</xdr:row>
      <xdr:rowOff>9361</xdr:rowOff>
    </xdr:from>
    <xdr:to>
      <xdr:col>10</xdr:col>
      <xdr:colOff>627127</xdr:colOff>
      <xdr:row>61</xdr:row>
      <xdr:rowOff>75454</xdr:rowOff>
    </xdr:to>
    <xdr:pic>
      <xdr:nvPicPr>
        <xdr:cNvPr id="4" name="图片 3"/>
        <xdr:cNvPicPr>
          <a:picLocks noChangeAspect="1"/>
        </xdr:cNvPicPr>
      </xdr:nvPicPr>
      <xdr:blipFill>
        <a:blip xmlns:r="http://schemas.openxmlformats.org/officeDocument/2006/relationships" r:embed="rId4"/>
        <a:stretch>
          <a:fillRect/>
        </a:stretch>
      </xdr:blipFill>
      <xdr:spPr>
        <a:xfrm>
          <a:off x="0" y="6867361"/>
          <a:ext cx="7485127" cy="3666543"/>
        </a:xfrm>
        <a:prstGeom prst="rect">
          <a:avLst/>
        </a:prstGeom>
      </xdr:spPr>
    </xdr:pic>
    <xdr:clientData/>
  </xdr:twoCellAnchor>
  <xdr:twoCellAnchor editAs="oneCell">
    <xdr:from>
      <xdr:col>0</xdr:col>
      <xdr:colOff>0</xdr:colOff>
      <xdr:row>61</xdr:row>
      <xdr:rowOff>45565</xdr:rowOff>
    </xdr:from>
    <xdr:to>
      <xdr:col>10</xdr:col>
      <xdr:colOff>533400</xdr:colOff>
      <xdr:row>90</xdr:row>
      <xdr:rowOff>160877</xdr:rowOff>
    </xdr:to>
    <xdr:pic>
      <xdr:nvPicPr>
        <xdr:cNvPr id="5" name="图片 4"/>
        <xdr:cNvPicPr>
          <a:picLocks noChangeAspect="1"/>
        </xdr:cNvPicPr>
      </xdr:nvPicPr>
      <xdr:blipFill>
        <a:blip xmlns:r="http://schemas.openxmlformats.org/officeDocument/2006/relationships" r:embed="rId5"/>
        <a:stretch>
          <a:fillRect/>
        </a:stretch>
      </xdr:blipFill>
      <xdr:spPr>
        <a:xfrm>
          <a:off x="0" y="10504015"/>
          <a:ext cx="7391400" cy="5087362"/>
        </a:xfrm>
        <a:prstGeom prst="rect">
          <a:avLst/>
        </a:prstGeom>
      </xdr:spPr>
    </xdr:pic>
    <xdr:clientData/>
  </xdr:twoCellAnchor>
  <xdr:twoCellAnchor editAs="oneCell">
    <xdr:from>
      <xdr:col>0</xdr:col>
      <xdr:colOff>0</xdr:colOff>
      <xdr:row>90</xdr:row>
      <xdr:rowOff>54732</xdr:rowOff>
    </xdr:from>
    <xdr:to>
      <xdr:col>14</xdr:col>
      <xdr:colOff>350902</xdr:colOff>
      <xdr:row>130</xdr:row>
      <xdr:rowOff>46577</xdr:rowOff>
    </xdr:to>
    <xdr:pic>
      <xdr:nvPicPr>
        <xdr:cNvPr id="6" name="图片 5"/>
        <xdr:cNvPicPr>
          <a:picLocks noChangeAspect="1"/>
        </xdr:cNvPicPr>
      </xdr:nvPicPr>
      <xdr:blipFill>
        <a:blip xmlns:r="http://schemas.openxmlformats.org/officeDocument/2006/relationships" r:embed="rId6"/>
        <a:stretch>
          <a:fillRect/>
        </a:stretch>
      </xdr:blipFill>
      <xdr:spPr>
        <a:xfrm>
          <a:off x="0" y="15485232"/>
          <a:ext cx="9952102" cy="6849845"/>
        </a:xfrm>
        <a:prstGeom prst="rect">
          <a:avLst/>
        </a:prstGeom>
      </xdr:spPr>
    </xdr:pic>
    <xdr:clientData/>
  </xdr:twoCellAnchor>
  <xdr:twoCellAnchor>
    <xdr:from>
      <xdr:col>8</xdr:col>
      <xdr:colOff>28574</xdr:colOff>
      <xdr:row>32</xdr:row>
      <xdr:rowOff>142875</xdr:rowOff>
    </xdr:from>
    <xdr:to>
      <xdr:col>11</xdr:col>
      <xdr:colOff>361949</xdr:colOff>
      <xdr:row>36</xdr:row>
      <xdr:rowOff>152400</xdr:rowOff>
    </xdr:to>
    <xdr:sp macro="" textlink="">
      <xdr:nvSpPr>
        <xdr:cNvPr id="25" name="流程图: 过程 24"/>
        <xdr:cNvSpPr/>
      </xdr:nvSpPr>
      <xdr:spPr>
        <a:xfrm>
          <a:off x="5514974" y="5629275"/>
          <a:ext cx="2390775" cy="695325"/>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solidFill>
                <a:schemeClr val="bg1"/>
              </a:solidFill>
            </a:rPr>
            <a:t>时代龙和底商，</a:t>
          </a:r>
          <a:r>
            <a:rPr lang="en-US" altLang="zh-CN" sz="1000">
              <a:solidFill>
                <a:schemeClr val="bg1"/>
              </a:solidFill>
            </a:rPr>
            <a:t>1-2</a:t>
          </a:r>
          <a:r>
            <a:rPr lang="zh-CN" altLang="en-US" sz="1000">
              <a:solidFill>
                <a:schemeClr val="bg1"/>
              </a:solidFill>
            </a:rPr>
            <a:t>层，产权面积</a:t>
          </a:r>
          <a:r>
            <a:rPr lang="en-US" altLang="zh-CN" sz="1000">
              <a:solidFill>
                <a:schemeClr val="bg1"/>
              </a:solidFill>
            </a:rPr>
            <a:t>258.9</a:t>
          </a:r>
          <a:r>
            <a:rPr lang="zh-CN" altLang="en-US" sz="1000">
              <a:solidFill>
                <a:schemeClr val="bg1"/>
              </a:solidFill>
            </a:rPr>
            <a:t>平，日租金</a:t>
          </a:r>
          <a:r>
            <a:rPr lang="en-US" altLang="zh-CN" sz="1000">
              <a:solidFill>
                <a:schemeClr val="bg1"/>
              </a:solidFill>
            </a:rPr>
            <a:t>3.86</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天），无转让费，证照全，不可餐饮简单装修</a:t>
          </a:r>
        </a:p>
      </xdr:txBody>
    </xdr:sp>
    <xdr:clientData/>
  </xdr:twoCellAnchor>
  <xdr:twoCellAnchor>
    <xdr:from>
      <xdr:col>7</xdr:col>
      <xdr:colOff>352425</xdr:colOff>
      <xdr:row>34</xdr:row>
      <xdr:rowOff>0</xdr:rowOff>
    </xdr:from>
    <xdr:to>
      <xdr:col>7</xdr:col>
      <xdr:colOff>568449</xdr:colOff>
      <xdr:row>35</xdr:row>
      <xdr:rowOff>44574</xdr:rowOff>
    </xdr:to>
    <xdr:sp macro="" textlink="">
      <xdr:nvSpPr>
        <xdr:cNvPr id="26" name="十字星 25"/>
        <xdr:cNvSpPr/>
      </xdr:nvSpPr>
      <xdr:spPr>
        <a:xfrm>
          <a:off x="5153025" y="5829300"/>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2</xdr:col>
      <xdr:colOff>685799</xdr:colOff>
      <xdr:row>19</xdr:row>
      <xdr:rowOff>47625</xdr:rowOff>
    </xdr:from>
    <xdr:to>
      <xdr:col>6</xdr:col>
      <xdr:colOff>333374</xdr:colOff>
      <xdr:row>23</xdr:row>
      <xdr:rowOff>57150</xdr:rowOff>
    </xdr:to>
    <xdr:sp macro="" textlink="">
      <xdr:nvSpPr>
        <xdr:cNvPr id="27" name="流程图: 过程 26"/>
        <xdr:cNvSpPr/>
      </xdr:nvSpPr>
      <xdr:spPr>
        <a:xfrm>
          <a:off x="2057399" y="3305175"/>
          <a:ext cx="2390775" cy="695325"/>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solidFill>
                <a:schemeClr val="bg1"/>
              </a:solidFill>
            </a:rPr>
            <a:t>中建港悦大厦底商，</a:t>
          </a:r>
          <a:r>
            <a:rPr lang="en-US" altLang="zh-CN" sz="1000">
              <a:solidFill>
                <a:schemeClr val="bg1"/>
              </a:solidFill>
            </a:rPr>
            <a:t>1-2</a:t>
          </a:r>
          <a:r>
            <a:rPr lang="zh-CN" altLang="en-US" sz="1000">
              <a:solidFill>
                <a:schemeClr val="bg1"/>
              </a:solidFill>
            </a:rPr>
            <a:t>层，产权面积</a:t>
          </a:r>
          <a:r>
            <a:rPr lang="en-US" altLang="zh-CN" sz="1000">
              <a:solidFill>
                <a:schemeClr val="bg1"/>
              </a:solidFill>
            </a:rPr>
            <a:t>340</a:t>
          </a:r>
          <a:r>
            <a:rPr lang="zh-CN" altLang="en-US" sz="1000">
              <a:solidFill>
                <a:schemeClr val="bg1"/>
              </a:solidFill>
            </a:rPr>
            <a:t>平，日租金</a:t>
          </a:r>
          <a:r>
            <a:rPr lang="en-US" altLang="zh-CN" sz="1000">
              <a:solidFill>
                <a:schemeClr val="bg1"/>
              </a:solidFill>
            </a:rPr>
            <a:t>3.87</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天），无转让费，证照全，不可餐饮简单装修</a:t>
          </a:r>
        </a:p>
      </xdr:txBody>
    </xdr:sp>
    <xdr:clientData/>
  </xdr:twoCellAnchor>
  <xdr:twoCellAnchor>
    <xdr:from>
      <xdr:col>6</xdr:col>
      <xdr:colOff>295275</xdr:colOff>
      <xdr:row>23</xdr:row>
      <xdr:rowOff>95250</xdr:rowOff>
    </xdr:from>
    <xdr:to>
      <xdr:col>6</xdr:col>
      <xdr:colOff>511299</xdr:colOff>
      <xdr:row>24</xdr:row>
      <xdr:rowOff>139824</xdr:rowOff>
    </xdr:to>
    <xdr:sp macro="" textlink="">
      <xdr:nvSpPr>
        <xdr:cNvPr id="28" name="十字星 27"/>
        <xdr:cNvSpPr/>
      </xdr:nvSpPr>
      <xdr:spPr>
        <a:xfrm>
          <a:off x="4410075" y="4038600"/>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9</xdr:col>
      <xdr:colOff>276224</xdr:colOff>
      <xdr:row>12</xdr:row>
      <xdr:rowOff>114300</xdr:rowOff>
    </xdr:from>
    <xdr:to>
      <xdr:col>12</xdr:col>
      <xdr:colOff>609599</xdr:colOff>
      <xdr:row>16</xdr:row>
      <xdr:rowOff>123825</xdr:rowOff>
    </xdr:to>
    <xdr:sp macro="" textlink="">
      <xdr:nvSpPr>
        <xdr:cNvPr id="29" name="流程图: 过程 28"/>
        <xdr:cNvSpPr/>
      </xdr:nvSpPr>
      <xdr:spPr>
        <a:xfrm>
          <a:off x="6448424" y="2171700"/>
          <a:ext cx="2390775" cy="695325"/>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solidFill>
                <a:schemeClr val="bg1"/>
              </a:solidFill>
            </a:rPr>
            <a:t>星光影视城底商，</a:t>
          </a:r>
          <a:r>
            <a:rPr lang="en-US" altLang="zh-CN" sz="1000">
              <a:solidFill>
                <a:schemeClr val="bg1"/>
              </a:solidFill>
            </a:rPr>
            <a:t>1</a:t>
          </a:r>
          <a:r>
            <a:rPr lang="zh-CN" altLang="en-US" sz="1000">
              <a:solidFill>
                <a:schemeClr val="bg1"/>
              </a:solidFill>
            </a:rPr>
            <a:t>层，产权面积</a:t>
          </a:r>
          <a:r>
            <a:rPr lang="en-US" altLang="zh-CN" sz="1000">
              <a:solidFill>
                <a:schemeClr val="bg1"/>
              </a:solidFill>
            </a:rPr>
            <a:t>300</a:t>
          </a:r>
          <a:r>
            <a:rPr lang="zh-CN" altLang="en-US" sz="1000">
              <a:solidFill>
                <a:schemeClr val="bg1"/>
              </a:solidFill>
            </a:rPr>
            <a:t>平，日租金</a:t>
          </a:r>
          <a:r>
            <a:rPr lang="en-US" altLang="zh-CN" sz="1000">
              <a:solidFill>
                <a:schemeClr val="bg1"/>
              </a:solidFill>
            </a:rPr>
            <a:t>4</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天），无转让费，证照全，不可餐饮简单装修</a:t>
          </a:r>
        </a:p>
      </xdr:txBody>
    </xdr:sp>
    <xdr:clientData/>
  </xdr:twoCellAnchor>
  <xdr:twoCellAnchor>
    <xdr:from>
      <xdr:col>8</xdr:col>
      <xdr:colOff>600075</xdr:colOff>
      <xdr:row>13</xdr:row>
      <xdr:rowOff>142875</xdr:rowOff>
    </xdr:from>
    <xdr:to>
      <xdr:col>9</xdr:col>
      <xdr:colOff>130299</xdr:colOff>
      <xdr:row>15</xdr:row>
      <xdr:rowOff>15999</xdr:rowOff>
    </xdr:to>
    <xdr:sp macro="" textlink="">
      <xdr:nvSpPr>
        <xdr:cNvPr id="30" name="十字星 29"/>
        <xdr:cNvSpPr/>
      </xdr:nvSpPr>
      <xdr:spPr>
        <a:xfrm>
          <a:off x="6086475" y="2371725"/>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估价对象为北京市房地产，为所有。根据《国有土地使用证》[]，估价对象（分摊）出让国有建设用地使用权面积为0平方米，建筑面积为145.19平方米。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估价对象为北京市房地产,属开发建设的，该项目尚在开发建设中。根据《国有土地使用证》[]，估价对象（分摊）出让国有建设用地使用权面积为0平方米，规划建筑面积为145.19平方米。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2023年8月25日（评估专业人员实地查勘之日）</v>
      </c>
    </row>
    <row r="13" spans="1:2" s="1202" customFormat="1">
      <c r="A13" s="1200" t="s">
        <v>529</v>
      </c>
      <c r="B13" s="1201"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558</v>
      </c>
    </row>
    <row r="21" spans="1:2" s="1202" customFormat="1">
      <c r="A21" s="1200" t="s">
        <v>537</v>
      </c>
      <c r="B21" s="1201">
        <f ca="1">'预评函-2'!D7</f>
        <v>38448</v>
      </c>
    </row>
    <row r="22" spans="1:2" s="1202" customFormat="1">
      <c r="A22" s="1200" t="s">
        <v>538</v>
      </c>
      <c r="B22" s="1201" t="str">
        <f ca="1">'预评函-2'!D6</f>
        <v>伍佰伍拾捌万元整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558</v>
      </c>
    </row>
    <row r="31" spans="1:2" s="1202" customFormat="1">
      <c r="A31" s="1200" t="s">
        <v>576</v>
      </c>
      <c r="B31" s="1201">
        <f ca="1">'预评函-2'!D15</f>
        <v>38448</v>
      </c>
    </row>
    <row r="32" spans="1:2" s="1202" customFormat="1">
      <c r="A32" s="1200" t="s">
        <v>543</v>
      </c>
      <c r="B32" s="1201" t="str">
        <f ca="1">'预评函-2'!D14</f>
        <v>伍佰伍拾捌万元整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145.19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414</v>
      </c>
    </row>
    <row r="48" spans="1:2" s="1202" customFormat="1">
      <c r="A48" s="1200" t="s">
        <v>549</v>
      </c>
      <c r="B48" s="1201">
        <f ca="1">'预评函-3'!E4</f>
        <v>28528</v>
      </c>
    </row>
    <row r="49" spans="1:2" s="1202" customFormat="1">
      <c r="A49" s="1200" t="s">
        <v>550</v>
      </c>
      <c r="B49" s="1201" t="str">
        <f ca="1">'预评函-3'!D5</f>
        <v>肆佰壹拾肆万元整</v>
      </c>
    </row>
    <row r="50" spans="1:2" s="1202" customFormat="1">
      <c r="A50" s="1200" t="s">
        <v>574</v>
      </c>
      <c r="B50" s="1201" t="str">
        <f>'预评函-3'!F2</f>
        <v>在建建筑物价值</v>
      </c>
    </row>
    <row r="51" spans="1:2" s="1202" customFormat="1">
      <c r="A51" s="1200" t="s">
        <v>551</v>
      </c>
      <c r="B51" s="1201">
        <f ca="1">'预评函-3'!F4</f>
        <v>144</v>
      </c>
    </row>
    <row r="52" spans="1:2" s="1202" customFormat="1">
      <c r="A52" s="1200" t="s">
        <v>552</v>
      </c>
      <c r="B52" s="1201">
        <f ca="1">'预评函-3'!G4</f>
        <v>9920</v>
      </c>
    </row>
    <row r="53" spans="1:2" s="1202" customFormat="1">
      <c r="A53" s="1200" t="s">
        <v>580</v>
      </c>
      <c r="B53" s="1201" t="str">
        <f ca="1">'预评函-3'!F5</f>
        <v>壹佰肆拾肆万元整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2571</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2572</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10" t="s">
        <v>2574</v>
      </c>
      <c r="J2" s="3510"/>
      <c r="K2" s="3510"/>
      <c r="L2" s="3510"/>
      <c r="M2" s="3510"/>
      <c r="N2" s="3510"/>
      <c r="O2" s="3510"/>
      <c r="P2" s="3510"/>
      <c r="Q2" s="3510"/>
      <c r="R2" s="3510"/>
    </row>
    <row r="3" spans="1:18">
      <c r="A3" s="3019" t="s">
        <v>2495</v>
      </c>
      <c r="B3" s="3020">
        <f>项目基本情况!D3</f>
        <v>45163</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3.32</v>
      </c>
      <c r="D5" s="3024">
        <f>IF(ISERROR(ROUND(POWER(1+E5,A5-C5)*(POWER(1+E5,C5)-1)/(POWER(1+E5,A5)-1),3)),0,ROUND(POWER(1+E5,A5-C5)*(POWER(1+E5,C5)-1)/(POWER(1+E5,A5)-1),4))</f>
        <v>0.1542</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13.32</v>
      </c>
      <c r="D6" s="3024">
        <f>IF(ISERROR(ROUND(POWER(1+E6,A6-C6)*(POWER(1+E6,C6)-1)/(POWER(1+E6,A6)-1),3)),0,ROUND(POWER(1+E6,A6-C6)*(POWER(1+E6,C6)-1)/(POWER(1+E6,A6)-1),4))</f>
        <v>0.47360000000000002</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33.340000000000003</v>
      </c>
      <c r="D7" s="3024">
        <f>IF(ISERROR(ROUND(POWER(1+E7,A7-C7)*(POWER(1+E7,C7)-1)/(POWER(1+E7,A7)-1),3)),0,ROUND(POWER(1+E7,A7-C7)*(POWER(1+E7,C7)-1)/(POWER(1+E7,A7)-1),4))</f>
        <v>0.77959999999999996</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5" sqref="G2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45163</v>
      </c>
      <c r="C3" s="2373" t="s">
        <v>2170</v>
      </c>
      <c r="D3" s="2372">
        <v>45163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3369</v>
      </c>
      <c r="C8" s="2389"/>
      <c r="D8" s="3514" t="s">
        <v>2176</v>
      </c>
      <c r="E8" s="2390" t="s">
        <v>3368</v>
      </c>
      <c r="F8" s="2391"/>
      <c r="G8" s="2662"/>
      <c r="H8" s="2662"/>
      <c r="I8" s="2662"/>
      <c r="J8" s="2438"/>
      <c r="K8" s="2613"/>
      <c r="L8" s="2612"/>
      <c r="M8" s="2612"/>
      <c r="N8" s="2438"/>
      <c r="O8" s="2449"/>
      <c r="P8" s="2438"/>
      <c r="Q8" s="2438"/>
      <c r="R8" s="2438"/>
    </row>
    <row r="9" spans="1:30" ht="13.5" thickBot="1">
      <c r="A9" s="2392" t="s">
        <v>2177</v>
      </c>
      <c r="B9" s="2393" t="s">
        <v>3368</v>
      </c>
      <c r="C9" s="2394"/>
      <c r="D9" s="3515"/>
      <c r="E9" s="2393"/>
      <c r="F9" s="2395"/>
      <c r="G9" s="2664"/>
      <c r="H9" s="2664"/>
      <c r="I9" s="2664"/>
      <c r="J9" s="2438"/>
      <c r="K9" s="2615"/>
      <c r="L9" s="2612"/>
      <c r="M9" s="2612"/>
      <c r="N9" s="2438"/>
      <c r="O9" s="2449"/>
      <c r="P9" s="2438"/>
      <c r="Q9" s="2438"/>
      <c r="R9" s="2438"/>
    </row>
    <row r="10" spans="1:30" ht="13.5" thickTop="1">
      <c r="A10" s="2396" t="s">
        <v>2178</v>
      </c>
      <c r="B10" s="2397" t="s">
        <v>3381</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3382</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3327</v>
      </c>
      <c r="B13" s="2406" t="s">
        <v>2189</v>
      </c>
      <c r="C13" s="855"/>
      <c r="D13" s="855">
        <v>52831</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21</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1"/>
      <c r="C16" s="3522"/>
      <c r="D16" s="3523"/>
      <c r="E16" s="2412" t="s">
        <v>2193</v>
      </c>
      <c r="F16" s="3524"/>
      <c r="G16" s="3525"/>
      <c r="H16" s="3525"/>
      <c r="I16" s="3526"/>
      <c r="J16" s="2438"/>
      <c r="K16" s="2616"/>
      <c r="L16" s="2450"/>
      <c r="M16" s="2450"/>
      <c r="N16" s="2508"/>
      <c r="O16" s="2450"/>
      <c r="P16" s="2508"/>
      <c r="Q16" s="2438"/>
      <c r="R16" s="2438"/>
    </row>
    <row r="17" spans="1:28">
      <c r="A17" s="313" t="s">
        <v>2194</v>
      </c>
      <c r="B17" s="302" t="s">
        <v>2195</v>
      </c>
      <c r="C17" s="8">
        <f>'数据-汇总表'!E3</f>
        <v>145.19</v>
      </c>
      <c r="D17" s="2321" t="s">
        <v>2196</v>
      </c>
      <c r="E17" s="3527" t="s">
        <v>2197</v>
      </c>
      <c r="F17" s="3528"/>
      <c r="G17" s="3528"/>
      <c r="H17" s="3528"/>
      <c r="I17" s="3529"/>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0" t="s">
        <v>2201</v>
      </c>
      <c r="F18" s="3531"/>
      <c r="G18" s="3531"/>
      <c r="H18" s="3531"/>
      <c r="I18" s="3532"/>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7" t="s">
        <v>2205</v>
      </c>
      <c r="C20" s="3518"/>
      <c r="D20" s="3519" t="s">
        <v>2206</v>
      </c>
      <c r="E20" s="3520"/>
      <c r="F20" s="2646" t="s">
        <v>1056</v>
      </c>
      <c r="G20" s="2663"/>
      <c r="H20" s="2663"/>
      <c r="I20" s="2663"/>
      <c r="J20" s="2438"/>
      <c r="K20" s="3516"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4"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4"/>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4"/>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5"/>
      <c r="B30" s="302" t="s">
        <v>2217</v>
      </c>
      <c r="C30" s="3536"/>
      <c r="D30" s="3537"/>
      <c r="E30" s="2663"/>
      <c r="F30" s="2663"/>
      <c r="G30" s="2663"/>
      <c r="H30" s="2663"/>
      <c r="I30" s="2663"/>
      <c r="J30" s="2438"/>
      <c r="K30" s="2615"/>
      <c r="L30" s="2612"/>
      <c r="M30" s="2612"/>
      <c r="N30" s="2438"/>
      <c r="O30" s="2449"/>
      <c r="P30" s="2438"/>
      <c r="Q30" s="2438"/>
      <c r="R30" s="2438"/>
      <c r="S30" s="2438"/>
      <c r="T30" s="2438"/>
      <c r="U30" s="2438"/>
      <c r="V30" s="2438"/>
    </row>
    <row r="31" spans="1:28">
      <c r="A31" s="3538"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33" t="s">
        <v>2227</v>
      </c>
      <c r="T34" s="2427" t="str">
        <f>NUMBERSTRING(7-K34,1)&amp;"通"</f>
        <v>七通</v>
      </c>
      <c r="U34" s="2438"/>
      <c r="V34" s="2438"/>
    </row>
    <row r="35" spans="1:30">
      <c r="A35" s="2428"/>
      <c r="B35" s="3540" t="s">
        <v>2228</v>
      </c>
      <c r="C35" s="3540"/>
      <c r="D35" s="3540"/>
      <c r="E35" s="354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t="s">
        <v>29</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3394</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507.22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507.22</v>
      </c>
      <c r="H5" s="13">
        <f t="shared" ref="H5:AT5" si="0">SUM(H13:H656)</f>
        <v>507.22</v>
      </c>
      <c r="I5" s="13">
        <f t="shared" si="0"/>
        <v>507.22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145.19</v>
      </c>
      <c r="BA5" s="15">
        <f t="shared" si="1"/>
        <v>145.19</v>
      </c>
      <c r="BB5" s="15">
        <f t="shared" si="1"/>
        <v>145.19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49" t="s">
        <v>3370</v>
      </c>
      <c r="D13" s="1624" t="s">
        <v>3371</v>
      </c>
      <c r="E13" s="13">
        <f>IF($C$3="是",ROUND($A$3*G13/$B$3,2),ROUND($A$3*(G13-AT13)/$B$3,2))</f>
        <v>0</v>
      </c>
      <c r="F13" s="29"/>
      <c r="G13" s="30">
        <f>H13+AC13+AT13</f>
        <v>145.19</v>
      </c>
      <c r="H13" s="17">
        <f>SUMIF(I$12:AB$12,"总值",I13:AB13)</f>
        <v>145.19</v>
      </c>
      <c r="I13" s="1625">
        <v>145.19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商业</v>
      </c>
      <c r="AY13" s="1348">
        <f>ROUND($AY$6*AZ13/$AZ$5,2)</f>
        <v>0</v>
      </c>
      <c r="AZ13" s="13">
        <f>BA13+BL13</f>
        <v>145.19</v>
      </c>
      <c r="BA13" s="13">
        <f>SUM(BB13:BK13)</f>
        <v>145.19</v>
      </c>
      <c r="BB13" s="13">
        <f>IF($D13="是",I13-J13,0)</f>
        <v>145.19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t="s">
        <v>3390</v>
      </c>
      <c r="E14" s="13">
        <f>IF($C$3="是",ROUND($A$3*G14/$B$3,2),ROUND($A$3*(G14-AT14)/$B$3,2))</f>
        <v>0</v>
      </c>
      <c r="F14" s="29"/>
      <c r="G14" s="30">
        <f>H14+AC14+AT14</f>
        <v>145.19</v>
      </c>
      <c r="H14" s="17">
        <f>SUMIF(I$12:AB$12,"总值",I14:AB14)</f>
        <v>145.19</v>
      </c>
      <c r="I14" s="1625">
        <v>145.19</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t="s">
        <v>3390</v>
      </c>
      <c r="E15" s="13">
        <f>IF($C$3="是",ROUND($A$3*G15/$B$3,2),ROUND($A$3*(G15-AT15)/$B$3,2))</f>
        <v>0</v>
      </c>
      <c r="F15" s="29"/>
      <c r="G15" s="30">
        <f>H15+AC15+AT15</f>
        <v>145.19</v>
      </c>
      <c r="H15" s="17">
        <f>SUMIF(I$12:AB$12,"总值",I15:AB15)</f>
        <v>145.19</v>
      </c>
      <c r="I15" s="1625">
        <v>145.19</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t="s">
        <v>3390</v>
      </c>
      <c r="E16" s="13">
        <f>IF($C$3="是",ROUND($A$3*G16/$B$3,2),ROUND($A$3*(G16-AT16)/$B$3,2))</f>
        <v>0</v>
      </c>
      <c r="F16" s="29"/>
      <c r="G16" s="30">
        <f>H16+AC16+AT16</f>
        <v>71.650000000000006</v>
      </c>
      <c r="H16" s="17">
        <f>SUMIF(I$12:AB$12,"总值",I16:AB16)</f>
        <v>71.650000000000006</v>
      </c>
      <c r="I16" s="1625">
        <v>71.650000000000006</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0" t="s">
        <v>1131</v>
      </c>
      <c r="B2" s="3550"/>
      <c r="C2" s="3550"/>
      <c r="D2" s="795" t="s">
        <v>1107</v>
      </c>
      <c r="E2" s="1638" t="s">
        <v>1108</v>
      </c>
      <c r="F2" s="2658"/>
      <c r="G2" s="2649"/>
      <c r="H2" s="2650"/>
      <c r="I2" s="2324" t="s">
        <v>1132</v>
      </c>
      <c r="J2" s="2658"/>
      <c r="K2" s="2658"/>
      <c r="L2" s="2658"/>
      <c r="M2" s="2658"/>
      <c r="N2" s="2660"/>
      <c r="O2" s="2658"/>
      <c r="P2" s="2658"/>
    </row>
    <row r="3" spans="1:16" ht="15.75" thickBot="1">
      <c r="A3" s="3551" t="s">
        <v>1105</v>
      </c>
      <c r="B3" s="3551"/>
      <c r="C3" s="3551"/>
      <c r="D3" s="43">
        <f>'数据-基础表'!AY6</f>
        <v>0</v>
      </c>
      <c r="E3" s="43">
        <f>'数据-基础表'!AZ5</f>
        <v>145.19</v>
      </c>
      <c r="F3" s="2658"/>
      <c r="G3" s="1144"/>
      <c r="H3" s="1025" t="s">
        <v>1106</v>
      </c>
      <c r="I3" s="854" t="e">
        <f>ROUND('数据-基础表'!B3/'数据-基础表'!A3,2)</f>
        <v>#DIV/0!</v>
      </c>
      <c r="J3" s="2658"/>
      <c r="K3" s="2658"/>
      <c r="L3" s="2658"/>
      <c r="M3" s="2658"/>
      <c r="N3" s="2660"/>
      <c r="O3" s="2658"/>
      <c r="P3" s="2658"/>
    </row>
    <row r="4" spans="1:16" ht="15">
      <c r="A4" s="3552"/>
      <c r="B4" s="3553"/>
      <c r="C4" s="355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5" t="s">
        <v>1110</v>
      </c>
      <c r="C5" s="355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5" t="s">
        <v>1111</v>
      </c>
      <c r="C6" s="3555"/>
      <c r="D6" s="45">
        <f>ROUND($D$3*E6/$E$3,2)</f>
        <v>0</v>
      </c>
      <c r="E6" s="46">
        <f>E3-E5</f>
        <v>145.19</v>
      </c>
      <c r="F6" s="2658"/>
      <c r="G6" s="2652" t="s">
        <v>1112</v>
      </c>
      <c r="H6" s="1145" t="s">
        <v>1113</v>
      </c>
      <c r="I6" s="2653" t="e">
        <f>ROUND(F31/D31,2)</f>
        <v>#DIV/0!</v>
      </c>
      <c r="J6" s="2658"/>
      <c r="K6" s="2658"/>
      <c r="L6" s="2658"/>
      <c r="M6" s="2658"/>
      <c r="N6" s="2658"/>
      <c r="O6" s="2658"/>
      <c r="P6" s="2658"/>
    </row>
    <row r="7" spans="1:16" ht="15.75" thickBot="1">
      <c r="A7" s="3547"/>
      <c r="B7" s="3548"/>
      <c r="C7" s="354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145.19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145.19</v>
      </c>
      <c r="F16" s="2658"/>
      <c r="G16" s="2659"/>
      <c r="H16" s="1647" t="s">
        <v>1135</v>
      </c>
      <c r="I16" s="1648"/>
      <c r="J16" s="1138"/>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8"/>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商业</v>
      </c>
      <c r="D19" s="45">
        <f>ROUND($D$3*E19/$E$3,2)</f>
        <v>0</v>
      </c>
      <c r="E19" s="53">
        <f t="shared" ref="E19:E26" si="1">SUM(F19:G19)</f>
        <v>145.19</v>
      </c>
      <c r="F19" s="2794">
        <f>'数据-基础表'!I13</f>
        <v>145.19</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145.19</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145.19</v>
      </c>
      <c r="F27" s="1139">
        <f>IF(SUM(F19:F26)=E8,SUM(F19:F26),"地上面积有误")</f>
        <v>145.19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145.19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145.19</v>
      </c>
      <c r="F31" s="676">
        <f>F27+F30</f>
        <v>145.19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45163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3373</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52831</v>
      </c>
      <c r="F6" s="64">
        <f>SUMIF(项目基本情况!C$12:I$12,C6,项目基本情况!C$15:I$15)</f>
        <v>21</v>
      </c>
      <c r="G6" s="65">
        <f>IF(ISERROR(ROUND(POWER(1+H6,D6-F6)*(POWER(1+H6,F6)-1)/(POWER(1+H6,D6)-1),3)),0,ROUND(POWER(1+H6,D6-F6)*(POWER(1+H6,F6)-1)/(POWER(1+H6,D6)-1),3))</f>
        <v>0.747</v>
      </c>
      <c r="H6" s="731">
        <v>0.05</v>
      </c>
      <c r="I6" s="731">
        <v>5.5E-2</v>
      </c>
      <c r="J6" s="66">
        <v>7.4999999999999997E-2</v>
      </c>
      <c r="K6" s="1029">
        <f>SUMIF('数据-汇总表'!C$19:C$33,A6,'数据-汇总表'!E$19:E$33)</f>
        <v>145.19</v>
      </c>
      <c r="L6" s="732">
        <v>4000</v>
      </c>
      <c r="M6" s="67">
        <f t="shared" ref="M6:M14" si="0">ROUND(K6*L6/10000,0)</f>
        <v>58</v>
      </c>
      <c r="N6" s="730">
        <f>ROUND((1-(2023-2006)/60),2)</f>
        <v>0.72</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租金比较法!C49</f>
        <v>4.5999999999999996</v>
      </c>
      <c r="V6" s="70">
        <v>2.5000000000000001E-2</v>
      </c>
      <c r="W6" s="70">
        <v>0.05</v>
      </c>
      <c r="X6" s="1039"/>
      <c r="Y6" s="71">
        <f>N6</f>
        <v>0.72</v>
      </c>
      <c r="Z6" s="72"/>
      <c r="AA6" s="66"/>
      <c r="AB6" s="66"/>
      <c r="AC6" s="1039"/>
      <c r="AD6" s="73"/>
      <c r="AE6" s="1040">
        <f ca="1">IF(AN6="",0,SUMIF(INDIRECT("'"&amp;AN6&amp;"'"&amp;"!E:E"),$AE$5,INDIRECT("'"&amp;AN6&amp;"'"&amp;"!F:F")))</f>
        <v>21</v>
      </c>
      <c r="AF6" s="1347"/>
      <c r="AG6" s="138">
        <f>IF(AF6="",0,AE6-AF6)</f>
        <v>0</v>
      </c>
      <c r="AH6" s="74"/>
      <c r="AI6" s="76">
        <v>365</v>
      </c>
      <c r="AJ6" s="77"/>
      <c r="AK6" s="78">
        <v>0.01</v>
      </c>
      <c r="AL6" s="79">
        <v>1E-3</v>
      </c>
      <c r="AM6" s="80">
        <v>0.01</v>
      </c>
      <c r="AN6" s="1714" t="s">
        <v>3374</v>
      </c>
      <c r="AO6" s="52">
        <f ca="1">SUMIF(INDIRECT("'"&amp;AN6&amp;"'"&amp;"!A:A"),"总价",INDIRECT("'"&amp;AN6&amp;"'"&amp;"!B:B"))</f>
        <v>282.82470000000001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0.747</v>
      </c>
      <c r="H16" s="90">
        <f>ROUND(SUMPRODUCT(H6:H13,K6:K13)/SUMPRODUCT((H6:H13&gt;0)*(K6:K13)),3)</f>
        <v>0.05</v>
      </c>
      <c r="I16" s="91"/>
      <c r="J16" s="91"/>
      <c r="K16" s="92">
        <f>SUM(K6:K15)</f>
        <v>145.19</v>
      </c>
      <c r="L16" s="93">
        <f>ROUND(M16*10000/SUM(K6:K14),0)</f>
        <v>3995</v>
      </c>
      <c r="M16" s="93">
        <f>SUM(M6:M14)</f>
        <v>58</v>
      </c>
      <c r="N16" s="94">
        <f>ROUND(SUMPRODUCT(M6:M14,N6:N14)/M16,3)</f>
        <v>0.72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2.9037999999999999</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12</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110</v>
      </c>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6" t="s">
        <v>2276</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4">
      <c r="A3" s="2440" t="s">
        <v>2275</v>
      </c>
      <c r="B3" s="2462" t="s">
        <v>2251</v>
      </c>
      <c r="C3" s="2463"/>
      <c r="D3" s="2464"/>
      <c r="E3" s="2441" t="s">
        <v>2275</v>
      </c>
      <c r="F3" s="2465" t="s">
        <v>2252</v>
      </c>
      <c r="G3" s="2466"/>
      <c r="H3" s="798"/>
      <c r="I3" s="798"/>
      <c r="J3" s="798"/>
      <c r="K3" s="798"/>
      <c r="L3" s="798"/>
      <c r="M3" s="798"/>
      <c r="N3" s="798"/>
      <c r="O3" s="798"/>
      <c r="P3" s="798"/>
      <c r="Q3" s="798"/>
      <c r="R3" s="798"/>
    </row>
    <row r="4" spans="1:29">
      <c r="A4" s="2441"/>
      <c r="B4" s="323" t="s">
        <v>2253</v>
      </c>
      <c r="C4" s="2467"/>
      <c r="D4" s="2464"/>
      <c r="E4" s="2468"/>
      <c r="F4" s="1372" t="s">
        <v>2254</v>
      </c>
      <c r="G4" s="2469"/>
      <c r="H4" s="798"/>
      <c r="I4" s="798"/>
      <c r="J4" s="798"/>
      <c r="K4" s="798"/>
      <c r="L4" s="798"/>
      <c r="M4" s="798"/>
      <c r="N4" s="798"/>
      <c r="O4" s="798"/>
      <c r="P4" s="798"/>
      <c r="Q4" s="798"/>
      <c r="R4" s="798"/>
    </row>
    <row r="5" spans="1:29">
      <c r="A5" s="2441"/>
      <c r="B5" s="323" t="s">
        <v>2255</v>
      </c>
      <c r="C5" s="2467"/>
      <c r="D5" s="2464"/>
      <c r="E5" s="2468"/>
      <c r="F5" s="323" t="s">
        <v>2256</v>
      </c>
      <c r="G5" s="2469"/>
      <c r="H5" s="798"/>
      <c r="I5" s="798"/>
      <c r="J5" s="798"/>
      <c r="K5" s="798"/>
      <c r="L5" s="798"/>
      <c r="M5" s="798"/>
      <c r="N5" s="798"/>
      <c r="O5" s="798"/>
      <c r="P5" s="798"/>
      <c r="Q5" s="798"/>
      <c r="R5" s="798"/>
    </row>
    <row r="6" spans="1:29">
      <c r="A6" s="2441"/>
      <c r="B6" s="323" t="s">
        <v>2257</v>
      </c>
      <c r="C6" s="2469"/>
      <c r="D6" s="2464"/>
      <c r="E6" s="2468"/>
      <c r="F6" s="323" t="s">
        <v>2258</v>
      </c>
      <c r="G6" s="2469"/>
      <c r="H6" s="798"/>
      <c r="I6" s="798"/>
      <c r="J6" s="798"/>
      <c r="K6" s="798"/>
      <c r="L6" s="798"/>
      <c r="M6" s="798"/>
      <c r="N6" s="798"/>
      <c r="O6" s="798"/>
      <c r="P6" s="798"/>
      <c r="Q6" s="798"/>
      <c r="R6" s="798"/>
    </row>
    <row r="7" spans="1:29" ht="15" thickBot="1">
      <c r="A7" s="2441"/>
      <c r="B7" s="323" t="s">
        <v>2256</v>
      </c>
      <c r="C7" s="2469"/>
      <c r="D7" s="2470"/>
      <c r="E7" s="2471"/>
      <c r="F7" s="2472" t="s">
        <v>2259</v>
      </c>
      <c r="G7" s="2473"/>
      <c r="H7" s="798"/>
      <c r="I7" s="798"/>
      <c r="J7" s="798"/>
      <c r="K7" s="798"/>
      <c r="L7" s="798"/>
      <c r="M7" s="798"/>
      <c r="N7" s="798"/>
      <c r="O7" s="798"/>
      <c r="P7" s="798"/>
      <c r="Q7" s="798"/>
      <c r="R7" s="798"/>
    </row>
    <row r="8" spans="1:29">
      <c r="A8" s="2441"/>
      <c r="B8" s="323" t="s">
        <v>2258</v>
      </c>
      <c r="C8" s="2469"/>
      <c r="D8" s="2470"/>
      <c r="E8" s="2470"/>
      <c r="F8" s="2474"/>
      <c r="G8" s="2474"/>
      <c r="H8" s="798"/>
      <c r="I8" s="798"/>
      <c r="J8" s="798"/>
      <c r="K8" s="798"/>
      <c r="L8" s="798"/>
      <c r="M8" s="798"/>
      <c r="N8" s="798"/>
      <c r="O8" s="798"/>
      <c r="P8" s="798"/>
      <c r="Q8" s="798"/>
      <c r="R8" s="798"/>
    </row>
    <row r="9" spans="1:29">
      <c r="A9" s="2441"/>
      <c r="B9" s="323" t="s">
        <v>2260</v>
      </c>
      <c r="C9" s="2467"/>
      <c r="D9" s="2464"/>
      <c r="E9" s="2470"/>
      <c r="F9" s="2474"/>
      <c r="G9" s="2474"/>
      <c r="H9" s="798"/>
      <c r="I9" s="798"/>
      <c r="J9" s="798"/>
      <c r="K9" s="798"/>
      <c r="L9" s="798"/>
      <c r="M9" s="798"/>
      <c r="N9" s="798"/>
      <c r="O9" s="798"/>
      <c r="P9" s="798"/>
      <c r="Q9" s="798"/>
      <c r="R9" s="798"/>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8"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8"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507.22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1423</v>
      </c>
      <c r="C5" s="2511">
        <f ca="1">IF(B5=D14,结果表!H102,ROUND(B5*10000/$B$1,0))</f>
        <v>38448</v>
      </c>
      <c r="D5" s="2511" t="e">
        <f ca="1">ROUND(B5*10000/$B$2,0)</f>
        <v>#DIV/0!</v>
      </c>
      <c r="E5" s="2685"/>
      <c r="F5" s="2686"/>
      <c r="G5" s="2686"/>
      <c r="H5" s="2687"/>
      <c r="I5" s="2687"/>
      <c r="J5" s="2687"/>
      <c r="K5" s="2687"/>
    </row>
    <row r="6" spans="1:11" ht="16.5">
      <c r="A6" s="2511" t="s">
        <v>656</v>
      </c>
      <c r="B6" s="2511">
        <f ca="1">SUM(G14:G23)</f>
        <v>1423</v>
      </c>
      <c r="C6" s="2511">
        <f ca="1">IF(B6=G14,结果表!H108,ROUND(B6*10000/$B$1,0))</f>
        <v>38448</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3350</v>
      </c>
      <c r="D10" s="2511" t="s">
        <v>3351</v>
      </c>
      <c r="E10" s="3440"/>
      <c r="F10" s="3444" t="s">
        <v>3352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507.22</v>
      </c>
      <c r="C14" s="2517"/>
      <c r="D14" s="2517">
        <f ca="1">典型户型修正!S22</f>
        <v>1423</v>
      </c>
      <c r="E14" s="2517">
        <f ca="1">ROUND(D14*10000/B14,0)</f>
        <v>28055</v>
      </c>
      <c r="F14" s="2517" t="e">
        <f ca="1">ROUND(D14*10000/C14,0)</f>
        <v>#DIV/0!</v>
      </c>
      <c r="G14" s="2517">
        <f ca="1">D14</f>
        <v>1423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3385</v>
      </c>
      <c r="H1" s="1749" t="str">
        <f>IF(G1="现房","——","估价对象范围")</f>
        <v>——</v>
      </c>
      <c r="I1" s="1750" t="s">
        <v>3386</v>
      </c>
    </row>
    <row r="2" spans="1:12" ht="21.75" customHeight="1" thickBot="1">
      <c r="A2" s="3625" t="str">
        <f>项目基本情况!S2</f>
        <v>北京市房地产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3" t="s">
        <v>1265</v>
      </c>
      <c r="B4" s="1754" t="s">
        <v>1266</v>
      </c>
      <c r="C4" s="1755" t="s">
        <v>3444</v>
      </c>
      <c r="D4" s="1755" t="s">
        <v>3374</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628">
        <v>25</v>
      </c>
      <c r="C5" s="3631"/>
      <c r="D5" s="3619"/>
      <c r="E5" s="131" t="s">
        <v>1269</v>
      </c>
      <c r="F5" s="1756"/>
      <c r="G5" s="1756"/>
      <c r="H5" s="1756"/>
      <c r="I5" s="1372"/>
    </row>
    <row r="6" spans="1:12" ht="12.75">
      <c r="A6" s="3573"/>
      <c r="B6" s="3628"/>
      <c r="C6" s="3633"/>
      <c r="D6" s="3619"/>
      <c r="E6" s="131" t="s">
        <v>1270</v>
      </c>
      <c r="F6" s="1756"/>
      <c r="G6" s="1756"/>
      <c r="H6" s="1756"/>
      <c r="I6" s="1372"/>
    </row>
    <row r="7" spans="1:12" ht="12.75">
      <c r="A7" s="3573"/>
      <c r="B7" s="3628"/>
      <c r="C7" s="3632"/>
      <c r="D7" s="3619"/>
      <c r="E7" s="131" t="s">
        <v>1271</v>
      </c>
      <c r="F7" s="1756"/>
      <c r="G7" s="1756"/>
      <c r="H7" s="1756"/>
      <c r="I7" s="1372"/>
    </row>
    <row r="8" spans="1:12" ht="12.75">
      <c r="A8" s="3573" t="s">
        <v>1272</v>
      </c>
      <c r="B8" s="3628">
        <v>15</v>
      </c>
      <c r="C8" s="3631"/>
      <c r="D8" s="3619"/>
      <c r="E8" s="131" t="s">
        <v>1273</v>
      </c>
      <c r="F8" s="1756"/>
      <c r="G8" s="1756"/>
      <c r="H8" s="1756"/>
      <c r="I8" s="1372"/>
    </row>
    <row r="9" spans="1:12" ht="12.75">
      <c r="A9" s="3573"/>
      <c r="B9" s="3628"/>
      <c r="C9" s="3632"/>
      <c r="D9" s="3619"/>
      <c r="E9" s="131" t="s">
        <v>1274</v>
      </c>
      <c r="F9" s="1756"/>
      <c r="G9" s="1756"/>
      <c r="H9" s="1756"/>
      <c r="I9" s="1372"/>
    </row>
    <row r="10" spans="1:12" ht="12.75">
      <c r="A10" s="3573" t="s">
        <v>1275</v>
      </c>
      <c r="B10" s="3628">
        <v>15</v>
      </c>
      <c r="C10" s="3631"/>
      <c r="D10" s="3619"/>
      <c r="E10" s="131" t="s">
        <v>1276</v>
      </c>
      <c r="F10" s="1756"/>
      <c r="G10" s="1756"/>
      <c r="H10" s="1756"/>
      <c r="I10" s="1372"/>
    </row>
    <row r="11" spans="1:12" ht="12.75">
      <c r="A11" s="3573"/>
      <c r="B11" s="3628"/>
      <c r="C11" s="3632"/>
      <c r="D11" s="3619"/>
      <c r="E11" s="131" t="s">
        <v>1277</v>
      </c>
      <c r="F11" s="1756"/>
      <c r="G11" s="1756"/>
      <c r="H11" s="1756"/>
      <c r="I11" s="1372"/>
    </row>
    <row r="12" spans="1:12" ht="12.75">
      <c r="A12" s="3573" t="s">
        <v>1278</v>
      </c>
      <c r="B12" s="3628">
        <v>15</v>
      </c>
      <c r="C12" s="3631"/>
      <c r="D12" s="3619"/>
      <c r="E12" s="131" t="s">
        <v>1279</v>
      </c>
      <c r="F12" s="1756"/>
      <c r="G12" s="1756"/>
      <c r="H12" s="1756"/>
      <c r="I12" s="1372"/>
    </row>
    <row r="13" spans="1:12" ht="12.75">
      <c r="A13" s="3573"/>
      <c r="B13" s="3628"/>
      <c r="C13" s="3632"/>
      <c r="D13" s="3619"/>
      <c r="E13" s="131" t="s">
        <v>1280</v>
      </c>
      <c r="F13" s="1756"/>
      <c r="G13" s="1756"/>
      <c r="H13" s="1756"/>
      <c r="I13" s="1372"/>
    </row>
    <row r="14" spans="1:12" ht="12.75">
      <c r="A14" s="3573" t="s">
        <v>1281</v>
      </c>
      <c r="B14" s="3628">
        <v>30</v>
      </c>
      <c r="C14" s="3631">
        <v>7</v>
      </c>
      <c r="D14" s="3619">
        <v>3</v>
      </c>
      <c r="E14" s="131" t="s">
        <v>1282</v>
      </c>
      <c r="F14" s="1756"/>
      <c r="G14" s="1756"/>
      <c r="H14" s="1756"/>
      <c r="I14" s="1372"/>
    </row>
    <row r="15" spans="1:12" ht="12.75">
      <c r="A15" s="3573"/>
      <c r="B15" s="3628"/>
      <c r="C15" s="3633"/>
      <c r="D15" s="3619"/>
      <c r="E15" s="131" t="s">
        <v>1283</v>
      </c>
      <c r="F15" s="1756"/>
      <c r="G15" s="1756"/>
      <c r="H15" s="1756"/>
      <c r="I15" s="1372"/>
    </row>
    <row r="16" spans="1:12" ht="12.75">
      <c r="A16" s="3573"/>
      <c r="B16" s="3628"/>
      <c r="C16" s="3632"/>
      <c r="D16" s="3619"/>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50" t="s">
        <v>2130</v>
      </c>
      <c r="F18" s="3651"/>
      <c r="G18" s="3651"/>
      <c r="H18" s="3651"/>
      <c r="I18" s="3651"/>
      <c r="K18" s="302" t="s">
        <v>1289</v>
      </c>
      <c r="L18" s="302">
        <f>IF(C1="",'数据-汇总表'!E3,SUMIF(项目类型,C1,'数据-汇总表'!E17:E26)+SUMIF(项目类型,C1,'数据-汇总表'!I17:I26))</f>
        <v>145.19</v>
      </c>
      <c r="M18" s="302">
        <f>IF(C1="",'数据-汇总表'!E3,SUMIF(项目类型,C1,'数据-汇总表'!E17:E26))</f>
        <v>145.19</v>
      </c>
    </row>
    <row r="19" spans="1:36" ht="15">
      <c r="A19" s="1760" t="s">
        <v>1290</v>
      </c>
      <c r="B19" s="1761" t="s">
        <v>1291</v>
      </c>
      <c r="C19" s="134">
        <f ca="1">SUMIF(INDIRECT("'"&amp;C4&amp;"'"&amp;"!A:A"),结果表!B19,INDIRECT("'"&amp;C4&amp;"'"&amp;"!B:B"))</f>
        <v>676.25149999999996</v>
      </c>
      <c r="D19" s="135">
        <f ca="1">SUMIF(INDIRECT("'"&amp;D4&amp;"'"&amp;"!A:A"),结果表!B19,INDIRECT("'"&amp;D4&amp;"'"&amp;"!B:B"))</f>
        <v>282.82470000000001</v>
      </c>
      <c r="E19" s="1760" t="s">
        <v>1292</v>
      </c>
      <c r="F19" s="1761" t="s">
        <v>1291</v>
      </c>
      <c r="G19" s="136">
        <f ca="1">ROUND(C19*$C$18+D19*$D$18,0)</f>
        <v>558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46577</v>
      </c>
      <c r="D20" s="138">
        <f ca="1">SUMIF(INDIRECT("'"&amp;D4&amp;"'"&amp;"!A:A"),结果表!B20,INDIRECT("'"&amp;D4&amp;"'"&amp;"!B:B"))</f>
        <v>19480</v>
      </c>
      <c r="E20" s="1763"/>
      <c r="F20" s="1025" t="s">
        <v>1295</v>
      </c>
      <c r="G20" s="139">
        <f ca="1">ROUND(C20*$C$18+D20*$D$18,0)</f>
        <v>38448</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1.3910623789223497</v>
      </c>
      <c r="E22" s="129"/>
      <c r="F22" s="129"/>
      <c r="G22" s="129">
        <f ca="1">ROUND(G20*'数据-汇总表'!E3,0)</f>
        <v>5582265</v>
      </c>
      <c r="H22" s="129"/>
      <c r="I22" s="129"/>
    </row>
    <row r="23" spans="1:36" ht="13.5" thickBot="1">
      <c r="A23" s="1746"/>
      <c r="B23" s="1746"/>
      <c r="C23" s="1746"/>
      <c r="D23" s="1746"/>
      <c r="E23" s="129"/>
      <c r="F23" s="3450"/>
      <c r="G23" s="129"/>
      <c r="H23" s="129"/>
      <c r="I23" s="129"/>
    </row>
    <row r="24" spans="1:36" ht="14.25">
      <c r="A24" s="3643" t="s">
        <v>1299</v>
      </c>
      <c r="B24" s="1761" t="s">
        <v>1291</v>
      </c>
      <c r="C24" s="136">
        <f>IF(B30=0,0,D30)</f>
        <v>0</v>
      </c>
      <c r="D24" s="1768"/>
      <c r="E24" s="129"/>
      <c r="F24" s="3450"/>
      <c r="G24" s="129"/>
      <c r="H24" s="129"/>
      <c r="I24" s="129"/>
    </row>
    <row r="25" spans="1:36" ht="14.25">
      <c r="A25" s="3644"/>
      <c r="B25" s="1025" t="s">
        <v>1295</v>
      </c>
      <c r="C25" s="141">
        <f>IF(B30=0,0,C30)</f>
        <v>0</v>
      </c>
      <c r="D25" s="1769"/>
      <c r="E25" s="129"/>
      <c r="F25" s="3450"/>
      <c r="G25" s="129"/>
      <c r="H25" s="129"/>
      <c r="I25" s="129"/>
    </row>
    <row r="26" spans="1:36" ht="13.5" customHeight="1">
      <c r="A26" s="1770" t="s">
        <v>1300</v>
      </c>
      <c r="B26" s="142" t="s">
        <v>1301</v>
      </c>
      <c r="C26" s="142" t="s">
        <v>1302</v>
      </c>
      <c r="D26" s="143" t="s">
        <v>1303</v>
      </c>
      <c r="E26" s="129"/>
      <c r="F26" s="3450"/>
      <c r="G26" s="129"/>
      <c r="H26" s="129"/>
      <c r="I26" s="129"/>
    </row>
    <row r="27" spans="1:36" ht="14.25">
      <c r="A27" s="1770"/>
      <c r="B27" s="142">
        <v>0</v>
      </c>
      <c r="C27" s="142">
        <v>0</v>
      </c>
      <c r="D27" s="143">
        <f>ROUND(C27*B27/10000,0)</f>
        <v>0</v>
      </c>
      <c r="E27" s="129"/>
      <c r="F27" s="3450"/>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38448</v>
      </c>
      <c r="D32" s="1774" t="s">
        <v>3391</v>
      </c>
      <c r="E32" s="129"/>
      <c r="F32" s="129"/>
      <c r="G32" s="129"/>
      <c r="H32" s="129"/>
      <c r="I32" s="129"/>
    </row>
    <row r="33" spans="1:15" ht="15">
      <c r="A33" s="785" t="s">
        <v>1306</v>
      </c>
      <c r="B33" s="1775"/>
      <c r="C33" s="1776" t="s">
        <v>3445</v>
      </c>
      <c r="D33" s="1777" t="s">
        <v>3374</v>
      </c>
      <c r="E33" s="1778" t="s">
        <v>1307</v>
      </c>
      <c r="F33" s="1779" t="str">
        <f>IF(D32="楼面单价","取值（单价）","取值（总价）")</f>
        <v>取值（单价）</v>
      </c>
      <c r="G33" s="129"/>
      <c r="H33" s="129"/>
      <c r="I33" s="129"/>
    </row>
    <row r="34" spans="1:15" ht="15">
      <c r="A34" s="1780"/>
      <c r="B34" s="1781" t="s">
        <v>1308</v>
      </c>
      <c r="C34" s="148">
        <f ca="1">IF(C33="自定义",F34,C32-C35)</f>
        <v>28528</v>
      </c>
      <c r="D34" s="860">
        <f ca="1">IF(C33="自定义",ROUND(C34/C32,3),IF(C33="收益比率",SUMIF(INDIRECT("'"&amp;D33&amp;"'"&amp;"!b:b"),"土地收益比率",INDIRECT("'"&amp;D33&amp;"'"&amp;"!c:c")),SUMIF(INDIRECT("'"&amp;D33&amp;"'"&amp;"!b:b"),"土地成本比率",INDIRECT("'"&amp;D33&amp;"'"&amp;"!c:c"))))</f>
        <v>0.74199999999999999</v>
      </c>
      <c r="E34" s="1782" t="s">
        <v>1309</v>
      </c>
      <c r="F34" s="1329"/>
      <c r="G34" s="129"/>
      <c r="H34" s="129"/>
      <c r="I34" s="129"/>
    </row>
    <row r="35" spans="1:15" ht="15.75" thickBot="1">
      <c r="A35" s="1783"/>
      <c r="B35" s="1784" t="s">
        <v>1310</v>
      </c>
      <c r="C35" s="1169">
        <f ca="1">IF(C33="自定义",F35,ROUND(C32*D35,0))</f>
        <v>9920</v>
      </c>
      <c r="D35" s="1170">
        <f ca="1">IF(C33="自定义",ROUND(C35/C32,3),IF(C33="收益比率",SUMIF(INDIRECT("'"&amp;D33&amp;"'"&amp;"!b:b"),"建筑物收益比率",INDIRECT("'"&amp;D33&amp;"'"&amp;"!c:c")),SUMIF(INDIRECT("'"&amp;D33&amp;"'"&amp;"!b:b"),"建筑物成本比率",INDIRECT("'"&amp;D33&amp;"'"&amp;"!c:c"))))</f>
        <v>0.25800000000000001</v>
      </c>
      <c r="E35" s="1785" t="s">
        <v>1311</v>
      </c>
      <c r="F35" s="154"/>
      <c r="G35" s="129"/>
      <c r="H35" s="129"/>
      <c r="I35" s="129"/>
    </row>
    <row r="36" spans="1:15" ht="15.75" thickBot="1">
      <c r="A36" s="3620" t="s">
        <v>1312</v>
      </c>
      <c r="B36" s="1786" t="s">
        <v>1313</v>
      </c>
      <c r="C36" s="145"/>
      <c r="D36" s="1787"/>
      <c r="E36" s="1788"/>
      <c r="F36" s="1789"/>
      <c r="G36" s="129"/>
      <c r="H36" s="129"/>
      <c r="I36" s="129"/>
    </row>
    <row r="37" spans="1:15" ht="15.75" thickBot="1">
      <c r="A37" s="3621"/>
      <c r="B37" s="1673" t="s">
        <v>1314</v>
      </c>
      <c r="C37" s="147"/>
      <c r="D37" s="1138"/>
      <c r="E37" s="1138"/>
      <c r="F37" s="1789"/>
      <c r="G37" s="129"/>
      <c r="H37" s="129"/>
      <c r="I37" s="129"/>
    </row>
    <row r="38" spans="1:15" ht="15.75" thickBot="1">
      <c r="A38" s="3622"/>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0" t="s">
        <v>1326</v>
      </c>
      <c r="B45" s="3641"/>
      <c r="C45" s="3642"/>
      <c r="D45" s="155">
        <f ca="1">ROUND(H101*F45,0)</f>
        <v>558</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5"/>
      <c r="I46" s="159"/>
      <c r="J46" s="2522">
        <v>1</v>
      </c>
      <c r="K46" s="3561" t="s">
        <v>1331</v>
      </c>
      <c r="L46" s="3561"/>
      <c r="M46" s="3562"/>
      <c r="N46" s="3562"/>
      <c r="O46" s="3562"/>
    </row>
    <row r="47" spans="1:15" ht="12" customHeight="1">
      <c r="A47" s="160" t="s">
        <v>1332</v>
      </c>
      <c r="B47" s="161"/>
      <c r="C47" s="162"/>
      <c r="D47" s="1086" t="s">
        <v>1333</v>
      </c>
      <c r="E47" s="302" t="s">
        <v>1334</v>
      </c>
      <c r="F47" s="163" t="s">
        <v>1335</v>
      </c>
      <c r="G47" s="2545" t="s">
        <v>1336</v>
      </c>
      <c r="H47" s="2546"/>
      <c r="I47" s="159"/>
      <c r="J47" s="2522">
        <v>2</v>
      </c>
      <c r="K47" s="3561" t="s">
        <v>1337</v>
      </c>
      <c r="L47" s="3561"/>
      <c r="M47" s="3563">
        <f>'数据-取费表'!B2</f>
        <v>45163</v>
      </c>
      <c r="N47" s="3563"/>
      <c r="O47" s="3563"/>
    </row>
    <row r="48" spans="1:15" ht="25.5">
      <c r="A48" s="3623" t="s">
        <v>1338</v>
      </c>
      <c r="B48" s="3624"/>
      <c r="C48" s="362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61" t="s">
        <v>1340</v>
      </c>
      <c r="L48" s="3561"/>
      <c r="M48" s="3564">
        <f ca="1">H101</f>
        <v>558</v>
      </c>
      <c r="N48" s="3564"/>
      <c r="O48" s="3564"/>
    </row>
    <row r="49" spans="1:35" ht="25.5" customHeight="1">
      <c r="A49" s="2332" t="s">
        <v>1341</v>
      </c>
      <c r="B49" s="3609" t="s">
        <v>1342</v>
      </c>
      <c r="C49" s="3609"/>
      <c r="D49" s="1589">
        <v>0</v>
      </c>
      <c r="E49" s="324" t="s">
        <v>1343</v>
      </c>
      <c r="F49" s="2423" t="s">
        <v>28</v>
      </c>
      <c r="G49" s="3592"/>
      <c r="H49" s="2309" t="s">
        <v>2133</v>
      </c>
      <c r="I49" s="2310"/>
      <c r="J49" s="2522">
        <v>4</v>
      </c>
      <c r="K49" s="3561" t="str">
        <f>IF(项目基本情况!E8="房地产抵押价值","房地产抵押价值","抵押担保权已注销时的房地产抵押价值")</f>
        <v>房地产抵押价值</v>
      </c>
      <c r="L49" s="3561"/>
      <c r="M49" s="3564">
        <f ca="1">IF(项目基本情况!E8="房地产抵押价值",H107,H109)</f>
        <v>558</v>
      </c>
      <c r="N49" s="3564"/>
      <c r="O49" s="3564"/>
    </row>
    <row r="50" spans="1:35" ht="25.5" customHeight="1">
      <c r="A50" s="2550"/>
      <c r="B50" s="3609" t="s">
        <v>1344</v>
      </c>
      <c r="C50" s="3609"/>
      <c r="D50" s="2551"/>
      <c r="E50" s="332"/>
      <c r="F50" s="2423"/>
      <c r="G50" s="3593"/>
      <c r="H50" s="2311" t="s">
        <v>2134</v>
      </c>
      <c r="I50" s="2310"/>
      <c r="J50" s="3560" t="s">
        <v>1345</v>
      </c>
      <c r="K50" s="3560"/>
      <c r="L50" s="3560"/>
      <c r="M50" s="3560"/>
      <c r="N50" s="3560"/>
      <c r="O50" s="3560"/>
    </row>
    <row r="51" spans="1:35" ht="20.45" customHeight="1">
      <c r="A51" s="2552"/>
      <c r="B51" s="3609" t="s">
        <v>1346</v>
      </c>
      <c r="C51" s="3609"/>
      <c r="D51" s="1086"/>
      <c r="E51" s="327"/>
      <c r="F51" s="2423"/>
      <c r="G51" s="3594"/>
      <c r="H51" s="2311" t="s">
        <v>2135</v>
      </c>
      <c r="I51" s="2310"/>
      <c r="J51" s="2523" t="s">
        <v>1347</v>
      </c>
      <c r="K51" s="3561" t="s">
        <v>1348</v>
      </c>
      <c r="L51" s="3561"/>
      <c r="M51" s="2523" t="s">
        <v>1349</v>
      </c>
      <c r="N51" s="2523" t="s">
        <v>1350</v>
      </c>
      <c r="O51" s="2523" t="s">
        <v>1351</v>
      </c>
    </row>
    <row r="52" spans="1:35" ht="24" customHeight="1">
      <c r="A52" s="2334" t="s">
        <v>1352</v>
      </c>
      <c r="B52" s="3609" t="s">
        <v>1353</v>
      </c>
      <c r="C52" s="3609"/>
      <c r="D52" s="1086">
        <f ca="1">ROUND(D45*'数据-取费表'!B41/(1+'数据-取费表'!C42),0)</f>
        <v>30</v>
      </c>
      <c r="E52" s="2333" t="s">
        <v>1354</v>
      </c>
      <c r="F52" s="2553">
        <f>'数据-取费表'!B41</f>
        <v>5.6000000000000001E-2</v>
      </c>
      <c r="G52" s="2554"/>
      <c r="H52" s="2543"/>
      <c r="I52" s="1806"/>
      <c r="J52" s="2522">
        <v>1</v>
      </c>
      <c r="K52" s="3586" t="s">
        <v>1355</v>
      </c>
      <c r="L52" s="3586"/>
      <c r="M52" s="2524" t="b">
        <f>D48</f>
        <v>0</v>
      </c>
      <c r="N52" s="2522" t="str">
        <f>E48</f>
        <v>销售额×税（费）率</v>
      </c>
      <c r="O52" s="2525">
        <f>F48</f>
        <v>5.6000000000000001E-2</v>
      </c>
    </row>
    <row r="53" spans="1:35" ht="12" customHeight="1">
      <c r="A53" s="2334" t="s">
        <v>1356</v>
      </c>
      <c r="B53" s="3610" t="s">
        <v>2281</v>
      </c>
      <c r="C53" s="3611"/>
      <c r="D53" s="1086">
        <f ca="1">ROUND(D45*'数据-取费表'!B41/(1+'数据-取费表'!C42),0)</f>
        <v>30</v>
      </c>
      <c r="E53" s="2333" t="s">
        <v>1354</v>
      </c>
      <c r="F53" s="2553">
        <f>'数据-取费表'!B41</f>
        <v>5.6000000000000001E-2</v>
      </c>
      <c r="G53" s="2554"/>
      <c r="H53" s="2543"/>
      <c r="I53" s="1806"/>
      <c r="J53" s="2522">
        <v>2</v>
      </c>
      <c r="K53" s="3586" t="s">
        <v>1357</v>
      </c>
      <c r="L53" s="3586"/>
      <c r="M53" s="2524">
        <f t="shared" ref="M53:O54" ca="1" si="0">D55</f>
        <v>0</v>
      </c>
      <c r="N53" s="2522" t="str">
        <f t="shared" si="0"/>
        <v>销售额×税（费）率</v>
      </c>
      <c r="O53" s="2525" t="str">
        <f t="shared" si="0"/>
        <v>免征</v>
      </c>
    </row>
    <row r="54" spans="1:35" ht="12" customHeight="1">
      <c r="A54" s="2334" t="s">
        <v>1358</v>
      </c>
      <c r="B54" s="3610" t="s">
        <v>2282</v>
      </c>
      <c r="C54" s="3611"/>
      <c r="D54" s="1086">
        <f ca="1">C68</f>
        <v>30</v>
      </c>
      <c r="E54" s="327" t="s">
        <v>1359</v>
      </c>
      <c r="F54" s="2553">
        <f>'数据-取费表'!B41</f>
        <v>5.6000000000000001E-2</v>
      </c>
      <c r="G54" s="2554"/>
      <c r="H54" s="2555"/>
      <c r="I54" s="1806"/>
      <c r="J54" s="2522">
        <v>3</v>
      </c>
      <c r="K54" s="3586" t="s">
        <v>1360</v>
      </c>
      <c r="L54" s="3586"/>
      <c r="M54" s="2524">
        <f t="shared" ca="1" si="0"/>
        <v>316</v>
      </c>
      <c r="N54" s="2522" t="str">
        <f t="shared" si="0"/>
        <v>增值额×税（费）率</v>
      </c>
      <c r="O54" s="2526" t="str">
        <f t="shared" si="0"/>
        <v>免征</v>
      </c>
    </row>
    <row r="55" spans="1:35" ht="24" customHeight="1">
      <c r="A55" s="3646" t="s">
        <v>1361</v>
      </c>
      <c r="B55" s="3624"/>
      <c r="C55" s="3624"/>
      <c r="D55" s="2323">
        <f ca="1">IF(H55="个人住宅",0,ROUND(D45*I55,0))</f>
        <v>0</v>
      </c>
      <c r="E55" s="2333" t="s">
        <v>1362</v>
      </c>
      <c r="F55" s="2553" t="str">
        <f>IF(H55="正常",I55,"免征")</f>
        <v>免征</v>
      </c>
      <c r="G55" s="2554"/>
      <c r="H55" s="2549"/>
      <c r="I55" s="165">
        <f>'数据-取费表'!B49</f>
        <v>5.0000000000000001E-4</v>
      </c>
      <c r="J55" s="2522">
        <f>IF(H59="非个人房产","",4)</f>
        <v>4</v>
      </c>
      <c r="K55" s="3586" t="str">
        <f>IF(H59="非个人房产","——","个人所得税")</f>
        <v>个人所得税</v>
      </c>
      <c r="L55" s="3586"/>
      <c r="M55" s="2527">
        <f ca="1">D59</f>
        <v>5</v>
      </c>
      <c r="N55" s="2039" t="str">
        <f>E59</f>
        <v>差额计税</v>
      </c>
      <c r="O55" s="2528">
        <f>F59</f>
        <v>0.01</v>
      </c>
    </row>
    <row r="56" spans="1:35" ht="24.75">
      <c r="A56" s="3646" t="s">
        <v>1363</v>
      </c>
      <c r="B56" s="3624"/>
      <c r="C56" s="3624"/>
      <c r="D56" s="2323">
        <f ca="1">IF(H56="个人住宅",D57,D58)</f>
        <v>316</v>
      </c>
      <c r="E56" s="2333" t="s">
        <v>1364</v>
      </c>
      <c r="F56" s="2553" t="str">
        <f>IF(H56="正常",F58,"免征")</f>
        <v>免征</v>
      </c>
      <c r="G56" s="2556" t="s">
        <v>1365</v>
      </c>
      <c r="H56" s="2557"/>
      <c r="I56" s="1807"/>
      <c r="J56" s="2522" t="str">
        <f>IF(项目基本情况!K6="上海银行",IF(J55="",4,J55+1),"")</f>
        <v/>
      </c>
      <c r="K56" s="3567" t="str">
        <f>IF(项目基本情况!K6="上海银行","其他处置费用","")</f>
        <v/>
      </c>
      <c r="L56" s="3568"/>
      <c r="M56" s="2524" t="str">
        <f>IF(项目基本情况!K6="上海银行",M69,"")</f>
        <v/>
      </c>
      <c r="N56" s="3567" t="str">
        <f>IF(项目基本情况!K6="上海银行","包含处置中涉及的律师、诉讼、拍卖、评估等费用","")</f>
        <v/>
      </c>
      <c r="O56" s="3570"/>
    </row>
    <row r="57" spans="1:35" ht="12.75">
      <c r="A57" s="2334" t="s">
        <v>1341</v>
      </c>
      <c r="B57" s="3610" t="s">
        <v>1366</v>
      </c>
      <c r="C57" s="3611"/>
      <c r="D57" s="1589">
        <v>0</v>
      </c>
      <c r="E57" s="324" t="s">
        <v>1343</v>
      </c>
      <c r="F57" s="302"/>
      <c r="G57" s="2554"/>
      <c r="H57" s="2558"/>
      <c r="I57" s="1807"/>
      <c r="J57" s="3586">
        <f>IF(AND(J55="",J56=""),4,IF(项目基本情况!K6="上海银行",结果表!J56+1,结果表!J55+1))</f>
        <v>5</v>
      </c>
      <c r="K57" s="3586" t="s">
        <v>1367</v>
      </c>
      <c r="L57" s="2529" t="s">
        <v>1368</v>
      </c>
      <c r="M57" s="2530"/>
      <c r="N57" s="2531">
        <f ca="1">SUMIF(M52:M56,"&lt;9e307")</f>
        <v>321</v>
      </c>
      <c r="O57" s="2532"/>
      <c r="P57" s="2689">
        <f ca="1">N57/M49</f>
        <v>0.57526881720430112</v>
      </c>
    </row>
    <row r="58" spans="1:35" ht="24.75">
      <c r="A58" s="2334" t="s">
        <v>1352</v>
      </c>
      <c r="B58" s="3610" t="s">
        <v>1369</v>
      </c>
      <c r="C58" s="3609"/>
      <c r="D58" s="2323">
        <f ca="1">IF(H58="转让取得",C81,C97)</f>
        <v>316</v>
      </c>
      <c r="E58" s="2333" t="s">
        <v>1364</v>
      </c>
      <c r="F58" s="302" t="s">
        <v>28</v>
      </c>
      <c r="G58" s="2554"/>
      <c r="H58" s="2557"/>
      <c r="I58" s="1807"/>
      <c r="J58" s="3586"/>
      <c r="K58" s="3586"/>
      <c r="L58" s="2529" t="s">
        <v>1370</v>
      </c>
      <c r="M58" s="2533"/>
      <c r="N58" s="2534" t="str">
        <f ca="1">NUMBERSTRING(INT(N57*10000),2)&amp;"元整"</f>
        <v>叁佰贰拾壹万元整</v>
      </c>
      <c r="O58" s="2535"/>
    </row>
    <row r="59" spans="1:35" ht="24.75" thickBot="1">
      <c r="A59" s="3590" t="s">
        <v>1371</v>
      </c>
      <c r="B59" s="3591"/>
      <c r="C59" s="3591"/>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8">
        <f>J57+1</f>
        <v>6</v>
      </c>
      <c r="K59" s="3586" t="s">
        <v>1372</v>
      </c>
      <c r="L59" s="2522" t="s">
        <v>1368</v>
      </c>
      <c r="M59" s="2536"/>
      <c r="N59" s="2537">
        <f ca="1">M49-N57</f>
        <v>237</v>
      </c>
      <c r="O59" s="2538"/>
    </row>
    <row r="60" spans="1:35" ht="12" customHeight="1">
      <c r="A60" s="1808"/>
      <c r="B60" s="1746"/>
      <c r="C60" s="1746"/>
      <c r="D60" s="1746"/>
      <c r="E60" s="1577"/>
      <c r="F60" s="1807"/>
      <c r="G60" s="1807"/>
      <c r="H60" s="1809"/>
      <c r="I60" s="129"/>
      <c r="J60" s="3589"/>
      <c r="K60" s="3586"/>
      <c r="L60" s="2529" t="s">
        <v>1370</v>
      </c>
      <c r="M60" s="2533"/>
      <c r="N60" s="2534" t="str">
        <f ca="1">NUMBERSTRING(INT(N59*10000),2)&amp;"元整"</f>
        <v>贰佰叁拾柒万元整</v>
      </c>
      <c r="O60" s="2535"/>
    </row>
    <row r="61" spans="1:35" ht="13.5" thickBot="1">
      <c r="A61" s="3645" t="s">
        <v>1373</v>
      </c>
      <c r="B61" s="3645"/>
      <c r="C61" s="3645"/>
      <c r="D61" s="3645"/>
      <c r="E61" s="3645"/>
      <c r="F61" s="1807"/>
      <c r="G61" s="1807"/>
      <c r="H61" s="1809"/>
      <c r="I61" s="129"/>
      <c r="J61" s="2522">
        <f>J59+1</f>
        <v>7</v>
      </c>
      <c r="K61" s="3586" t="s">
        <v>1374</v>
      </c>
      <c r="L61" s="3586"/>
      <c r="M61" s="2539"/>
      <c r="N61" s="2540">
        <f ca="1">ROUND(N59*10000/'数据-汇总表'!E3,0)</f>
        <v>16323</v>
      </c>
      <c r="O61" s="2541"/>
    </row>
    <row r="62" spans="1:35" ht="12.75">
      <c r="A62" s="3605" t="s">
        <v>1375</v>
      </c>
      <c r="B62" s="3606"/>
      <c r="C62" s="2020"/>
      <c r="D62" s="2020" t="s">
        <v>1376</v>
      </c>
      <c r="E62" s="166" t="s">
        <v>1377</v>
      </c>
      <c r="F62" s="1807"/>
      <c r="G62" s="1807"/>
      <c r="H62" s="1809"/>
      <c r="I62" s="129"/>
    </row>
    <row r="63" spans="1:35" ht="12.75">
      <c r="A63" s="173" t="s">
        <v>330</v>
      </c>
      <c r="B63" s="167" t="s">
        <v>1378</v>
      </c>
      <c r="C63" s="2563">
        <f ca="1">ROUND((C64+C65)/(1+'数据-取费表'!C42),0)</f>
        <v>531</v>
      </c>
      <c r="D63" s="167"/>
      <c r="E63" s="168"/>
      <c r="F63" s="1807"/>
      <c r="G63" s="1807"/>
      <c r="H63" s="1809"/>
      <c r="I63" s="129"/>
      <c r="J63" s="3569" t="s">
        <v>1379</v>
      </c>
      <c r="K63" s="1331" t="s">
        <v>1380</v>
      </c>
      <c r="L63" s="1331">
        <f ca="1">IF(M49&gt;10000,M49*0.5%,IF(AND(M49&gt;1000,M49&lt;=10000),M49*1%,IF(AND(M49&gt;100,M49&lt;=1000),M49*3%,IF(AND(M49&gt;10,M49&lt;=100),M49*5%,M49*8%))))</f>
        <v>16.739999999999998</v>
      </c>
      <c r="M63" s="302">
        <f ca="1">ROUND(L63,1)</f>
        <v>16.7</v>
      </c>
      <c r="N63" s="2542"/>
      <c r="Z63" s="1751"/>
      <c r="AI63" s="1752"/>
    </row>
    <row r="64" spans="1:35" ht="14.25" customHeight="1">
      <c r="A64" s="169" t="s">
        <v>325</v>
      </c>
      <c r="B64" s="170" t="s">
        <v>1381</v>
      </c>
      <c r="C64" s="2564">
        <f ca="1">D45</f>
        <v>558</v>
      </c>
      <c r="D64" s="170" t="s">
        <v>26</v>
      </c>
      <c r="E64" s="172"/>
      <c r="F64" s="1807"/>
      <c r="G64" s="1807"/>
      <c r="H64" s="1809"/>
      <c r="I64" s="129"/>
      <c r="J64" s="3569"/>
      <c r="K64" s="1331" t="s">
        <v>1382</v>
      </c>
      <c r="L64" s="1331">
        <f ca="1">IF(M49&gt;2000,M49*0.5%,IF(AND(M49&gt;1000,M49&lt;=2000),M49*0.6%,IF(AND(M49&gt;500,M49&lt;=1000),M49*0.7%,IF(AND(M49&gt;200,M49&lt;=500),M49*0.8%,IF(AND(M49&gt;100,M49&lt;=200),M49*0.9%,IF(AND(M49&gt;50,M49&lt;=100),M49*1%,IF(AND(M49&gt;20,M49&lt;=50),M49*1.5%,IF(AND(M49&gt;10,M49&lt;=20),M49*2%,IF(AND(M49&gt;1,M49&lt;=10),M49*2.5%)))))))))</f>
        <v>3.9059999999999997</v>
      </c>
      <c r="M64" s="302">
        <f t="shared" ref="M64:M65" ca="1" si="1">ROUND(L64,1)</f>
        <v>3.9</v>
      </c>
      <c r="N64" s="2543" t="s">
        <v>1383</v>
      </c>
      <c r="Z64" s="1751"/>
      <c r="AI64" s="1752"/>
    </row>
    <row r="65" spans="1:35" ht="14.25" customHeight="1">
      <c r="A65" s="169" t="s">
        <v>326</v>
      </c>
      <c r="B65" s="170" t="s">
        <v>1384</v>
      </c>
      <c r="C65" s="2565"/>
      <c r="D65" s="170"/>
      <c r="E65" s="172"/>
      <c r="F65" s="1807"/>
      <c r="G65" s="1807"/>
      <c r="H65" s="1809"/>
      <c r="I65" s="129"/>
      <c r="J65" s="3569"/>
      <c r="K65" s="1331" t="s">
        <v>1385</v>
      </c>
      <c r="L65" s="1331">
        <f ca="1">IF(M49&gt;1000,M49*0.1%,IF(AND(M49&gt;500,M49&lt;=1000),M49*0.5%,IF(AND(M49&gt;50,M49&lt;=500),M49*1%,IF(AND(M49&gt;1,M49&lt;=50),M49*1.5%))))</f>
        <v>2.79</v>
      </c>
      <c r="M65" s="302">
        <f t="shared" ca="1" si="1"/>
        <v>2.8</v>
      </c>
      <c r="N65" s="2543" t="s">
        <v>1383</v>
      </c>
      <c r="Z65" s="1751"/>
      <c r="AI65" s="1752"/>
    </row>
    <row r="66" spans="1:35" ht="14.25" customHeight="1">
      <c r="A66" s="173" t="s">
        <v>327</v>
      </c>
      <c r="B66" s="174" t="s">
        <v>1386</v>
      </c>
      <c r="C66" s="2566"/>
      <c r="D66" s="174" t="s">
        <v>26</v>
      </c>
      <c r="E66" s="1337" t="s">
        <v>671</v>
      </c>
      <c r="F66" s="1807"/>
      <c r="G66" s="1807"/>
      <c r="H66" s="1809"/>
      <c r="I66" s="129"/>
      <c r="J66" s="3569"/>
      <c r="K66" s="1331" t="s">
        <v>1387</v>
      </c>
      <c r="L66" s="1331">
        <f ca="1">M49*0.5%</f>
        <v>2.79</v>
      </c>
      <c r="M66" s="302">
        <f ca="1">IF(L66&gt;0.5,0.5,ROUND(L66,0))</f>
        <v>0.5</v>
      </c>
      <c r="N66" s="2543" t="s">
        <v>1388</v>
      </c>
      <c r="Z66" s="1751"/>
      <c r="AI66" s="1752"/>
    </row>
    <row r="67" spans="1:35" ht="14.25" customHeight="1">
      <c r="A67" s="173" t="s">
        <v>328</v>
      </c>
      <c r="B67" s="174" t="s">
        <v>1389</v>
      </c>
      <c r="C67" s="2567">
        <f ca="1">C63-C66</f>
        <v>531</v>
      </c>
      <c r="D67" s="170" t="s">
        <v>26</v>
      </c>
      <c r="E67" s="172"/>
      <c r="F67" s="1807"/>
      <c r="G67" s="1807"/>
      <c r="H67" s="1809"/>
      <c r="I67" s="129"/>
      <c r="J67" s="3569"/>
      <c r="K67" s="1331" t="s">
        <v>1390</v>
      </c>
      <c r="L67" s="1331">
        <f ca="1">IF(M49&gt;=10000,(8.25+(M49-10000)*0.01%),IF(AND(M49&gt;=8000,M49&lt;10000),(7.85+(M49-8000)*0.02%),IF(AND(M49&gt;=5000,M49&lt;8000),(6.65+(M49-5000)*0.04%),IF(AND(M49&gt;=2000,M49&lt;5000),(4.25+(PM49-2000)*0.08%),IF(AND(M49&gt;=1000,M49&lt;2000),(2.75+(M49-1000)*0.15%),IF(AND(M49&gt;=100,M49&lt;1000),(0.5+(M49-100)*0.25%),IF(AND(M49&gt;0,M49&lt;100),M49*0.5%)))))))</f>
        <v>1.645</v>
      </c>
      <c r="M67" s="302">
        <f ca="1">ROUND(L67*0.9,1)</f>
        <v>1.5</v>
      </c>
      <c r="N67" s="2542"/>
      <c r="Z67" s="1751"/>
      <c r="AI67" s="1752"/>
    </row>
    <row r="68" spans="1:35" ht="14.25" customHeight="1" thickBot="1">
      <c r="A68" s="176" t="s">
        <v>329</v>
      </c>
      <c r="B68" s="177" t="s">
        <v>1391</v>
      </c>
      <c r="C68" s="2568">
        <f ca="1">IF(C67&lt;=0,0,ROUND(C67*D68,0))</f>
        <v>30</v>
      </c>
      <c r="D68" s="2569">
        <f>'数据-取费表'!B41</f>
        <v>5.6000000000000001E-2</v>
      </c>
      <c r="E68" s="178"/>
      <c r="F68" s="1807"/>
      <c r="G68" s="1807"/>
      <c r="H68" s="1809"/>
      <c r="I68" s="129"/>
      <c r="J68" s="3569"/>
      <c r="K68" s="1331" t="s">
        <v>1392</v>
      </c>
      <c r="L68" s="1331">
        <f ca="1">IF(M49&gt;10000,M49*0.5%,IF(AND(M49&gt;5000,M49&lt;=10000),M49*1%,IF(AND(M49&gt;1000,M49&lt;=5000),M49*2%,IF(AND(M49&gt;200,M49&lt;=1000),M49*3%,M49*5%))))</f>
        <v>16.739999999999998</v>
      </c>
      <c r="M68" s="302">
        <f ca="1">ROUND(L68,1)</f>
        <v>16.7</v>
      </c>
      <c r="N68" s="2542"/>
      <c r="Z68" s="1751"/>
      <c r="AI68" s="1752"/>
    </row>
    <row r="69" spans="1:35" s="1771" customFormat="1" ht="16.5" customHeight="1">
      <c r="A69" s="1810"/>
      <c r="B69" s="1811"/>
      <c r="C69" s="1812"/>
      <c r="D69" s="1813"/>
      <c r="E69" s="1814"/>
      <c r="F69" s="1577"/>
      <c r="G69" s="1577"/>
      <c r="H69" s="1576"/>
      <c r="I69" s="1746"/>
      <c r="J69" s="3569"/>
      <c r="K69" s="1331" t="s">
        <v>1393</v>
      </c>
      <c r="L69" s="1331"/>
      <c r="M69" s="302">
        <f ca="1">ROUND(SUM(M63:M68),0)</f>
        <v>42</v>
      </c>
      <c r="N69" s="2544">
        <f ca="1">M69/M49</f>
        <v>7.5268817204301078E-2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3" t="s">
        <v>1394</v>
      </c>
      <c r="B70" s="3614"/>
      <c r="C70" s="3614"/>
      <c r="D70" s="3614"/>
      <c r="E70" s="3614"/>
      <c r="F70" s="3614"/>
      <c r="G70" s="3614"/>
      <c r="H70" s="361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5" t="s">
        <v>1375</v>
      </c>
      <c r="B71" s="3606"/>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531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0" t="s">
        <v>1402</v>
      </c>
      <c r="F76" s="3609"/>
      <c r="G76" s="3609"/>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v>
      </c>
      <c r="D78" s="2576">
        <f>'数据-取费表'!B43</f>
        <v>6.000000000000001E-3</v>
      </c>
      <c r="E78" s="3602" t="s">
        <v>1406</v>
      </c>
      <c r="F78" s="3603"/>
      <c r="G78" s="3603"/>
      <c r="H78" s="360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528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176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316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5" t="s">
        <v>1375</v>
      </c>
      <c r="B84" s="360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531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1" t="s">
        <v>2128</v>
      </c>
      <c r="H90" s="3572"/>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2" t="s">
        <v>1419</v>
      </c>
      <c r="F91" s="3603"/>
      <c r="G91" s="360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2" t="s">
        <v>1422</v>
      </c>
      <c r="F92" s="3603"/>
      <c r="G92" s="3603"/>
      <c r="H92" s="3604"/>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v>
      </c>
      <c r="D93" s="2576">
        <f>'数据-取费表'!B43</f>
        <v>6.000000000000001E-3</v>
      </c>
      <c r="E93" s="3602" t="s">
        <v>1406</v>
      </c>
      <c r="F93" s="3603"/>
      <c r="G93" s="3603"/>
      <c r="H93" s="360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7" t="s">
        <v>1426</v>
      </c>
      <c r="F94" s="3648"/>
      <c r="G94" s="3648"/>
      <c r="H94" s="364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528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176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316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4" t="str">
        <f>C4</f>
        <v>比较法-商业</v>
      </c>
      <c r="D101" s="2585" t="str">
        <f>D4</f>
        <v>收益法 (元)</v>
      </c>
      <c r="E101" s="3565" t="s">
        <v>1431</v>
      </c>
      <c r="F101" s="3566"/>
      <c r="G101" s="1826" t="s">
        <v>1432</v>
      </c>
      <c r="H101" s="2594">
        <f ca="1">H118</f>
        <v>558</v>
      </c>
      <c r="I101" s="129"/>
    </row>
    <row r="102" spans="1:35" ht="18.75" customHeight="1">
      <c r="A102" s="3597" t="s">
        <v>1433</v>
      </c>
      <c r="B102" s="2583" t="s">
        <v>1432</v>
      </c>
      <c r="C102" s="2584">
        <f ca="1">IF(D32="楼面单价",ROUND(C19,0),C19)</f>
        <v>676</v>
      </c>
      <c r="D102" s="2585">
        <f ca="1">IF(D32="楼面单价",ROUND(D19,0),D19)</f>
        <v>283</v>
      </c>
      <c r="E102" s="3565"/>
      <c r="F102" s="3566"/>
      <c r="G102" s="1826" t="s">
        <v>1434</v>
      </c>
      <c r="H102" s="2554">
        <f ca="1">I118</f>
        <v>38448</v>
      </c>
      <c r="I102" s="129"/>
    </row>
    <row r="103" spans="1:35" ht="42.75" customHeight="1">
      <c r="A103" s="3597"/>
      <c r="B103" s="2583" t="s">
        <v>1434</v>
      </c>
      <c r="C103" s="2586">
        <f ca="1">C20</f>
        <v>46577</v>
      </c>
      <c r="D103" s="2587">
        <f ca="1">D20</f>
        <v>19480</v>
      </c>
      <c r="E103" s="3558" t="s">
        <v>1435</v>
      </c>
      <c r="F103" s="3559"/>
      <c r="G103" s="1827" t="s">
        <v>1436</v>
      </c>
      <c r="H103" s="2594">
        <f>IF(D36="正常操作",H104+H105+H106,H105+H106)</f>
        <v>0</v>
      </c>
      <c r="I103" s="129"/>
    </row>
    <row r="104" spans="1:35" ht="18.75" customHeight="1">
      <c r="A104" s="3597" t="s">
        <v>1437</v>
      </c>
      <c r="B104" s="2588" t="s">
        <v>1432</v>
      </c>
      <c r="C104" s="2589">
        <f ca="1">H118</f>
        <v>558</v>
      </c>
      <c r="D104" s="2590"/>
      <c r="E104" s="1673" t="s">
        <v>1438</v>
      </c>
      <c r="F104" s="1665"/>
      <c r="G104" s="1827" t="s">
        <v>1436</v>
      </c>
      <c r="H104" s="2595">
        <f>IF(D36="同一抵押权人同一抵押物续贷",C36&amp;"（续贷，未扣减，详见特别提示）",C36)</f>
        <v>0</v>
      </c>
      <c r="I104" s="129"/>
    </row>
    <row r="105" spans="1:35" ht="18.75" customHeight="1" thickBot="1">
      <c r="A105" s="3607"/>
      <c r="B105" s="2591" t="s">
        <v>1434</v>
      </c>
      <c r="C105" s="2592">
        <f ca="1">I118</f>
        <v>38448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8" t="str">
        <f>IF(项目基本情况!E8="已注销","——","3.房地产抵押价值")</f>
        <v>3.房地产抵押价值</v>
      </c>
      <c r="F107" s="3566"/>
      <c r="G107" s="1826" t="s">
        <v>1432</v>
      </c>
      <c r="H107" s="2594">
        <f ca="1">IF(E107="——","——",H101-H103)</f>
        <v>558</v>
      </c>
      <c r="I107" s="129"/>
    </row>
    <row r="108" spans="1:35" ht="18.75" customHeight="1">
      <c r="A108" s="129"/>
      <c r="B108" s="129"/>
      <c r="C108" s="129"/>
      <c r="D108" s="129"/>
      <c r="E108" s="3598"/>
      <c r="F108" s="3566"/>
      <c r="G108" s="1826" t="s">
        <v>1434</v>
      </c>
      <c r="H108" s="2554">
        <f ca="1">IF(H107=H101,H102,ROUND(H107*10000/'数据-汇总表'!E3,0))</f>
        <v>38448</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6" t="s">
        <v>1432</v>
      </c>
      <c r="H109" s="2597" t="str">
        <f>IF(E109="——","——",H101-H105-H106)</f>
        <v>——</v>
      </c>
      <c r="I109" s="129"/>
    </row>
    <row r="110" spans="1:35" ht="18.75" customHeight="1">
      <c r="A110" s="129"/>
      <c r="B110" s="129"/>
      <c r="C110" s="129"/>
      <c r="D110" s="129"/>
      <c r="E110" s="3598"/>
      <c r="F110" s="3566"/>
      <c r="G110" s="1826" t="s">
        <v>1434</v>
      </c>
      <c r="H110" s="2554"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6" t="s">
        <v>1432</v>
      </c>
      <c r="H111" s="2594" t="str">
        <f>IF(E111="——","——",N59)</f>
        <v>——</v>
      </c>
      <c r="I111" s="129"/>
    </row>
    <row r="112" spans="1:35" ht="18.75" customHeight="1" thickBot="1">
      <c r="A112" s="129"/>
      <c r="B112" s="129"/>
      <c r="C112" s="129"/>
      <c r="D112" s="129"/>
      <c r="E112" s="3600"/>
      <c r="F112" s="3601"/>
      <c r="G112" s="1829" t="s">
        <v>1434</v>
      </c>
      <c r="H112" s="2598" t="str">
        <f>IF(E111="——","——",N61)</f>
        <v>——</v>
      </c>
      <c r="I112" s="129"/>
    </row>
    <row r="113" spans="1:27" ht="18.75" customHeight="1">
      <c r="A113" s="129"/>
      <c r="B113" s="129"/>
      <c r="C113" s="129"/>
      <c r="D113" s="129"/>
      <c r="E113" s="3608" t="s">
        <v>1440</v>
      </c>
      <c r="F113" s="3608"/>
      <c r="G113" s="3608"/>
      <c r="H113" s="3608"/>
      <c r="I113" s="129"/>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145.19</v>
      </c>
      <c r="C118" s="2328">
        <f>M19</f>
        <v>0</v>
      </c>
      <c r="D118" s="2328">
        <f ca="1">ROUND(IF(D32="总价",C34,E118*B118/10000),0)</f>
        <v>414</v>
      </c>
      <c r="E118" s="2328">
        <f ca="1">ROUND(IF(C33="自定义",IF(D32="楼面单价",C34,D118*10000/B118),I118-G118),0)</f>
        <v>28528</v>
      </c>
      <c r="F118" s="2328">
        <f ca="1">ROUND(IF(D32="总价",C35,G118*B118/10000),0)</f>
        <v>144</v>
      </c>
      <c r="G118" s="2328">
        <f ca="1">ROUND(IF(D32="楼面单价",C35,F118*10000/B118),0)</f>
        <v>9920</v>
      </c>
      <c r="H118" s="2328">
        <f ca="1">ROUND(IF(D32="总价",C32,I118*B118/10000),0)</f>
        <v>558</v>
      </c>
      <c r="I118" s="2328">
        <f ca="1">ROUND(IF(D32="楼面单价",C32,H118*10000/B118),0)</f>
        <v>38448</v>
      </c>
    </row>
    <row r="119" spans="1:27" ht="18.75" customHeight="1">
      <c r="A119" s="3573" t="s">
        <v>1452</v>
      </c>
      <c r="B119" s="3573"/>
      <c r="C119" s="3573"/>
      <c r="D119" s="3579" t="str">
        <f ca="1">NUMBERSTRING(INT(D118*10000),2)&amp;"元整"</f>
        <v>肆佰壹拾肆万元整</v>
      </c>
      <c r="E119" s="3580"/>
      <c r="F119" s="3579" t="str">
        <f ca="1">NUMBERSTRING(INT(F118*10000),2)&amp;"元整"</f>
        <v>壹佰肆拾肆万元整</v>
      </c>
      <c r="G119" s="3580"/>
      <c r="H119" s="3579" t="str">
        <f ca="1">NUMBERSTRING(INT(H118*10000),2)&amp;"元整"</f>
        <v>伍佰伍拾捌万元整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9" t="s">
        <v>1452</v>
      </c>
      <c r="B121" s="3581"/>
      <c r="C121" s="3580"/>
      <c r="D121" s="3579" t="str">
        <f>IF(D120=0,"零元整",NUMBERSTRING(INT(D120*10000),2)&amp;"元整")</f>
        <v>零元整</v>
      </c>
      <c r="E121" s="3581"/>
      <c r="F121" s="3581"/>
      <c r="G121" s="3581"/>
      <c r="H121" s="3581"/>
      <c r="I121" s="3580"/>
      <c r="AA121" s="724"/>
    </row>
    <row r="122" spans="1:27" ht="18.75" customHeight="1">
      <c r="A122" s="3585" t="str">
        <f>IF(项目基本情况!B9="房地产市场价值","",MID(E107,3,LEN(E107)-2))</f>
        <v>房地产抵押价值</v>
      </c>
      <c r="B122" s="3585"/>
      <c r="C122" s="3585"/>
      <c r="D122" s="3574">
        <f ca="1">H107</f>
        <v>558</v>
      </c>
      <c r="E122" s="3575"/>
      <c r="F122" s="3575"/>
      <c r="G122" s="3575"/>
      <c r="H122" s="3575"/>
      <c r="I122" s="3576"/>
      <c r="AA122" s="724"/>
    </row>
    <row r="123" spans="1:27" ht="18.75" customHeight="1">
      <c r="A123" s="3573" t="s">
        <v>1452</v>
      </c>
      <c r="B123" s="3573"/>
      <c r="C123" s="3573"/>
      <c r="D123" s="3579" t="str">
        <f ca="1">NUMBERSTRING(INT(D122*10000),2)&amp;"元整"</f>
        <v>伍佰伍拾捌万元整</v>
      </c>
      <c r="E123" s="3581"/>
      <c r="F123" s="3581"/>
      <c r="G123" s="3581"/>
      <c r="H123" s="3581"/>
      <c r="I123" s="3580"/>
      <c r="AA123" s="724"/>
    </row>
    <row r="124" spans="1:27" ht="18.75" customHeight="1">
      <c r="A124" s="3585" t="str">
        <f>IF(项目基本情况!B9="房地产市场价值","",MID(E109,3,LEN(E109)-2))</f>
        <v/>
      </c>
      <c r="B124" s="3585"/>
      <c r="C124" s="3585"/>
      <c r="D124" s="3574" t="str">
        <f>H109</f>
        <v>——</v>
      </c>
      <c r="E124" s="3575"/>
      <c r="F124" s="3575"/>
      <c r="G124" s="3575"/>
      <c r="H124" s="3575"/>
      <c r="I124" s="3576"/>
      <c r="AA124" s="724"/>
    </row>
    <row r="125" spans="1:27" ht="18.75" customHeight="1">
      <c r="A125" s="3573" t="s">
        <v>1452</v>
      </c>
      <c r="B125" s="3573"/>
      <c r="C125" s="3573"/>
      <c r="D125" s="3579" t="e">
        <f>NUMBERSTRING(INT(D124*10000),2)&amp;"元整"</f>
        <v>#VALUE!</v>
      </c>
      <c r="E125" s="3581"/>
      <c r="F125" s="3581"/>
      <c r="G125" s="3581"/>
      <c r="H125" s="3581"/>
      <c r="I125" s="3580"/>
      <c r="AA125" s="724"/>
    </row>
    <row r="126" spans="1:27" ht="18.75" customHeight="1">
      <c r="A126" s="3585" t="str">
        <f>IF(项目基本情况!B9="房地产市场价值","",MID(E111,3,LEN(E111)-2))</f>
        <v/>
      </c>
      <c r="B126" s="3585"/>
      <c r="C126" s="3585"/>
      <c r="D126" s="3574" t="str">
        <f>H111</f>
        <v>——</v>
      </c>
      <c r="E126" s="3575"/>
      <c r="F126" s="3575"/>
      <c r="G126" s="3575"/>
      <c r="H126" s="3575"/>
      <c r="I126" s="3576"/>
      <c r="AA126" s="724"/>
    </row>
    <row r="127" spans="1:27" ht="18.75" customHeight="1">
      <c r="A127" s="3573" t="s">
        <v>1452</v>
      </c>
      <c r="B127" s="3573"/>
      <c r="C127" s="3573"/>
      <c r="D127" s="3579" t="e">
        <f>NUMBERSTRING(INT(D126*10000),2)&amp;"元整"</f>
        <v>#VALUE!</v>
      </c>
      <c r="E127" s="3581"/>
      <c r="F127" s="3581"/>
      <c r="G127" s="3581"/>
      <c r="H127" s="3581"/>
      <c r="I127" s="3580"/>
      <c r="AA127" s="724"/>
    </row>
    <row r="128" spans="1:27" ht="21.75" customHeight="1">
      <c r="A128" s="3582" t="s">
        <v>1453</v>
      </c>
      <c r="B128" s="3582"/>
      <c r="C128" s="3582"/>
      <c r="D128" s="3582"/>
      <c r="E128" s="3582"/>
      <c r="F128" s="3582"/>
      <c r="G128" s="3582"/>
      <c r="H128" s="3582"/>
      <c r="I128" s="358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4821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2.9037999999999999</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2.9037999999999999</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145.19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145.19</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58</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145.19</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52" t="s">
        <v>1544</v>
      </c>
    </row>
    <row r="43" spans="1:7" ht="13.5" customHeight="1">
      <c r="A43" s="779" t="s">
        <v>347</v>
      </c>
      <c r="B43" s="215" t="s">
        <v>1545</v>
      </c>
      <c r="C43" s="238">
        <f ca="1">ROUND(IF('数据-取费表'!B22&lt;=1,C39*F22*'数据-取费表'!B21/2,C39*(POWER((1+F22),'数据-取费表'!B21/2)-1)),0)</f>
        <v>0</v>
      </c>
      <c r="D43" s="238"/>
      <c r="E43" s="238"/>
      <c r="F43" s="239"/>
      <c r="G43" s="3653"/>
    </row>
    <row r="44" spans="1:7" ht="13.5" customHeight="1">
      <c r="A44" s="779"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13</v>
      </c>
      <c r="D45" s="235">
        <f ca="1">C47</f>
        <v>4.0000000000000001E-3</v>
      </c>
      <c r="E45" s="236" t="s">
        <v>1539</v>
      </c>
      <c r="F45" s="246">
        <f ca="1">F27</f>
        <v>0.2</v>
      </c>
      <c r="G45" s="247" t="s">
        <v>1548</v>
      </c>
    </row>
    <row r="46" spans="1:7" s="214" customFormat="1" ht="13.5" customHeight="1">
      <c r="A46" s="779" t="s">
        <v>346</v>
      </c>
      <c r="B46" s="248" t="s">
        <v>1549</v>
      </c>
      <c r="C46" s="249">
        <f ca="1">ROUND((C33+C39)*F27,0)</f>
        <v>13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87</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63</v>
      </c>
      <c r="D51" s="232"/>
      <c r="E51" s="232"/>
      <c r="F51" s="264"/>
      <c r="G51" s="234" t="s">
        <v>1560</v>
      </c>
    </row>
    <row r="52" spans="1:7" s="208" customFormat="1" ht="16.5" thickBot="1">
      <c r="A52" s="265" t="s">
        <v>1561</v>
      </c>
      <c r="B52" s="266"/>
      <c r="C52" s="267">
        <f ca="1">C31+C51</f>
        <v>70</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9" t="str">
        <f>项目基本情况!B1</f>
        <v>北京市房地产抵押价值预评估</v>
      </c>
      <c r="C37" s="3469"/>
      <c r="D37" s="3469"/>
      <c r="E37" s="3469"/>
      <c r="F37" s="3469"/>
      <c r="G37" s="3469"/>
      <c r="H37" s="3469"/>
      <c r="I37" s="346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E47" sqref="E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3392</v>
      </c>
      <c r="F1" s="1878" t="s">
        <v>3449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676.25149999999996</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46577</v>
      </c>
      <c r="C3" s="354" t="s">
        <v>1768</v>
      </c>
      <c r="D3" s="353">
        <f>IF(D1="",'数据-汇总表'!E3,SUMIF('数据-汇总表'!$C19:$C33,D1,'数据-汇总表'!$E19:$E33))</f>
        <v>145.19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61" t="s">
        <v>1771</v>
      </c>
      <c r="S4" s="3662"/>
      <c r="T4" s="3661" t="s">
        <v>1772</v>
      </c>
      <c r="U4" s="3662"/>
      <c r="V4" s="3658" t="s">
        <v>1773</v>
      </c>
      <c r="W4" s="3658"/>
      <c r="X4" s="1354"/>
      <c r="Y4" s="3661" t="s">
        <v>1775</v>
      </c>
      <c r="Z4" s="3662"/>
      <c r="AA4" s="3655" t="s">
        <v>1771</v>
      </c>
      <c r="AB4" s="3658" t="s">
        <v>1772</v>
      </c>
      <c r="AC4" s="3655" t="s">
        <v>1773</v>
      </c>
    </row>
    <row r="5" spans="1:29" ht="15">
      <c r="A5" s="358"/>
      <c r="B5" s="359"/>
      <c r="C5" s="3667" t="s">
        <v>3475</v>
      </c>
      <c r="D5" s="3668"/>
      <c r="E5" s="3665" t="s">
        <v>3463</v>
      </c>
      <c r="F5" s="3666"/>
      <c r="G5" s="3667" t="s">
        <v>3454</v>
      </c>
      <c r="H5" s="3668"/>
      <c r="I5" s="3667" t="s">
        <v>3395</v>
      </c>
      <c r="J5" s="3668"/>
      <c r="K5" s="559"/>
      <c r="L5" s="2714"/>
      <c r="M5" s="2715"/>
      <c r="N5" s="2715"/>
      <c r="O5" s="2715"/>
      <c r="P5" s="3680"/>
      <c r="Q5" s="3681"/>
      <c r="R5" s="3663"/>
      <c r="S5" s="3664"/>
      <c r="T5" s="3663"/>
      <c r="U5" s="3664"/>
      <c r="V5" s="3658"/>
      <c r="W5" s="3658"/>
      <c r="X5" s="1354"/>
      <c r="Y5" s="3663"/>
      <c r="Z5" s="3664"/>
      <c r="AA5" s="3656"/>
      <c r="AB5" s="3658"/>
      <c r="AC5" s="3656"/>
    </row>
    <row r="6" spans="1:29" ht="15.75" thickBot="1">
      <c r="A6" s="360"/>
      <c r="B6" s="361"/>
      <c r="C6" s="3669" t="s">
        <v>1677</v>
      </c>
      <c r="D6" s="3670"/>
      <c r="E6" s="3671" t="s">
        <v>1677</v>
      </c>
      <c r="F6" s="3672"/>
      <c r="G6" s="3669" t="s">
        <v>1677</v>
      </c>
      <c r="H6" s="3670"/>
      <c r="I6" s="3669" t="s">
        <v>1677</v>
      </c>
      <c r="J6" s="3670"/>
      <c r="K6" s="559" t="s">
        <v>1678</v>
      </c>
      <c r="L6" s="2714"/>
      <c r="M6" s="2715"/>
      <c r="N6" s="2715"/>
      <c r="O6" s="2715"/>
      <c r="P6" s="3682"/>
      <c r="Q6" s="3683"/>
      <c r="R6" s="3663"/>
      <c r="S6" s="3664"/>
      <c r="T6" s="3684"/>
      <c r="U6" s="3685"/>
      <c r="V6" s="3658"/>
      <c r="W6" s="3658"/>
      <c r="X6" s="1354"/>
      <c r="Y6" s="3684"/>
      <c r="Z6" s="3685"/>
      <c r="AA6" s="3657"/>
      <c r="AB6" s="3658"/>
      <c r="AC6" s="3657"/>
    </row>
    <row r="7" spans="1:29" s="108" customFormat="1" ht="15.75" thickBot="1">
      <c r="A7" s="362" t="s">
        <v>1679</v>
      </c>
      <c r="B7" s="363"/>
      <c r="C7" s="364">
        <f>'数据-取费表'!B2</f>
        <v>45163</v>
      </c>
      <c r="D7" s="365">
        <v>100</v>
      </c>
      <c r="E7" s="366">
        <f>C7</f>
        <v>45163</v>
      </c>
      <c r="F7" s="367">
        <f>SUMIF(58:58,YEAR(E7)&amp;"-"&amp;MONTH(E7),59:59)</f>
        <v>100</v>
      </c>
      <c r="G7" s="366">
        <f>C7</f>
        <v>45163</v>
      </c>
      <c r="H7" s="365">
        <f>SUMIF(58:58,YEAR(G7)&amp;"-"&amp;MONTH(G7),59:59)</f>
        <v>100</v>
      </c>
      <c r="I7" s="366">
        <f>C7</f>
        <v>45163</v>
      </c>
      <c r="J7" s="365">
        <f>SUMIF(58:58,YEAR(I7)&amp;"-"&amp;MONTH(I7),59:59)</f>
        <v>100</v>
      </c>
      <c r="K7" s="560"/>
      <c r="L7" s="2716"/>
      <c r="M7" s="2717"/>
      <c r="N7" s="2717"/>
      <c r="O7" s="2717"/>
      <c r="P7" s="3659" t="s">
        <v>1680</v>
      </c>
      <c r="Q7" s="3686"/>
      <c r="R7" s="700" t="s">
        <v>14</v>
      </c>
      <c r="S7" s="701">
        <f t="shared" ref="S7:S15" si="0">F7</f>
        <v>100</v>
      </c>
      <c r="T7" s="700" t="s">
        <v>14</v>
      </c>
      <c r="U7" s="701">
        <f t="shared" ref="U7:U15" si="1">H7</f>
        <v>100</v>
      </c>
      <c r="V7" s="700" t="s">
        <v>14</v>
      </c>
      <c r="W7" s="701">
        <f t="shared" ref="W7:W15" si="2">J7</f>
        <v>100</v>
      </c>
      <c r="X7" s="702"/>
      <c r="Y7" s="3659" t="s">
        <v>1680</v>
      </c>
      <c r="Z7" s="3660"/>
      <c r="AA7" s="703">
        <f>D7/F7</f>
        <v>1</v>
      </c>
      <c r="AB7" s="703">
        <f>D7/H7</f>
        <v>1</v>
      </c>
      <c r="AC7" s="703">
        <f>D7/J7</f>
        <v>1</v>
      </c>
    </row>
    <row r="8" spans="1:29" s="108" customFormat="1" ht="15.75" thickBot="1">
      <c r="A8" s="362" t="s">
        <v>1681</v>
      </c>
      <c r="B8" s="363"/>
      <c r="C8" s="368" t="s">
        <v>3416</v>
      </c>
      <c r="D8" s="365">
        <v>100</v>
      </c>
      <c r="E8" s="368" t="s">
        <v>3396</v>
      </c>
      <c r="F8" s="367">
        <f>SUMIF(61:61,E8,62:62)-SUMIF(61:61,C8,62:62)+100</f>
        <v>102</v>
      </c>
      <c r="G8" s="368" t="s">
        <v>3396</v>
      </c>
      <c r="H8" s="365">
        <f>SUMIF(61:61,G8,62:62)-SUMIF(61:61,C8,62:62)+100</f>
        <v>102</v>
      </c>
      <c r="I8" s="368" t="s">
        <v>3396</v>
      </c>
      <c r="J8" s="365">
        <f>SUMIF(61:61,I8,62:62)-SUMIF(61:61,C8,62:62)+100</f>
        <v>102</v>
      </c>
      <c r="K8" s="560"/>
      <c r="L8" s="2716"/>
      <c r="M8" s="2717"/>
      <c r="N8" s="2717"/>
      <c r="O8" s="2717"/>
      <c r="P8" s="3659" t="s">
        <v>1683</v>
      </c>
      <c r="Q8" s="3660"/>
      <c r="R8" s="700" t="s">
        <v>14</v>
      </c>
      <c r="S8" s="701">
        <f t="shared" si="0"/>
        <v>102</v>
      </c>
      <c r="T8" s="700" t="s">
        <v>14</v>
      </c>
      <c r="U8" s="701">
        <f t="shared" si="1"/>
        <v>102</v>
      </c>
      <c r="V8" s="700" t="s">
        <v>14</v>
      </c>
      <c r="W8" s="701">
        <f t="shared" si="2"/>
        <v>102</v>
      </c>
      <c r="X8" s="702"/>
      <c r="Y8" s="3659" t="s">
        <v>1683</v>
      </c>
      <c r="Z8" s="3660"/>
      <c r="AA8" s="703">
        <f t="shared" ref="AA8:AA46" si="3">D8/F8</f>
        <v>0.98039215686274506</v>
      </c>
      <c r="AB8" s="703">
        <f t="shared" ref="AB8:AB46" si="4">D8/H8</f>
        <v>0.98039215686274506</v>
      </c>
      <c r="AC8" s="703">
        <f t="shared" ref="AC8:AC46" si="5">D8/J8</f>
        <v>0.98039215686274506</v>
      </c>
    </row>
    <row r="9" spans="1:29" s="108" customFormat="1" ht="15" thickBot="1">
      <c r="A9" s="369" t="s">
        <v>1684</v>
      </c>
      <c r="B9" s="63" t="s">
        <v>1685</v>
      </c>
      <c r="C9" s="3456" t="s">
        <v>3417</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3"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3"/>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3"/>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3"/>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3"/>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3"/>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87" t="s">
        <v>1691</v>
      </c>
      <c r="Q15" s="1351" t="str">
        <f t="shared" si="6"/>
        <v>商业繁华度</v>
      </c>
      <c r="R15" s="704" t="s">
        <v>14</v>
      </c>
      <c r="S15" s="705">
        <f t="shared" si="0"/>
        <v>100</v>
      </c>
      <c r="T15" s="704" t="s">
        <v>14</v>
      </c>
      <c r="U15" s="705">
        <f t="shared" si="1"/>
        <v>100</v>
      </c>
      <c r="V15" s="704" t="s">
        <v>14</v>
      </c>
      <c r="W15" s="705">
        <f t="shared" si="2"/>
        <v>100</v>
      </c>
      <c r="X15" s="1354"/>
      <c r="Y15" s="3689" t="s">
        <v>1691</v>
      </c>
      <c r="Z15" s="1355" t="str">
        <f t="shared" si="7"/>
        <v>商业繁华度</v>
      </c>
      <c r="AA15" s="1352">
        <f t="shared" si="3"/>
        <v>1</v>
      </c>
      <c r="AB15" s="1352">
        <f t="shared" si="4"/>
        <v>1</v>
      </c>
      <c r="AC15" s="1352">
        <f t="shared" si="5"/>
        <v>1</v>
      </c>
    </row>
    <row r="16" spans="1:29" ht="15">
      <c r="A16" s="379"/>
      <c r="B16" s="397"/>
      <c r="C16" s="398" t="s">
        <v>3379</v>
      </c>
      <c r="D16" s="399"/>
      <c r="E16" s="398" t="s">
        <v>3379</v>
      </c>
      <c r="F16" s="400"/>
      <c r="G16" s="398" t="s">
        <v>3379</v>
      </c>
      <c r="H16" s="401"/>
      <c r="I16" s="398" t="s">
        <v>3379</v>
      </c>
      <c r="J16" s="399"/>
      <c r="K16" s="564"/>
      <c r="L16" s="2721"/>
      <c r="M16" s="2715"/>
      <c r="N16" s="2715"/>
      <c r="O16" s="2715"/>
      <c r="P16" s="3688"/>
      <c r="Q16" s="1351"/>
      <c r="R16" s="704"/>
      <c r="S16" s="705"/>
      <c r="T16" s="704"/>
      <c r="U16" s="705"/>
      <c r="V16" s="704"/>
      <c r="W16" s="705"/>
      <c r="X16" s="1354"/>
      <c r="Y16" s="3690"/>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8"/>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407"/>
      <c r="C18" s="398" t="s">
        <v>3379</v>
      </c>
      <c r="D18" s="401"/>
      <c r="E18" s="398" t="s">
        <v>3379</v>
      </c>
      <c r="F18" s="404"/>
      <c r="G18" s="398" t="s">
        <v>3379</v>
      </c>
      <c r="H18" s="399"/>
      <c r="I18" s="398" t="s">
        <v>3379</v>
      </c>
      <c r="J18" s="399"/>
      <c r="K18" s="564"/>
      <c r="L18" s="2721"/>
      <c r="M18" s="2715"/>
      <c r="N18" s="2715"/>
      <c r="O18" s="2715"/>
      <c r="P18" s="3688"/>
      <c r="Q18" s="1351"/>
      <c r="R18" s="704"/>
      <c r="S18" s="705"/>
      <c r="T18" s="704"/>
      <c r="U18" s="705"/>
      <c r="V18" s="704"/>
      <c r="W18" s="705"/>
      <c r="X18" s="1354"/>
      <c r="Y18" s="3690"/>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1"/>
      <c r="M19" s="2715"/>
      <c r="N19" s="2715"/>
      <c r="O19" s="2715"/>
      <c r="P19" s="3688"/>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352">
        <f t="shared" si="5"/>
        <v>1</v>
      </c>
    </row>
    <row r="20" spans="1:29" ht="15">
      <c r="A20" s="379"/>
      <c r="B20" s="407"/>
      <c r="C20" s="398" t="s">
        <v>3379</v>
      </c>
      <c r="D20" s="399"/>
      <c r="E20" s="398" t="s">
        <v>3379</v>
      </c>
      <c r="F20" s="400"/>
      <c r="G20" s="398" t="s">
        <v>3379</v>
      </c>
      <c r="H20" s="399"/>
      <c r="I20" s="398" t="s">
        <v>3379</v>
      </c>
      <c r="J20" s="399"/>
      <c r="K20" s="564"/>
      <c r="L20" s="2721"/>
      <c r="M20" s="2715"/>
      <c r="N20" s="2715"/>
      <c r="O20" s="2715"/>
      <c r="P20" s="3688"/>
      <c r="Q20" s="1351"/>
      <c r="R20" s="704"/>
      <c r="S20" s="705"/>
      <c r="T20" s="704"/>
      <c r="U20" s="705"/>
      <c r="V20" s="704"/>
      <c r="W20" s="705"/>
      <c r="X20" s="1354"/>
      <c r="Y20" s="3690"/>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t="s">
        <v>3433</v>
      </c>
      <c r="D22" s="399"/>
      <c r="E22" s="1900" t="s">
        <v>3433</v>
      </c>
      <c r="F22" s="400"/>
      <c r="G22" s="1900" t="s">
        <v>3433</v>
      </c>
      <c r="H22" s="399"/>
      <c r="I22" s="1900" t="s">
        <v>3433</v>
      </c>
      <c r="J22" s="399"/>
      <c r="K22" s="1129"/>
      <c r="L22" s="2721"/>
      <c r="M22" s="2715"/>
      <c r="N22" s="2715"/>
      <c r="O22" s="2715"/>
      <c r="P22" s="3688"/>
      <c r="Q22" s="1351"/>
      <c r="R22" s="704"/>
      <c r="S22" s="705"/>
      <c r="T22" s="704"/>
      <c r="U22" s="705"/>
      <c r="V22" s="704"/>
      <c r="W22" s="705"/>
      <c r="X22" s="1354"/>
      <c r="Y22" s="3690"/>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688"/>
      <c r="Q23" s="1351" t="str">
        <f>B23</f>
        <v>自然及人文环境</v>
      </c>
      <c r="R23" s="704" t="s">
        <v>14</v>
      </c>
      <c r="S23" s="705">
        <f>F23</f>
        <v>100</v>
      </c>
      <c r="T23" s="704" t="s">
        <v>14</v>
      </c>
      <c r="U23" s="705">
        <f>H23</f>
        <v>100</v>
      </c>
      <c r="V23" s="704" t="s">
        <v>14</v>
      </c>
      <c r="W23" s="705">
        <f>J23</f>
        <v>100</v>
      </c>
      <c r="X23" s="1354"/>
      <c r="Y23" s="3690"/>
      <c r="Z23" s="1355" t="str">
        <f>Q23</f>
        <v>自然及人文环境</v>
      </c>
      <c r="AA23" s="1352">
        <f t="shared" si="3"/>
        <v>1</v>
      </c>
      <c r="AB23" s="1352">
        <f t="shared" si="4"/>
        <v>1</v>
      </c>
      <c r="AC23" s="1352">
        <f t="shared" si="5"/>
        <v>1</v>
      </c>
    </row>
    <row r="24" spans="1:29" ht="15">
      <c r="A24" s="379"/>
      <c r="B24" s="407"/>
      <c r="C24" s="398" t="s">
        <v>3379</v>
      </c>
      <c r="D24" s="399"/>
      <c r="E24" s="1897" t="s">
        <v>3379</v>
      </c>
      <c r="F24" s="400"/>
      <c r="G24" s="398" t="s">
        <v>3379</v>
      </c>
      <c r="H24" s="399"/>
      <c r="I24" s="398" t="s">
        <v>3379</v>
      </c>
      <c r="J24" s="399"/>
      <c r="K24" s="564"/>
      <c r="L24" s="2721"/>
      <c r="M24" s="2715"/>
      <c r="N24" s="2715"/>
      <c r="O24" s="2715"/>
      <c r="P24" s="3688"/>
      <c r="Q24" s="1351"/>
      <c r="R24" s="704"/>
      <c r="S24" s="705"/>
      <c r="T24" s="704"/>
      <c r="U24" s="705"/>
      <c r="V24" s="704"/>
      <c r="W24" s="705"/>
      <c r="X24" s="1354"/>
      <c r="Y24" s="3690"/>
      <c r="Z24" s="1355"/>
      <c r="AA24" s="1352">
        <v>1</v>
      </c>
      <c r="AB24" s="1352">
        <v>1</v>
      </c>
      <c r="AC24" s="1352">
        <v>1</v>
      </c>
    </row>
    <row r="25" spans="1:29" ht="15">
      <c r="A25" s="379"/>
      <c r="B25" s="375" t="s">
        <v>1780</v>
      </c>
      <c r="C25" s="565" t="s">
        <v>3418</v>
      </c>
      <c r="D25" s="386">
        <v>100</v>
      </c>
      <c r="E25" s="565" t="s">
        <v>3418</v>
      </c>
      <c r="F25" s="412">
        <f>SUMIF(86:86,E25,87:87)-SUMIF(86:86,C25,87:87)+100</f>
        <v>100</v>
      </c>
      <c r="G25" s="565" t="s">
        <v>3418</v>
      </c>
      <c r="H25" s="386">
        <f>SUMIF(86:86,G25,87:87)-SUMIF(86:86,C25,87:87)+100</f>
        <v>100</v>
      </c>
      <c r="I25" s="565" t="s">
        <v>3418</v>
      </c>
      <c r="J25" s="386">
        <f>SUMIF(86:86,I25,87:87)-SUMIF(86:86,C25,87:87)+100</f>
        <v>100</v>
      </c>
      <c r="K25" s="561">
        <v>2</v>
      </c>
      <c r="L25" s="2721"/>
      <c r="M25" s="2715"/>
      <c r="N25" s="2715"/>
      <c r="O25" s="2715"/>
      <c r="P25" s="3688"/>
      <c r="Q25" s="1351" t="str">
        <f t="shared" ref="Q25:Q46" si="11">B25</f>
        <v>临街状况</v>
      </c>
      <c r="R25" s="704" t="s">
        <v>14</v>
      </c>
      <c r="S25" s="705">
        <f>F25</f>
        <v>100</v>
      </c>
      <c r="T25" s="704" t="s">
        <v>14</v>
      </c>
      <c r="U25" s="705">
        <f>H25</f>
        <v>100</v>
      </c>
      <c r="V25" s="704" t="s">
        <v>14</v>
      </c>
      <c r="W25" s="705">
        <f>J25</f>
        <v>100</v>
      </c>
      <c r="X25" s="1354"/>
      <c r="Y25" s="3690"/>
      <c r="Z25" s="1355" t="str">
        <f>Q25</f>
        <v>临街状况</v>
      </c>
      <c r="AA25" s="1352">
        <f t="shared" si="3"/>
        <v>1</v>
      </c>
      <c r="AB25" s="1352">
        <f t="shared" si="4"/>
        <v>1</v>
      </c>
      <c r="AC25" s="1352">
        <f t="shared" si="5"/>
        <v>1</v>
      </c>
    </row>
    <row r="26" spans="1:29" ht="15">
      <c r="A26" s="379"/>
      <c r="B26" s="1132" t="s">
        <v>1781</v>
      </c>
      <c r="C26" s="3457" t="s">
        <v>3419</v>
      </c>
      <c r="D26" s="386">
        <v>100</v>
      </c>
      <c r="E26" s="3457" t="s">
        <v>3462</v>
      </c>
      <c r="F26" s="412">
        <f>SUMIF(88:88,E26,89:89)-SUMIF(88:88,C26,89:89)+100</f>
        <v>100</v>
      </c>
      <c r="G26" s="3457" t="s">
        <v>3442</v>
      </c>
      <c r="H26" s="386">
        <f>SUMIF(88:88,G26,89:89)-SUMIF(88:88,C26,89:89)+100</f>
        <v>100</v>
      </c>
      <c r="I26" s="3457" t="s">
        <v>3420</v>
      </c>
      <c r="J26" s="386">
        <f>SUMIF(88:88,I26,89:89)-SUMIF(88:88,C26,89:89)+100</f>
        <v>100</v>
      </c>
      <c r="K26" s="562"/>
      <c r="L26" s="2721"/>
      <c r="M26" s="2715"/>
      <c r="N26" s="2715"/>
      <c r="O26" s="2715"/>
      <c r="P26" s="3688"/>
      <c r="Q26" s="1351" t="str">
        <f t="shared" si="11"/>
        <v>平面位置/可视性</v>
      </c>
      <c r="R26" s="704" t="s">
        <v>14</v>
      </c>
      <c r="S26" s="705">
        <f>F26</f>
        <v>100</v>
      </c>
      <c r="T26" s="704" t="s">
        <v>14</v>
      </c>
      <c r="U26" s="705">
        <f>H26</f>
        <v>100</v>
      </c>
      <c r="V26" s="704" t="s">
        <v>14</v>
      </c>
      <c r="W26" s="705">
        <f>J26</f>
        <v>100</v>
      </c>
      <c r="X26" s="1354"/>
      <c r="Y26" s="3690"/>
      <c r="Z26" s="1355" t="str">
        <f>Q26</f>
        <v>平面位置/可视性</v>
      </c>
      <c r="AA26" s="1352">
        <f t="shared" si="3"/>
        <v>1</v>
      </c>
      <c r="AB26" s="1352">
        <f t="shared" si="4"/>
        <v>1</v>
      </c>
      <c r="AC26" s="1352">
        <f t="shared" si="5"/>
        <v>1</v>
      </c>
    </row>
    <row r="27" spans="1:29" s="108" customFormat="1" ht="15">
      <c r="A27" s="382"/>
      <c r="B27" s="402" t="s">
        <v>1782</v>
      </c>
      <c r="C27" s="1955" t="s">
        <v>3379</v>
      </c>
      <c r="D27" s="413">
        <v>100</v>
      </c>
      <c r="E27" s="1955" t="s">
        <v>3379</v>
      </c>
      <c r="F27" s="415">
        <f>SUMIF(90:90,E27,91:91)-SUMIF(90:90,C27,91:91)+100</f>
        <v>100</v>
      </c>
      <c r="G27" s="1955" t="s">
        <v>3379</v>
      </c>
      <c r="H27" s="413">
        <f>SUMIF(90:90,G27,91:91)-SUMIF(90:90,C27,91:91)+100</f>
        <v>100</v>
      </c>
      <c r="I27" s="1955" t="s">
        <v>3379</v>
      </c>
      <c r="J27" s="413">
        <f>SUMIF(90:90,I27,91:91)-SUMIF(90:90,C27,91:91)+100</f>
        <v>100</v>
      </c>
      <c r="K27" s="561">
        <v>2</v>
      </c>
      <c r="L27" s="2716"/>
      <c r="M27" s="2717"/>
      <c r="N27" s="2717"/>
      <c r="O27" s="2717"/>
      <c r="P27" s="3688"/>
      <c r="Q27" s="1342" t="str">
        <f t="shared" si="11"/>
        <v>人流量</v>
      </c>
      <c r="R27" s="700" t="s">
        <v>14</v>
      </c>
      <c r="S27" s="701">
        <f>F27</f>
        <v>100</v>
      </c>
      <c r="T27" s="700" t="s">
        <v>14</v>
      </c>
      <c r="U27" s="701">
        <f>H27</f>
        <v>100</v>
      </c>
      <c r="V27" s="700" t="s">
        <v>14</v>
      </c>
      <c r="W27" s="701">
        <f>J27</f>
        <v>100</v>
      </c>
      <c r="X27" s="702"/>
      <c r="Y27" s="3690"/>
      <c r="Z27" s="52" t="str">
        <f>Q27</f>
        <v>人流量</v>
      </c>
      <c r="AA27" s="1352">
        <f>D27/F27</f>
        <v>1</v>
      </c>
      <c r="AB27" s="1352">
        <f>D27/H27</f>
        <v>1</v>
      </c>
      <c r="AC27" s="1352">
        <f>D27/J27</f>
        <v>1</v>
      </c>
    </row>
    <row r="28" spans="1:29" ht="15">
      <c r="A28" s="379"/>
      <c r="B28" s="375" t="s">
        <v>1783</v>
      </c>
      <c r="C28" s="565" t="s">
        <v>3443</v>
      </c>
      <c r="D28" s="386">
        <v>100</v>
      </c>
      <c r="E28" s="565" t="s">
        <v>3443</v>
      </c>
      <c r="F28" s="412">
        <f>SUMIF(92:92,E28,93:93)-SUMIF(92:92,C28,93:93)+100</f>
        <v>100</v>
      </c>
      <c r="G28" s="565" t="s">
        <v>3441</v>
      </c>
      <c r="H28" s="386">
        <f>SUMIF(92:92,G28,93:93)-SUMIF(92:92,C28,93:93)+100</f>
        <v>85</v>
      </c>
      <c r="I28" s="565" t="s">
        <v>3441</v>
      </c>
      <c r="J28" s="386">
        <f>SUMIF(92:92,I28,93:93)-SUMIF(92:92,C28,93:93)+100</f>
        <v>85</v>
      </c>
      <c r="K28" s="562"/>
      <c r="L28" s="2721"/>
      <c r="M28" s="2715"/>
      <c r="N28" s="2715"/>
      <c r="O28" s="2715"/>
      <c r="P28" s="3688"/>
      <c r="Q28" s="1351" t="str">
        <f t="shared" si="11"/>
        <v>楼层</v>
      </c>
      <c r="R28" s="704" t="s">
        <v>14</v>
      </c>
      <c r="S28" s="705">
        <f t="shared" ref="S28:S46" si="12">F28</f>
        <v>100</v>
      </c>
      <c r="T28" s="704" t="s">
        <v>14</v>
      </c>
      <c r="U28" s="705">
        <f t="shared" ref="U28:U46" si="13">H28</f>
        <v>85</v>
      </c>
      <c r="V28" s="704" t="s">
        <v>14</v>
      </c>
      <c r="W28" s="705">
        <f t="shared" ref="W28:W46" si="14">J28</f>
        <v>85</v>
      </c>
      <c r="X28" s="1354"/>
      <c r="Y28" s="3690"/>
      <c r="Z28" s="1355" t="str">
        <f t="shared" ref="Z28:Z46" si="15">Q28</f>
        <v>楼层</v>
      </c>
      <c r="AA28" s="1352">
        <f t="shared" si="3"/>
        <v>1</v>
      </c>
      <c r="AB28" s="1352">
        <f t="shared" si="4"/>
        <v>1.1764705882352942</v>
      </c>
      <c r="AC28" s="1352">
        <f t="shared" si="5"/>
        <v>1.1764705882352942</v>
      </c>
    </row>
    <row r="29" spans="1:29" ht="15.75" thickBot="1">
      <c r="A29" s="379"/>
      <c r="B29" s="3465" t="s">
        <v>3455</v>
      </c>
      <c r="C29" s="3457" t="s">
        <v>3456</v>
      </c>
      <c r="D29" s="386">
        <v>100</v>
      </c>
      <c r="E29" s="385" t="s">
        <v>3457</v>
      </c>
      <c r="F29" s="412">
        <f>SUMIF(94:94,E29,95:95)-SUMIF(94:94,C29,95:95)+100</f>
        <v>100</v>
      </c>
      <c r="G29" s="3457" t="s">
        <v>3456</v>
      </c>
      <c r="H29" s="386">
        <f>SUMIF(94:94,G29,95:95)-SUMIF(94:94,C29,95:95)+100</f>
        <v>100</v>
      </c>
      <c r="I29" s="3457" t="s">
        <v>3456</v>
      </c>
      <c r="J29" s="386">
        <f>SUMIF(94:94,I29,95:95)-SUMIF(94:94,C29,95:95)+100</f>
        <v>100</v>
      </c>
      <c r="K29" s="562"/>
      <c r="L29" s="2721"/>
      <c r="M29" s="2715"/>
      <c r="N29" s="2715"/>
      <c r="O29" s="2715"/>
      <c r="P29" s="3688"/>
      <c r="Q29" s="1351" t="str">
        <f t="shared" si="11"/>
        <v>有无产权证</v>
      </c>
      <c r="R29" s="704" t="s">
        <v>14</v>
      </c>
      <c r="S29" s="705">
        <f t="shared" si="12"/>
        <v>100</v>
      </c>
      <c r="T29" s="704" t="s">
        <v>14</v>
      </c>
      <c r="U29" s="705">
        <f t="shared" si="13"/>
        <v>100</v>
      </c>
      <c r="V29" s="704" t="s">
        <v>14</v>
      </c>
      <c r="W29" s="705">
        <f t="shared" si="14"/>
        <v>100</v>
      </c>
      <c r="X29" s="1354"/>
      <c r="Y29" s="3690"/>
      <c r="Z29" s="1355" t="str">
        <f t="shared" si="15"/>
        <v>有无产权证</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8"/>
      <c r="Q30" s="1351">
        <f t="shared" si="11"/>
        <v>111</v>
      </c>
      <c r="R30" s="704" t="s">
        <v>14</v>
      </c>
      <c r="S30" s="705">
        <f t="shared" si="12"/>
        <v>100</v>
      </c>
      <c r="T30" s="704" t="s">
        <v>14</v>
      </c>
      <c r="U30" s="705">
        <f t="shared" si="13"/>
        <v>100</v>
      </c>
      <c r="V30" s="704" t="s">
        <v>14</v>
      </c>
      <c r="W30" s="705">
        <f t="shared" si="14"/>
        <v>100</v>
      </c>
      <c r="X30" s="1354"/>
      <c r="Y30" s="3690"/>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8"/>
      <c r="Q31" s="1351">
        <f t="shared" si="11"/>
        <v>111</v>
      </c>
      <c r="R31" s="704" t="s">
        <v>14</v>
      </c>
      <c r="S31" s="705">
        <f t="shared" si="12"/>
        <v>100</v>
      </c>
      <c r="T31" s="704" t="s">
        <v>14</v>
      </c>
      <c r="U31" s="705">
        <f t="shared" si="13"/>
        <v>100</v>
      </c>
      <c r="V31" s="704" t="s">
        <v>14</v>
      </c>
      <c r="W31" s="705">
        <f t="shared" si="14"/>
        <v>100</v>
      </c>
      <c r="X31" s="1354"/>
      <c r="Y31" s="3690"/>
      <c r="Z31" s="1355">
        <f t="shared" si="15"/>
        <v>111</v>
      </c>
      <c r="AA31" s="1352">
        <f t="shared" si="3"/>
        <v>1</v>
      </c>
      <c r="AB31" s="1352">
        <f t="shared" si="4"/>
        <v>1</v>
      </c>
      <c r="AC31" s="1352">
        <f t="shared" si="5"/>
        <v>1</v>
      </c>
    </row>
    <row r="32" spans="1:29" ht="15">
      <c r="A32" s="391" t="s">
        <v>1694</v>
      </c>
      <c r="B32" s="63" t="s">
        <v>1784</v>
      </c>
      <c r="C32" s="1909" t="s">
        <v>3430</v>
      </c>
      <c r="D32" s="418">
        <v>100</v>
      </c>
      <c r="E32" s="1909" t="s">
        <v>3430</v>
      </c>
      <c r="F32" s="412">
        <f>SUMIF(100:100,E32,101:101)-SUMIF(100:100,C32,101:101)+100</f>
        <v>100</v>
      </c>
      <c r="G32" s="1909" t="s">
        <v>3430</v>
      </c>
      <c r="H32" s="386">
        <f>SUMIF(100:100,G32,101:101)-SUMIF(100:100,C32,101:101)+100</f>
        <v>100</v>
      </c>
      <c r="I32" s="1909" t="s">
        <v>3430</v>
      </c>
      <c r="J32" s="418">
        <f>SUMIF(100:100,I32,101:101)-SUMIF(100:100,C32,101:101)+100</f>
        <v>100</v>
      </c>
      <c r="K32" s="561">
        <v>2</v>
      </c>
      <c r="L32" s="2721"/>
      <c r="M32" s="2715"/>
      <c r="N32" s="2715"/>
      <c r="O32" s="2715"/>
      <c r="P32" s="3691" t="s">
        <v>1696</v>
      </c>
      <c r="Q32" s="1351" t="str">
        <f t="shared" si="11"/>
        <v>商业类型</v>
      </c>
      <c r="R32" s="704" t="s">
        <v>14</v>
      </c>
      <c r="S32" s="705">
        <f t="shared" si="12"/>
        <v>100</v>
      </c>
      <c r="T32" s="704" t="s">
        <v>14</v>
      </c>
      <c r="U32" s="705">
        <f t="shared" si="13"/>
        <v>100</v>
      </c>
      <c r="V32" s="704" t="s">
        <v>14</v>
      </c>
      <c r="W32" s="705">
        <f t="shared" si="14"/>
        <v>100</v>
      </c>
      <c r="X32" s="1354"/>
      <c r="Y32" s="3694" t="s">
        <v>1696</v>
      </c>
      <c r="Z32" s="1355" t="str">
        <f t="shared" si="15"/>
        <v>商业类型</v>
      </c>
      <c r="AA32" s="1352">
        <f t="shared" si="3"/>
        <v>1</v>
      </c>
      <c r="AB32" s="1352">
        <f t="shared" si="4"/>
        <v>1</v>
      </c>
      <c r="AC32" s="1352">
        <f t="shared" si="5"/>
        <v>1</v>
      </c>
    </row>
    <row r="33" spans="1:29" s="422" customFormat="1" ht="15">
      <c r="A33" s="419"/>
      <c r="B33" s="375" t="s">
        <v>1697</v>
      </c>
      <c r="C33" s="420">
        <f>典型户型修正!B24</f>
        <v>145.19</v>
      </c>
      <c r="D33" s="127">
        <v>100</v>
      </c>
      <c r="E33" s="381">
        <v>198.62</v>
      </c>
      <c r="F33" s="376">
        <f>LOOKUP(E33,103:103,104:104)-LOOKUP(C33,103:103,104:104)+100</f>
        <v>100</v>
      </c>
      <c r="G33" s="380">
        <v>201</v>
      </c>
      <c r="H33" s="127">
        <f>LOOKUP(G33,103:103,104:104)-LOOKUP(C33,103:103,104:104)+100</f>
        <v>99</v>
      </c>
      <c r="I33" s="380">
        <v>235</v>
      </c>
      <c r="J33" s="127">
        <f>LOOKUP(I33,103:103,104:104)-LOOKUP(C33,103:103,104:104)+100</f>
        <v>99</v>
      </c>
      <c r="K33" s="562"/>
      <c r="L33" s="2720"/>
      <c r="M33" s="2722"/>
      <c r="N33" s="2722"/>
      <c r="O33" s="2722"/>
      <c r="P33" s="3692"/>
      <c r="Q33" s="706" t="str">
        <f t="shared" si="11"/>
        <v>项目建筑规模</v>
      </c>
      <c r="R33" s="707" t="s">
        <v>14</v>
      </c>
      <c r="S33" s="708">
        <f t="shared" si="12"/>
        <v>100</v>
      </c>
      <c r="T33" s="707" t="s">
        <v>14</v>
      </c>
      <c r="U33" s="708">
        <f t="shared" si="13"/>
        <v>99</v>
      </c>
      <c r="V33" s="707" t="s">
        <v>14</v>
      </c>
      <c r="W33" s="708">
        <f t="shared" si="14"/>
        <v>99</v>
      </c>
      <c r="X33" s="709"/>
      <c r="Y33" s="3694"/>
      <c r="Z33" s="710" t="str">
        <f t="shared" si="15"/>
        <v>项目建筑规模</v>
      </c>
      <c r="AA33" s="1352">
        <f t="shared" si="3"/>
        <v>1</v>
      </c>
      <c r="AB33" s="1352">
        <f t="shared" si="4"/>
        <v>1.0101010101010102</v>
      </c>
      <c r="AC33" s="1352">
        <f t="shared" si="5"/>
        <v>1.0101010101010102</v>
      </c>
    </row>
    <row r="34" spans="1:29" ht="15">
      <c r="A34" s="423"/>
      <c r="B34" s="375" t="s">
        <v>1698</v>
      </c>
      <c r="C34" s="1911" t="s">
        <v>3388</v>
      </c>
      <c r="D34" s="386">
        <v>100</v>
      </c>
      <c r="E34" s="1911" t="s">
        <v>3388</v>
      </c>
      <c r="F34" s="412">
        <f>SUMIF(105:105,E34,106:106)-SUMIF(105:105,C34,106:106)+100</f>
        <v>100</v>
      </c>
      <c r="G34" s="1911" t="s">
        <v>3388</v>
      </c>
      <c r="H34" s="386">
        <f>SUMIF(105:105,G34,106:106)-SUMIF(105:105,C34,106:106)+100</f>
        <v>100</v>
      </c>
      <c r="I34" s="1911" t="s">
        <v>3388</v>
      </c>
      <c r="J34" s="386">
        <f>SUMIF(105:105,I34,106:106)-SUMIF(105:105,C34,106:106)+100</f>
        <v>100</v>
      </c>
      <c r="K34" s="561">
        <v>1</v>
      </c>
      <c r="L34" s="2721"/>
      <c r="M34" s="2715"/>
      <c r="N34" s="2715"/>
      <c r="O34" s="2715"/>
      <c r="P34" s="3692"/>
      <c r="Q34" s="1351" t="str">
        <f t="shared" si="11"/>
        <v>建筑结构</v>
      </c>
      <c r="R34" s="704" t="s">
        <v>14</v>
      </c>
      <c r="S34" s="705">
        <f t="shared" si="12"/>
        <v>100</v>
      </c>
      <c r="T34" s="704" t="s">
        <v>14</v>
      </c>
      <c r="U34" s="705">
        <f t="shared" si="13"/>
        <v>100</v>
      </c>
      <c r="V34" s="704" t="s">
        <v>14</v>
      </c>
      <c r="W34" s="705">
        <f t="shared" si="14"/>
        <v>100</v>
      </c>
      <c r="X34" s="1354"/>
      <c r="Y34" s="3694"/>
      <c r="Z34" s="1355" t="str">
        <f t="shared" si="15"/>
        <v>建筑结构</v>
      </c>
      <c r="AA34" s="1352">
        <f t="shared" si="3"/>
        <v>1</v>
      </c>
      <c r="AB34" s="1352">
        <f t="shared" si="4"/>
        <v>1</v>
      </c>
      <c r="AC34" s="1352">
        <f t="shared" si="5"/>
        <v>1</v>
      </c>
    </row>
    <row r="35" spans="1:29" ht="15">
      <c r="A35" s="423"/>
      <c r="B35" s="375" t="s">
        <v>1785</v>
      </c>
      <c r="C35" s="1905" t="s">
        <v>3431</v>
      </c>
      <c r="D35" s="386">
        <v>100</v>
      </c>
      <c r="E35" s="1905" t="s">
        <v>3431</v>
      </c>
      <c r="F35" s="412">
        <f>SUMIF(107:107,E35,108:108)-SUMIF(107:107,C35,108:108)+100</f>
        <v>100</v>
      </c>
      <c r="G35" s="1905" t="s">
        <v>3431</v>
      </c>
      <c r="H35" s="386">
        <f>SUMIF(107:107,G35,108:108)-SUMIF(107:107,C35,108:108)+100</f>
        <v>100</v>
      </c>
      <c r="I35" s="1905" t="s">
        <v>3431</v>
      </c>
      <c r="J35" s="386">
        <f>SUMIF(107:107,I35,108:108)-SUMIF(107:107,C35,108:108)+100</f>
        <v>100</v>
      </c>
      <c r="K35" s="561">
        <v>5</v>
      </c>
      <c r="L35" s="2721"/>
      <c r="M35" s="2715"/>
      <c r="N35" s="2715"/>
      <c r="O35" s="2715"/>
      <c r="P35" s="3692"/>
      <c r="Q35" s="1351" t="str">
        <f t="shared" si="11"/>
        <v>公共部分装修</v>
      </c>
      <c r="R35" s="704" t="s">
        <v>14</v>
      </c>
      <c r="S35" s="705">
        <f t="shared" si="12"/>
        <v>100</v>
      </c>
      <c r="T35" s="704" t="s">
        <v>14</v>
      </c>
      <c r="U35" s="705">
        <f t="shared" si="13"/>
        <v>100</v>
      </c>
      <c r="V35" s="704" t="s">
        <v>14</v>
      </c>
      <c r="W35" s="705">
        <f t="shared" si="14"/>
        <v>100</v>
      </c>
      <c r="X35" s="1354"/>
      <c r="Y35" s="3694"/>
      <c r="Z35" s="1355" t="str">
        <f t="shared" si="15"/>
        <v>公共部分装修</v>
      </c>
      <c r="AA35" s="1352">
        <f t="shared" si="3"/>
        <v>1</v>
      </c>
      <c r="AB35" s="1352">
        <f t="shared" si="4"/>
        <v>1</v>
      </c>
      <c r="AC35" s="1352">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692"/>
      <c r="Q36" s="1351" t="str">
        <f t="shared" si="11"/>
        <v>成新度</v>
      </c>
      <c r="R36" s="704" t="s">
        <v>14</v>
      </c>
      <c r="S36" s="705">
        <f t="shared" si="12"/>
        <v>100</v>
      </c>
      <c r="T36" s="704" t="s">
        <v>14</v>
      </c>
      <c r="U36" s="705">
        <f t="shared" si="13"/>
        <v>100</v>
      </c>
      <c r="V36" s="704" t="s">
        <v>14</v>
      </c>
      <c r="W36" s="705">
        <f t="shared" si="14"/>
        <v>100</v>
      </c>
      <c r="X36" s="1354"/>
      <c r="Y36" s="3694"/>
      <c r="Z36" s="1355" t="str">
        <f t="shared" si="15"/>
        <v>成新度</v>
      </c>
      <c r="AA36" s="1352">
        <f t="shared" si="3"/>
        <v>1</v>
      </c>
      <c r="AB36" s="1352">
        <f t="shared" si="4"/>
        <v>1</v>
      </c>
      <c r="AC36" s="1352">
        <f t="shared" si="5"/>
        <v>1</v>
      </c>
    </row>
    <row r="37" spans="1:29" s="108" customFormat="1" ht="15">
      <c r="A37" s="424"/>
      <c r="B37" s="375" t="s">
        <v>1787</v>
      </c>
      <c r="C37" s="1905" t="s">
        <v>3433</v>
      </c>
      <c r="D37" s="127">
        <v>100</v>
      </c>
      <c r="E37" s="1905" t="s">
        <v>3477</v>
      </c>
      <c r="F37" s="412">
        <f>SUMIF(112:112,E37,113:113)-SUMIF(112:112,C37,113:113)+100</f>
        <v>99</v>
      </c>
      <c r="G37" s="1905" t="s">
        <v>3433</v>
      </c>
      <c r="H37" s="386">
        <f>SUMIF(112:112,G37,113:113)-SUMIF(112:112,C37,113:113)+100</f>
        <v>100</v>
      </c>
      <c r="I37" s="1905" t="s">
        <v>3433</v>
      </c>
      <c r="J37" s="386">
        <f>SUMIF(112:112,I37,113:113)-SUMIF(112:112,C37,113:113)+100</f>
        <v>100</v>
      </c>
      <c r="K37" s="561">
        <v>1</v>
      </c>
      <c r="L37" s="2716"/>
      <c r="M37" s="2717"/>
      <c r="N37" s="2717"/>
      <c r="O37" s="2717"/>
      <c r="P37" s="3692"/>
      <c r="Q37" s="1342" t="str">
        <f t="shared" si="11"/>
        <v>市政基础设施</v>
      </c>
      <c r="R37" s="700" t="s">
        <v>14</v>
      </c>
      <c r="S37" s="701">
        <f t="shared" si="12"/>
        <v>99</v>
      </c>
      <c r="T37" s="700" t="s">
        <v>14</v>
      </c>
      <c r="U37" s="701">
        <f t="shared" si="13"/>
        <v>100</v>
      </c>
      <c r="V37" s="700" t="s">
        <v>14</v>
      </c>
      <c r="W37" s="701">
        <f t="shared" si="14"/>
        <v>100</v>
      </c>
      <c r="X37" s="702"/>
      <c r="Y37" s="3694"/>
      <c r="Z37" s="52" t="str">
        <f t="shared" si="15"/>
        <v>市政基础设施</v>
      </c>
      <c r="AA37" s="703">
        <f t="shared" si="3"/>
        <v>1.0101010101010102</v>
      </c>
      <c r="AB37" s="703">
        <f t="shared" si="4"/>
        <v>1</v>
      </c>
      <c r="AC37" s="703">
        <f t="shared" si="5"/>
        <v>1</v>
      </c>
    </row>
    <row r="38" spans="1:29" ht="15">
      <c r="A38" s="423"/>
      <c r="B38" s="375" t="s">
        <v>1788</v>
      </c>
      <c r="C38" s="1905" t="s">
        <v>3436</v>
      </c>
      <c r="D38" s="386">
        <v>100</v>
      </c>
      <c r="E38" s="1905" t="s">
        <v>3461</v>
      </c>
      <c r="F38" s="412">
        <f>SUMIF(114:114,E38,115:115)-SUMIF(114:114,C38,115:115)+100</f>
        <v>98</v>
      </c>
      <c r="G38" s="1905" t="s">
        <v>3436</v>
      </c>
      <c r="H38" s="386">
        <f>SUMIF(114:114,G38,115:115)-SUMIF(114:114,C38,115:115)+100</f>
        <v>100</v>
      </c>
      <c r="I38" s="1905" t="s">
        <v>3436</v>
      </c>
      <c r="J38" s="386">
        <f>SUMIF(114:114,I38,115:115)-SUMIF(114:114,C38,115:115)+100</f>
        <v>100</v>
      </c>
      <c r="K38" s="561">
        <v>2</v>
      </c>
      <c r="L38" s="2721"/>
      <c r="M38" s="2715"/>
      <c r="N38" s="2715"/>
      <c r="O38" s="2715"/>
      <c r="P38" s="3692" t="s">
        <v>1696</v>
      </c>
      <c r="Q38" s="1351" t="str">
        <f t="shared" si="11"/>
        <v>业态</v>
      </c>
      <c r="R38" s="704" t="s">
        <v>14</v>
      </c>
      <c r="S38" s="705">
        <f t="shared" si="12"/>
        <v>98</v>
      </c>
      <c r="T38" s="704" t="s">
        <v>14</v>
      </c>
      <c r="U38" s="705">
        <f t="shared" si="13"/>
        <v>100</v>
      </c>
      <c r="V38" s="704" t="s">
        <v>14</v>
      </c>
      <c r="W38" s="705">
        <f t="shared" si="14"/>
        <v>100</v>
      </c>
      <c r="X38" s="1354"/>
      <c r="Y38" s="3694" t="s">
        <v>1696</v>
      </c>
      <c r="Z38" s="1355" t="str">
        <f t="shared" si="15"/>
        <v>业态</v>
      </c>
      <c r="AA38" s="1352">
        <f t="shared" si="3"/>
        <v>1.0204081632653061</v>
      </c>
      <c r="AB38" s="1352">
        <f t="shared" si="4"/>
        <v>1</v>
      </c>
      <c r="AC38" s="1352">
        <f t="shared" si="5"/>
        <v>1</v>
      </c>
    </row>
    <row r="39" spans="1:29" ht="15">
      <c r="A39" s="423"/>
      <c r="B39" s="375" t="s">
        <v>1789</v>
      </c>
      <c r="C39" s="1905" t="s">
        <v>3437</v>
      </c>
      <c r="D39" s="386">
        <v>100</v>
      </c>
      <c r="E39" s="1905" t="s">
        <v>3437</v>
      </c>
      <c r="F39" s="412">
        <f>SUMIF(116:116,E39,117:117)-SUMIF(116:116,C39,117:117)+100</f>
        <v>100</v>
      </c>
      <c r="G39" s="1905" t="s">
        <v>3437</v>
      </c>
      <c r="H39" s="386">
        <f>SUMIF(116:116,G39,117:117)-SUMIF(116:116,C39,117:117)+100</f>
        <v>100</v>
      </c>
      <c r="I39" s="1905" t="s">
        <v>3438</v>
      </c>
      <c r="J39" s="386">
        <f>SUMIF(116:116,I39,117:117)-SUMIF(116:116,C39,117:117)+100</f>
        <v>108</v>
      </c>
      <c r="K39" s="561">
        <v>8</v>
      </c>
      <c r="L39" s="2721"/>
      <c r="M39" s="2715"/>
      <c r="N39" s="2715"/>
      <c r="O39" s="2715"/>
      <c r="P39" s="3692"/>
      <c r="Q39" s="1351" t="str">
        <f t="shared" si="11"/>
        <v>层高</v>
      </c>
      <c r="R39" s="704" t="s">
        <v>14</v>
      </c>
      <c r="S39" s="705">
        <f t="shared" si="12"/>
        <v>100</v>
      </c>
      <c r="T39" s="704" t="s">
        <v>14</v>
      </c>
      <c r="U39" s="705">
        <f t="shared" si="13"/>
        <v>100</v>
      </c>
      <c r="V39" s="704" t="s">
        <v>14</v>
      </c>
      <c r="W39" s="705">
        <f t="shared" si="14"/>
        <v>108</v>
      </c>
      <c r="X39" s="1354"/>
      <c r="Y39" s="3694"/>
      <c r="Z39" s="1355" t="str">
        <f t="shared" si="15"/>
        <v>层高</v>
      </c>
      <c r="AA39" s="1352">
        <f t="shared" si="3"/>
        <v>1</v>
      </c>
      <c r="AB39" s="1352">
        <f t="shared" si="4"/>
        <v>1</v>
      </c>
      <c r="AC39" s="1352">
        <f t="shared" si="5"/>
        <v>0.92592592592592593</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2"/>
      <c r="Q40" s="1351" t="str">
        <f t="shared" si="11"/>
        <v>单套建筑面积</v>
      </c>
      <c r="R40" s="704" t="s">
        <v>14</v>
      </c>
      <c r="S40" s="705">
        <f t="shared" si="12"/>
        <v>100</v>
      </c>
      <c r="T40" s="704" t="s">
        <v>14</v>
      </c>
      <c r="U40" s="705">
        <f t="shared" si="13"/>
        <v>100</v>
      </c>
      <c r="V40" s="704" t="s">
        <v>14</v>
      </c>
      <c r="W40" s="705">
        <f t="shared" si="14"/>
        <v>100</v>
      </c>
      <c r="X40" s="1354"/>
      <c r="Y40" s="3694"/>
      <c r="Z40" s="1355" t="str">
        <f t="shared" si="15"/>
        <v>单套建筑面积</v>
      </c>
      <c r="AA40" s="1352">
        <f t="shared" si="3"/>
        <v>1</v>
      </c>
      <c r="AB40" s="1352">
        <f t="shared" si="4"/>
        <v>1</v>
      </c>
      <c r="AC40" s="1352">
        <f t="shared" si="5"/>
        <v>1</v>
      </c>
    </row>
    <row r="41" spans="1:29" s="422" customFormat="1" ht="15">
      <c r="A41" s="419"/>
      <c r="B41" s="1353" t="s">
        <v>1791</v>
      </c>
      <c r="C41" s="565" t="s">
        <v>3439</v>
      </c>
      <c r="D41" s="386">
        <v>100</v>
      </c>
      <c r="E41" s="565" t="s">
        <v>3439</v>
      </c>
      <c r="F41" s="412">
        <f>SUMIF(120:120,E41,121:121)-SUMIF(120:120,C41,121:121)+100</f>
        <v>100</v>
      </c>
      <c r="G41" s="565" t="s">
        <v>3439</v>
      </c>
      <c r="H41" s="386">
        <f>SUMIF(120:120,G41,121:121)-SUMIF(120:120,C41,121:121)+100</f>
        <v>100</v>
      </c>
      <c r="I41" s="565" t="s">
        <v>3439</v>
      </c>
      <c r="J41" s="386">
        <f>SUMIF(120:120,I41,121:121)-SUMIF(120:120,C41,121:121)+100</f>
        <v>100</v>
      </c>
      <c r="K41" s="561">
        <v>1</v>
      </c>
      <c r="L41" s="2720"/>
      <c r="M41" s="2722"/>
      <c r="N41" s="2722"/>
      <c r="O41" s="2722"/>
      <c r="P41" s="3692"/>
      <c r="Q41" s="706" t="str">
        <f t="shared" si="11"/>
        <v>进深比</v>
      </c>
      <c r="R41" s="707" t="s">
        <v>14</v>
      </c>
      <c r="S41" s="708">
        <f t="shared" si="12"/>
        <v>100</v>
      </c>
      <c r="T41" s="707" t="s">
        <v>14</v>
      </c>
      <c r="U41" s="708">
        <f t="shared" si="13"/>
        <v>100</v>
      </c>
      <c r="V41" s="707" t="s">
        <v>14</v>
      </c>
      <c r="W41" s="708">
        <f t="shared" si="14"/>
        <v>100</v>
      </c>
      <c r="X41" s="709"/>
      <c r="Y41" s="3694"/>
      <c r="Z41" s="710" t="str">
        <f t="shared" si="15"/>
        <v>进深比</v>
      </c>
      <c r="AA41" s="1352">
        <f t="shared" si="3"/>
        <v>1</v>
      </c>
      <c r="AB41" s="1352">
        <f t="shared" si="4"/>
        <v>1</v>
      </c>
      <c r="AC41" s="1352">
        <f t="shared" si="5"/>
        <v>1</v>
      </c>
    </row>
    <row r="42" spans="1:29" ht="15">
      <c r="A42" s="423"/>
      <c r="B42" s="375" t="s">
        <v>1792</v>
      </c>
      <c r="C42" s="1905" t="s">
        <v>3431</v>
      </c>
      <c r="D42" s="386">
        <v>100</v>
      </c>
      <c r="E42" s="1905" t="s">
        <v>3431</v>
      </c>
      <c r="F42" s="412">
        <f>SUMIF(122:122,E42,123:123)-SUMIF(122:122,C42,123:123)+100</f>
        <v>100</v>
      </c>
      <c r="G42" s="1905" t="s">
        <v>3431</v>
      </c>
      <c r="H42" s="386">
        <f>SUMIF(122:122,G42,123:123)-SUMIF(122:122,C42,123:123)+100</f>
        <v>100</v>
      </c>
      <c r="I42" s="1905" t="s">
        <v>3431</v>
      </c>
      <c r="J42" s="386">
        <f>SUMIF(122:122,I42,123:123)-SUMIF(122:122,C42,123:123)+100</f>
        <v>100</v>
      </c>
      <c r="K42" s="561">
        <v>1</v>
      </c>
      <c r="L42" s="2721"/>
      <c r="M42" s="2715"/>
      <c r="N42" s="2715"/>
      <c r="O42" s="2715"/>
      <c r="P42" s="3692"/>
      <c r="Q42" s="1351" t="str">
        <f t="shared" si="11"/>
        <v>内部装修</v>
      </c>
      <c r="R42" s="704" t="s">
        <v>14</v>
      </c>
      <c r="S42" s="705">
        <f t="shared" si="12"/>
        <v>100</v>
      </c>
      <c r="T42" s="704" t="s">
        <v>14</v>
      </c>
      <c r="U42" s="705">
        <f t="shared" si="13"/>
        <v>100</v>
      </c>
      <c r="V42" s="704" t="s">
        <v>14</v>
      </c>
      <c r="W42" s="705">
        <f t="shared" si="14"/>
        <v>100</v>
      </c>
      <c r="X42" s="1354"/>
      <c r="Y42" s="3694"/>
      <c r="Z42" s="1355" t="str">
        <f t="shared" si="15"/>
        <v>内部装修</v>
      </c>
      <c r="AA42" s="1352">
        <f t="shared" si="3"/>
        <v>1</v>
      </c>
      <c r="AB42" s="1352">
        <f t="shared" si="4"/>
        <v>1</v>
      </c>
      <c r="AC42" s="1352">
        <f t="shared" si="5"/>
        <v>1</v>
      </c>
    </row>
    <row r="43" spans="1:29" ht="15.75" thickBot="1">
      <c r="A43" s="423"/>
      <c r="B43" s="375" t="s">
        <v>1707</v>
      </c>
      <c r="C43" s="1905" t="s">
        <v>3379</v>
      </c>
      <c r="D43" s="386">
        <v>100</v>
      </c>
      <c r="E43" s="1905" t="s">
        <v>3379</v>
      </c>
      <c r="F43" s="412">
        <f>SUMIF(124:124,E43,125:125)-SUMIF(124:124,C43,125:125)+100</f>
        <v>100</v>
      </c>
      <c r="G43" s="1905" t="s">
        <v>3379</v>
      </c>
      <c r="H43" s="386">
        <f>SUMIF(124:124,G43,125:125)-SUMIF(124:124,C43,125:125)+100</f>
        <v>100</v>
      </c>
      <c r="I43" s="1905" t="s">
        <v>3379</v>
      </c>
      <c r="J43" s="386">
        <f>SUMIF(124:124,I43,125:125)-SUMIF(124:124,C43,125:125)+100</f>
        <v>100</v>
      </c>
      <c r="K43" s="561">
        <v>1</v>
      </c>
      <c r="L43" s="2721"/>
      <c r="M43" s="2715"/>
      <c r="N43" s="2715"/>
      <c r="O43" s="2715"/>
      <c r="P43" s="3692"/>
      <c r="Q43" s="1351" t="str">
        <f t="shared" si="11"/>
        <v>内部装修维护情况</v>
      </c>
      <c r="R43" s="704" t="s">
        <v>14</v>
      </c>
      <c r="S43" s="705">
        <f t="shared" si="12"/>
        <v>100</v>
      </c>
      <c r="T43" s="704" t="s">
        <v>14</v>
      </c>
      <c r="U43" s="705">
        <f t="shared" si="13"/>
        <v>100</v>
      </c>
      <c r="V43" s="704" t="s">
        <v>14</v>
      </c>
      <c r="W43" s="705">
        <f t="shared" si="14"/>
        <v>100</v>
      </c>
      <c r="X43" s="1354"/>
      <c r="Y43" s="3694"/>
      <c r="Z43" s="1355" t="str">
        <f t="shared" si="15"/>
        <v>内部装修维护情况</v>
      </c>
      <c r="AA43" s="1352">
        <f t="shared" si="3"/>
        <v>1</v>
      </c>
      <c r="AB43" s="1352">
        <f t="shared" si="4"/>
        <v>1</v>
      </c>
      <c r="AC43" s="1352">
        <f t="shared" si="5"/>
        <v>1</v>
      </c>
    </row>
    <row r="44" spans="1:29" s="108" customFormat="1" ht="15" hidden="1">
      <c r="A44" s="424"/>
      <c r="B44" s="3465"/>
      <c r="C44" s="3466"/>
      <c r="D44" s="127">
        <v>100</v>
      </c>
      <c r="E44" s="3457"/>
      <c r="F44" s="376">
        <f>SUMIF(126:126,E44,127:127)-SUMIF(126:126,C44,127:127)+100</f>
        <v>100</v>
      </c>
      <c r="G44" s="3457"/>
      <c r="H44" s="127">
        <f>SUMIF(126:126,G44,127:127)-SUMIF(126:126,C44,127:127)+100</f>
        <v>100</v>
      </c>
      <c r="I44" s="3457"/>
      <c r="J44" s="127">
        <f>SUMIF(126:126,I44,127:127)-SUMIF(126:126,C44,127:127)+100</f>
        <v>100</v>
      </c>
      <c r="K44" s="562"/>
      <c r="L44" s="2716"/>
      <c r="M44" s="2717"/>
      <c r="N44" s="2717"/>
      <c r="O44" s="2717"/>
      <c r="P44" s="3692"/>
      <c r="Q44" s="1342">
        <f t="shared" si="11"/>
        <v>0</v>
      </c>
      <c r="R44" s="700" t="s">
        <v>14</v>
      </c>
      <c r="S44" s="701">
        <f t="shared" si="12"/>
        <v>100</v>
      </c>
      <c r="T44" s="700" t="s">
        <v>14</v>
      </c>
      <c r="U44" s="701">
        <f t="shared" si="13"/>
        <v>100</v>
      </c>
      <c r="V44" s="700" t="s">
        <v>14</v>
      </c>
      <c r="W44" s="701">
        <f t="shared" si="14"/>
        <v>100</v>
      </c>
      <c r="X44" s="702"/>
      <c r="Y44" s="3694"/>
      <c r="Z44" s="52">
        <f t="shared" si="15"/>
        <v>0</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2"/>
      <c r="Q45" s="1351">
        <f t="shared" si="11"/>
        <v>111</v>
      </c>
      <c r="R45" s="704" t="s">
        <v>14</v>
      </c>
      <c r="S45" s="705">
        <f t="shared" si="12"/>
        <v>100</v>
      </c>
      <c r="T45" s="704" t="s">
        <v>14</v>
      </c>
      <c r="U45" s="705">
        <f t="shared" si="13"/>
        <v>100</v>
      </c>
      <c r="V45" s="704" t="s">
        <v>14</v>
      </c>
      <c r="W45" s="705">
        <f t="shared" si="14"/>
        <v>100</v>
      </c>
      <c r="X45" s="1354"/>
      <c r="Y45" s="3694"/>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3"/>
      <c r="Q46" s="1351">
        <f t="shared" si="11"/>
        <v>111</v>
      </c>
      <c r="R46" s="704" t="s">
        <v>14</v>
      </c>
      <c r="S46" s="705">
        <f t="shared" si="12"/>
        <v>100</v>
      </c>
      <c r="T46" s="704" t="s">
        <v>14</v>
      </c>
      <c r="U46" s="705">
        <f t="shared" si="13"/>
        <v>100</v>
      </c>
      <c r="V46" s="704" t="s">
        <v>14</v>
      </c>
      <c r="W46" s="705">
        <f t="shared" si="14"/>
        <v>100</v>
      </c>
      <c r="X46" s="1354"/>
      <c r="Y46" s="3695"/>
      <c r="Z46" s="1355">
        <f t="shared" si="15"/>
        <v>111</v>
      </c>
      <c r="AA46" s="1352">
        <f t="shared" si="3"/>
        <v>1</v>
      </c>
      <c r="AB46" s="1352">
        <f t="shared" si="4"/>
        <v>1</v>
      </c>
      <c r="AC46" s="1352">
        <f t="shared" si="5"/>
        <v>1</v>
      </c>
    </row>
    <row r="47" spans="1:29" ht="15">
      <c r="A47" s="430" t="s">
        <v>1708</v>
      </c>
      <c r="B47" s="431"/>
      <c r="C47" s="1153" t="s">
        <v>0</v>
      </c>
      <c r="D47" s="1154"/>
      <c r="E47" s="1155">
        <v>43566</v>
      </c>
      <c r="F47" s="1156"/>
      <c r="G47" s="1157">
        <f>ROUND(780/G33*10000,0)</f>
        <v>38806</v>
      </c>
      <c r="H47" s="1158"/>
      <c r="I47" s="1155">
        <f>ROUND(1100/I33*10000,0)</f>
        <v>46809</v>
      </c>
      <c r="J47" s="1158"/>
      <c r="K47" s="713"/>
      <c r="L47" s="2723"/>
      <c r="M47" s="2724"/>
      <c r="N47" s="2715"/>
      <c r="O47" s="2724"/>
      <c r="P47" s="3696" t="str">
        <f>A47</f>
        <v>成交单价（元/平方米）</v>
      </c>
      <c r="Q47" s="3696"/>
      <c r="R47" s="3658">
        <f>E47</f>
        <v>43566</v>
      </c>
      <c r="S47" s="3658"/>
      <c r="T47" s="3658">
        <f>G47</f>
        <v>38806</v>
      </c>
      <c r="U47" s="3658"/>
      <c r="V47" s="3658">
        <f>I47</f>
        <v>46809</v>
      </c>
      <c r="W47" s="3658"/>
      <c r="X47" s="689"/>
      <c r="Y47" s="711"/>
      <c r="Z47" s="689"/>
      <c r="AA47" s="689"/>
      <c r="AB47" s="689"/>
      <c r="AC47" s="689"/>
    </row>
    <row r="48" spans="1:29" ht="15.75" thickBot="1">
      <c r="A48" s="437" t="s">
        <v>1793</v>
      </c>
      <c r="B48" s="438"/>
      <c r="C48" s="1159">
        <f>R49</f>
        <v>46577</v>
      </c>
      <c r="D48" s="2316" t="s">
        <v>2137</v>
      </c>
      <c r="E48" s="1160">
        <f>R48</f>
        <v>44024</v>
      </c>
      <c r="F48" s="2317"/>
      <c r="G48" s="1159">
        <f>T48</f>
        <v>45211</v>
      </c>
      <c r="H48" s="2317"/>
      <c r="I48" s="1160">
        <f>V48</f>
        <v>50495</v>
      </c>
      <c r="J48" s="2317"/>
      <c r="K48" s="2319">
        <f>F48+H48+J48</f>
        <v>0</v>
      </c>
      <c r="L48" s="2723"/>
      <c r="M48" s="2724"/>
      <c r="N48" s="2715"/>
      <c r="O48" s="2724"/>
      <c r="P48" s="3696" t="str">
        <f>A48</f>
        <v>比较价值（元/平方米）</v>
      </c>
      <c r="Q48" s="3696"/>
      <c r="R48" s="3697">
        <f>IF(F1="售价",ROUND(PRODUCT(R47,AA7:AA46),0),ROUND(PRODUCT(R47,AA7:AA46),1))</f>
        <v>44024</v>
      </c>
      <c r="S48" s="3697"/>
      <c r="T48" s="3697">
        <f>IF(F1="售价",ROUND(PRODUCT(T47,AB7:AB46),0),ROUND(PRODUCT(T47,AB7:AB46),1))</f>
        <v>45211</v>
      </c>
      <c r="U48" s="3697"/>
      <c r="V48" s="3697">
        <f>IF(F1="售价",ROUND(PRODUCT(V47,AC7:AC46),0),ROUND(PRODUCT(V47,AC7:AC46),1))</f>
        <v>50495</v>
      </c>
      <c r="W48" s="3697"/>
      <c r="X48" s="689"/>
      <c r="Y48" s="689"/>
      <c r="Z48" s="689"/>
      <c r="AA48" s="689"/>
      <c r="AB48" s="689"/>
      <c r="AC48" s="689"/>
    </row>
    <row r="49" spans="1:29" ht="15.75" thickBot="1">
      <c r="A49" s="441" t="s">
        <v>1794</v>
      </c>
      <c r="B49" s="442"/>
      <c r="C49" s="1162">
        <f>R49</f>
        <v>46577</v>
      </c>
      <c r="D49" s="1162"/>
      <c r="E49" s="1162"/>
      <c r="F49" s="1162"/>
      <c r="G49" s="1162"/>
      <c r="H49" s="1162"/>
      <c r="I49" s="1162"/>
      <c r="J49" s="1162"/>
      <c r="K49" s="714"/>
      <c r="L49" s="2723"/>
      <c r="M49" s="2724"/>
      <c r="N49" s="2715"/>
      <c r="O49" s="2724"/>
      <c r="P49" s="3698" t="str">
        <f>A49</f>
        <v>估价对象XX用房的比较价值（楼面单价，元/平方米）</v>
      </c>
      <c r="Q49" s="3699"/>
      <c r="R49" s="3700">
        <f>IF(F1="售价",ROUND(IF(D48="简单平均",AVERAGE(R48:V48),R48*F48+T48*H48+V48*J48),0),ROUND(IF(D48="简单平均",AVERAGE(R48:V48),R48*F48+T48*H48+V48*J48),1))</f>
        <v>46577</v>
      </c>
      <c r="S49" s="3700"/>
      <c r="T49" s="3700"/>
      <c r="U49" s="3700"/>
      <c r="V49" s="3700"/>
      <c r="W49" s="370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1.0512785199467523E-2</v>
      </c>
      <c r="F52" s="449" t="str">
        <f>IF(OR(E52&gt;=0.3,E52&lt;=-0.3),"超过30%","")</f>
        <v/>
      </c>
      <c r="G52" s="448">
        <f>IF(G47&lt;G48,G48/G47-1,G47/G48-1)</f>
        <v>0.165051796114003</v>
      </c>
      <c r="H52" s="449" t="str">
        <f>IF(OR(G52&gt;=0.3,G52&lt;=-0.3),"超过30%","")</f>
        <v/>
      </c>
      <c r="I52" s="448">
        <f>IF(I47&lt;I48,I48/I47-1,I47/I48-1)</f>
        <v>7.8745540387532342E-2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2.6962565873160038E-2</v>
      </c>
      <c r="F53" s="449" t="str">
        <f>IF(OR(E53&gt;=0.2,E53&lt;=-0.2),"超过20%","")</f>
        <v/>
      </c>
      <c r="G53" s="448">
        <f>IF(G48&lt;I48,I48/G48-1,G48/I48-1)</f>
        <v>0.11687421202804638</v>
      </c>
      <c r="H53" s="449" t="str">
        <f>IF(OR(G53&gt;=0.2,G53&lt;=-0.2),"超过20%","")</f>
        <v/>
      </c>
      <c r="I53" s="448">
        <f>IF(I48&lt;E48,E48/I48-1,I48/E48-1)</f>
        <v>0.14698800654188626</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0.12266144410658142</v>
      </c>
      <c r="F54" s="449" t="str">
        <f>IF(OR(E54&gt;=0.3,E54&lt;=-0.3),"超过30%","")</f>
        <v/>
      </c>
      <c r="G54" s="448">
        <f>IF(G47&lt;I47,I47/G47-1,G47/I47-1)</f>
        <v>0.20623099520692678</v>
      </c>
      <c r="H54" s="449" t="str">
        <f>IF(OR(G54&gt;=0.3,G54&lt;=-0.3),"超过30%","")</f>
        <v/>
      </c>
      <c r="I54" s="448">
        <f>IF(I47&lt;E47,E47/I47-1,I47/E47-1)</f>
        <v>7.4438782536840664E-2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t="s">
        <v>3397</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2" t="s">
        <v>3398</v>
      </c>
      <c r="D86" s="3452" t="s">
        <v>3399</v>
      </c>
      <c r="E86" s="3452" t="s">
        <v>3400</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2" t="s">
        <v>3424</v>
      </c>
      <c r="D88" s="3452" t="s">
        <v>3425</v>
      </c>
      <c r="E88" s="3452" t="s">
        <v>3450</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95</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3380</v>
      </c>
      <c r="D90" s="503" t="s">
        <v>3379</v>
      </c>
      <c r="E90" s="503" t="s">
        <v>3421</v>
      </c>
      <c r="F90" s="503" t="s">
        <v>3422</v>
      </c>
      <c r="G90" s="503" t="s">
        <v>3423</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3426</v>
      </c>
      <c r="D92" s="503" t="s">
        <v>3427</v>
      </c>
      <c r="E92" s="3453" t="s">
        <v>3451</v>
      </c>
      <c r="F92" s="3453" t="s">
        <v>3428</v>
      </c>
      <c r="G92" s="3452" t="s">
        <v>3429</v>
      </c>
      <c r="H92" s="503" t="s">
        <v>3452</v>
      </c>
      <c r="I92" s="503" t="s">
        <v>3440</v>
      </c>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60</v>
      </c>
      <c r="F93" s="485">
        <v>50</v>
      </c>
      <c r="G93" s="485">
        <f>(C93+F93)/2</f>
        <v>75</v>
      </c>
      <c r="H93" s="485">
        <f>ROUND((C93+D93+E93+F93)/4,0)</f>
        <v>70</v>
      </c>
      <c r="I93" s="485">
        <f>ROUND((C93+D93)/2,0)</f>
        <v>85</v>
      </c>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t="str">
        <f>B29</f>
        <v>有无产权证</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3" t="s">
        <v>3401</v>
      </c>
      <c r="D100" s="3454" t="s">
        <v>3402</v>
      </c>
      <c r="E100" s="3454" t="s">
        <v>3403</v>
      </c>
      <c r="F100" s="3454" t="s">
        <v>3404</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v>500</v>
      </c>
      <c r="I103" s="544">
        <v>600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509">
        <v>94</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2" t="s">
        <v>3405</v>
      </c>
      <c r="D105" s="3452" t="s">
        <v>3406</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2" t="s">
        <v>3407</v>
      </c>
      <c r="D107" s="3452" t="s">
        <v>3408</v>
      </c>
      <c r="E107" s="3452" t="s">
        <v>3409</v>
      </c>
      <c r="F107" s="3455" t="s">
        <v>3410</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95</v>
      </c>
      <c r="E108" s="493">
        <f t="shared" si="25"/>
        <v>90</v>
      </c>
      <c r="F108" s="493">
        <f t="shared" si="25"/>
        <v>85</v>
      </c>
      <c r="G108" s="493">
        <f t="shared" si="25"/>
        <v>80</v>
      </c>
      <c r="H108" s="493">
        <f t="shared" si="25"/>
        <v>75</v>
      </c>
      <c r="I108" s="493">
        <f t="shared" si="25"/>
        <v>70</v>
      </c>
      <c r="J108" s="493">
        <f t="shared" si="25"/>
        <v>65</v>
      </c>
      <c r="K108" s="493">
        <f t="shared" si="25"/>
        <v>60</v>
      </c>
      <c r="L108" s="493">
        <f t="shared" si="25"/>
        <v>55</v>
      </c>
      <c r="M108" s="494">
        <f t="shared" si="25"/>
        <v>50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2" t="s">
        <v>3432</v>
      </c>
      <c r="D112" s="3452" t="s">
        <v>3434</v>
      </c>
      <c r="E112" s="3452" t="s">
        <v>3435</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2" t="s">
        <v>3411</v>
      </c>
      <c r="D114" s="3452" t="s">
        <v>3412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2" t="s">
        <v>3413</v>
      </c>
      <c r="D116" s="3452" t="s">
        <v>3414</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92</v>
      </c>
      <c r="E117" s="493">
        <f>D117-$K39</f>
        <v>84</v>
      </c>
      <c r="F117" s="493">
        <f>E117-$K39</f>
        <v>76</v>
      </c>
      <c r="G117" s="493">
        <f>F117-$K39</f>
        <v>68</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5" t="s">
        <v>3415</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2" t="s">
        <v>3407</v>
      </c>
      <c r="D122" s="3452" t="s">
        <v>3408</v>
      </c>
      <c r="E122" s="3452" t="s">
        <v>3409</v>
      </c>
      <c r="F122" s="3455" t="s">
        <v>3410</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0</v>
      </c>
      <c r="C126" s="3452" t="s">
        <v>3446</v>
      </c>
      <c r="D126" s="3452" t="s">
        <v>3447</v>
      </c>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v>95</v>
      </c>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topLeftCell="A4" zoomScale="85" zoomScaleNormal="70" zoomScaleSheetLayoutView="85" workbookViewId="0">
      <selection activeCell="I5" sqref="I5:J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3392</v>
      </c>
      <c r="F1" s="1878" t="s">
        <v>3393</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685</v>
      </c>
      <c r="B2" s="1163">
        <f>IF(E1="项目模式",IF(C2="——",ROUND(C49*D3/10000,0),ROUND(C49*D3/10000,0)-D2),IF(E1="单套模式",IF(C2="——",ROUND(C49*D3/10000,4),ROUND(C49*D3/10000,4)-D2)))</f>
        <v>6.6799999999999998E-2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4.5999999999999996</v>
      </c>
      <c r="C3" s="354" t="s">
        <v>1665</v>
      </c>
      <c r="D3" s="353">
        <f>IF(D1="",'数据-汇总表'!E3,SUMIF('数据-汇总表'!$C19:$C33,D1,'数据-汇总表'!$E19:$E33))</f>
        <v>145.19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1666</v>
      </c>
      <c r="B4" s="356"/>
      <c r="C4" s="3674" t="s">
        <v>1667</v>
      </c>
      <c r="D4" s="3675"/>
      <c r="E4" s="3676" t="s">
        <v>1668</v>
      </c>
      <c r="F4" s="3677"/>
      <c r="G4" s="3674" t="s">
        <v>1669</v>
      </c>
      <c r="H4" s="3675"/>
      <c r="I4" s="3674" t="s">
        <v>1670</v>
      </c>
      <c r="J4" s="3675"/>
      <c r="K4" s="559" t="s">
        <v>1671</v>
      </c>
      <c r="L4" s="2714"/>
      <c r="M4" s="2715"/>
      <c r="N4" s="2715"/>
      <c r="O4" s="2715"/>
      <c r="P4" s="3678" t="s">
        <v>1672</v>
      </c>
      <c r="Q4" s="3679"/>
      <c r="R4" s="3661" t="s">
        <v>1668</v>
      </c>
      <c r="S4" s="3662"/>
      <c r="T4" s="3661" t="s">
        <v>1669</v>
      </c>
      <c r="U4" s="3662"/>
      <c r="V4" s="3658" t="s">
        <v>1670</v>
      </c>
      <c r="W4" s="3658"/>
      <c r="X4" s="3463"/>
      <c r="Y4" s="3661" t="s">
        <v>1672</v>
      </c>
      <c r="Z4" s="3662"/>
      <c r="AA4" s="3655" t="s">
        <v>1668</v>
      </c>
      <c r="AB4" s="3658" t="s">
        <v>1669</v>
      </c>
      <c r="AC4" s="3655" t="s">
        <v>1670</v>
      </c>
    </row>
    <row r="5" spans="1:29" ht="15">
      <c r="A5" s="358"/>
      <c r="B5" s="359"/>
      <c r="C5" s="3667" t="s">
        <v>3475</v>
      </c>
      <c r="D5" s="3668"/>
      <c r="E5" s="3665" t="s">
        <v>3479</v>
      </c>
      <c r="F5" s="3666"/>
      <c r="G5" s="3667" t="s">
        <v>3481</v>
      </c>
      <c r="H5" s="3668"/>
      <c r="I5" s="3667" t="s">
        <v>3478</v>
      </c>
      <c r="J5" s="3668"/>
      <c r="K5" s="559"/>
      <c r="L5" s="2714"/>
      <c r="M5" s="2715"/>
      <c r="N5" s="2715"/>
      <c r="O5" s="2715"/>
      <c r="P5" s="3680"/>
      <c r="Q5" s="3681"/>
      <c r="R5" s="3663"/>
      <c r="S5" s="3664"/>
      <c r="T5" s="3663"/>
      <c r="U5" s="3664"/>
      <c r="V5" s="3658"/>
      <c r="W5" s="3658"/>
      <c r="X5" s="3463"/>
      <c r="Y5" s="3663"/>
      <c r="Z5" s="3664"/>
      <c r="AA5" s="3656"/>
      <c r="AB5" s="3658"/>
      <c r="AC5" s="3656"/>
    </row>
    <row r="6" spans="1:29" ht="15.75" thickBot="1">
      <c r="A6" s="360"/>
      <c r="B6" s="361"/>
      <c r="C6" s="3669" t="s">
        <v>1677</v>
      </c>
      <c r="D6" s="3670"/>
      <c r="E6" s="3671" t="s">
        <v>1677</v>
      </c>
      <c r="F6" s="3672"/>
      <c r="G6" s="3669" t="s">
        <v>1677</v>
      </c>
      <c r="H6" s="3670"/>
      <c r="I6" s="3669" t="s">
        <v>1677</v>
      </c>
      <c r="J6" s="3670"/>
      <c r="K6" s="559" t="s">
        <v>1678</v>
      </c>
      <c r="L6" s="2714"/>
      <c r="M6" s="2715"/>
      <c r="N6" s="2715"/>
      <c r="O6" s="2715"/>
      <c r="P6" s="3682"/>
      <c r="Q6" s="3683"/>
      <c r="R6" s="3663"/>
      <c r="S6" s="3664"/>
      <c r="T6" s="3684"/>
      <c r="U6" s="3685"/>
      <c r="V6" s="3658"/>
      <c r="W6" s="3658"/>
      <c r="X6" s="3463"/>
      <c r="Y6" s="3684"/>
      <c r="Z6" s="3685"/>
      <c r="AA6" s="3657"/>
      <c r="AB6" s="3658"/>
      <c r="AC6" s="3657"/>
    </row>
    <row r="7" spans="1:29" s="108" customFormat="1" ht="15.75" thickBot="1">
      <c r="A7" s="362" t="s">
        <v>1679</v>
      </c>
      <c r="B7" s="363"/>
      <c r="C7" s="364">
        <f>'数据-取费表'!B2</f>
        <v>45163</v>
      </c>
      <c r="D7" s="365">
        <v>100</v>
      </c>
      <c r="E7" s="366">
        <f>C7</f>
        <v>45163</v>
      </c>
      <c r="F7" s="367">
        <f>SUMIF(58:58,YEAR(E7)&amp;"-"&amp;MONTH(E7),59:59)</f>
        <v>100</v>
      </c>
      <c r="G7" s="366">
        <f>C7</f>
        <v>45163</v>
      </c>
      <c r="H7" s="365">
        <f>SUMIF(58:58,YEAR(G7)&amp;"-"&amp;MONTH(G7),59:59)</f>
        <v>100</v>
      </c>
      <c r="I7" s="366">
        <v>45149</v>
      </c>
      <c r="J7" s="365">
        <f>SUMIF(58:58,YEAR(I7)&amp;"-"&amp;MONTH(I7),59:59)</f>
        <v>100</v>
      </c>
      <c r="K7" s="560"/>
      <c r="L7" s="2716"/>
      <c r="M7" s="2717"/>
      <c r="N7" s="2717"/>
      <c r="O7" s="2717"/>
      <c r="P7" s="3659" t="s">
        <v>1680</v>
      </c>
      <c r="Q7" s="3686"/>
      <c r="R7" s="700" t="s">
        <v>14</v>
      </c>
      <c r="S7" s="701">
        <f t="shared" ref="S7:S15" si="0">F7</f>
        <v>100</v>
      </c>
      <c r="T7" s="700" t="s">
        <v>14</v>
      </c>
      <c r="U7" s="701">
        <f t="shared" ref="U7:U15" si="1">H7</f>
        <v>100</v>
      </c>
      <c r="V7" s="700" t="s">
        <v>14</v>
      </c>
      <c r="W7" s="701">
        <f t="shared" ref="W7:W15" si="2">J7</f>
        <v>100</v>
      </c>
      <c r="X7" s="702"/>
      <c r="Y7" s="3659" t="s">
        <v>1680</v>
      </c>
      <c r="Z7" s="3660"/>
      <c r="AA7" s="703">
        <f>D7/F7</f>
        <v>1</v>
      </c>
      <c r="AB7" s="703">
        <f>D7/H7</f>
        <v>1</v>
      </c>
      <c r="AC7" s="703">
        <f>D7/J7</f>
        <v>1</v>
      </c>
    </row>
    <row r="8" spans="1:29" s="108" customFormat="1" ht="15.75" thickBot="1">
      <c r="A8" s="362" t="s">
        <v>1681</v>
      </c>
      <c r="B8" s="363"/>
      <c r="C8" s="368" t="s">
        <v>3416</v>
      </c>
      <c r="D8" s="365">
        <v>100</v>
      </c>
      <c r="E8" s="368" t="s">
        <v>3396</v>
      </c>
      <c r="F8" s="367">
        <f>SUMIF(61:61,E8,62:62)-SUMIF(61:61,C8,62:62)+100</f>
        <v>102</v>
      </c>
      <c r="G8" s="368" t="s">
        <v>3396</v>
      </c>
      <c r="H8" s="365">
        <f>SUMIF(61:61,G8,62:62)-SUMIF(61:61,C8,62:62)+100</f>
        <v>102</v>
      </c>
      <c r="I8" s="368" t="s">
        <v>3396</v>
      </c>
      <c r="J8" s="365">
        <f>SUMIF(61:61,I8,62:62)-SUMIF(61:61,C8,62:62)+100</f>
        <v>102</v>
      </c>
      <c r="K8" s="560"/>
      <c r="L8" s="2716"/>
      <c r="M8" s="2717"/>
      <c r="N8" s="2717"/>
      <c r="O8" s="2717"/>
      <c r="P8" s="3659" t="s">
        <v>1683</v>
      </c>
      <c r="Q8" s="3660"/>
      <c r="R8" s="700" t="s">
        <v>14</v>
      </c>
      <c r="S8" s="701">
        <f t="shared" si="0"/>
        <v>102</v>
      </c>
      <c r="T8" s="700" t="s">
        <v>14</v>
      </c>
      <c r="U8" s="701">
        <f t="shared" si="1"/>
        <v>102</v>
      </c>
      <c r="V8" s="700" t="s">
        <v>14</v>
      </c>
      <c r="W8" s="701">
        <f t="shared" si="2"/>
        <v>102</v>
      </c>
      <c r="X8" s="702"/>
      <c r="Y8" s="3659" t="s">
        <v>1683</v>
      </c>
      <c r="Z8" s="3660"/>
      <c r="AA8" s="703">
        <f t="shared" ref="AA8:AA46" si="3">D8/F8</f>
        <v>0.98039215686274506</v>
      </c>
      <c r="AB8" s="703">
        <f t="shared" ref="AB8:AB46" si="4">D8/H8</f>
        <v>0.98039215686274506</v>
      </c>
      <c r="AC8" s="703">
        <f t="shared" ref="AC8:AC46" si="5">D8/J8</f>
        <v>0.98039215686274506</v>
      </c>
    </row>
    <row r="9" spans="1:29" s="108" customFormat="1" ht="15" thickBot="1">
      <c r="A9" s="369" t="s">
        <v>1684</v>
      </c>
      <c r="B9" s="63" t="s">
        <v>1685</v>
      </c>
      <c r="C9" s="3456" t="s">
        <v>3417</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3" t="s">
        <v>1686</v>
      </c>
      <c r="Q9" s="3459" t="str">
        <f t="shared" ref="Q9:Q15" si="6">B9</f>
        <v>用途</v>
      </c>
      <c r="R9" s="700" t="s">
        <v>14</v>
      </c>
      <c r="S9" s="701">
        <f t="shared" si="0"/>
        <v>100</v>
      </c>
      <c r="T9" s="700" t="s">
        <v>14</v>
      </c>
      <c r="U9" s="701">
        <f t="shared" si="1"/>
        <v>100</v>
      </c>
      <c r="V9" s="700" t="s">
        <v>14</v>
      </c>
      <c r="W9" s="701">
        <f t="shared" si="2"/>
        <v>100</v>
      </c>
      <c r="X9" s="702"/>
      <c r="Y9" s="3628" t="s">
        <v>1687</v>
      </c>
      <c r="Z9" s="3458"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3"/>
      <c r="Q10" s="3459" t="str">
        <f t="shared" si="6"/>
        <v>土地使用年限（年）</v>
      </c>
      <c r="R10" s="700" t="s">
        <v>14</v>
      </c>
      <c r="S10" s="701">
        <f t="shared" si="0"/>
        <v>100</v>
      </c>
      <c r="T10" s="700" t="s">
        <v>14</v>
      </c>
      <c r="U10" s="701">
        <f t="shared" si="1"/>
        <v>100</v>
      </c>
      <c r="V10" s="700" t="s">
        <v>14</v>
      </c>
      <c r="W10" s="701">
        <f t="shared" si="2"/>
        <v>100</v>
      </c>
      <c r="X10" s="702"/>
      <c r="Y10" s="3628"/>
      <c r="Z10" s="3458"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3"/>
      <c r="Q11" s="3459" t="str">
        <f t="shared" si="6"/>
        <v>容积率</v>
      </c>
      <c r="R11" s="700" t="s">
        <v>14</v>
      </c>
      <c r="S11" s="701">
        <f t="shared" si="0"/>
        <v>100</v>
      </c>
      <c r="T11" s="700" t="s">
        <v>14</v>
      </c>
      <c r="U11" s="701">
        <f t="shared" si="1"/>
        <v>100</v>
      </c>
      <c r="V11" s="700" t="s">
        <v>14</v>
      </c>
      <c r="W11" s="701">
        <f t="shared" si="2"/>
        <v>100</v>
      </c>
      <c r="X11" s="702"/>
      <c r="Y11" s="3628"/>
      <c r="Z11" s="3458"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3"/>
      <c r="Q12" s="3459">
        <f t="shared" si="6"/>
        <v>111</v>
      </c>
      <c r="R12" s="700" t="s">
        <v>14</v>
      </c>
      <c r="S12" s="701">
        <f t="shared" si="0"/>
        <v>100</v>
      </c>
      <c r="T12" s="700" t="s">
        <v>14</v>
      </c>
      <c r="U12" s="701">
        <f t="shared" si="1"/>
        <v>100</v>
      </c>
      <c r="V12" s="700" t="s">
        <v>14</v>
      </c>
      <c r="W12" s="701">
        <f t="shared" si="2"/>
        <v>100</v>
      </c>
      <c r="X12" s="702"/>
      <c r="Y12" s="3628"/>
      <c r="Z12" s="3458">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3"/>
      <c r="Q13" s="3459">
        <f t="shared" si="6"/>
        <v>111</v>
      </c>
      <c r="R13" s="700" t="s">
        <v>14</v>
      </c>
      <c r="S13" s="701">
        <f t="shared" si="0"/>
        <v>100</v>
      </c>
      <c r="T13" s="700" t="s">
        <v>14</v>
      </c>
      <c r="U13" s="701">
        <f t="shared" si="1"/>
        <v>100</v>
      </c>
      <c r="V13" s="700" t="s">
        <v>14</v>
      </c>
      <c r="W13" s="701">
        <f t="shared" si="2"/>
        <v>100</v>
      </c>
      <c r="X13" s="702"/>
      <c r="Y13" s="3628"/>
      <c r="Z13" s="3458">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3"/>
      <c r="Q14" s="3459">
        <f t="shared" si="6"/>
        <v>111</v>
      </c>
      <c r="R14" s="700" t="s">
        <v>14</v>
      </c>
      <c r="S14" s="701">
        <f t="shared" si="0"/>
        <v>100</v>
      </c>
      <c r="T14" s="700" t="s">
        <v>14</v>
      </c>
      <c r="U14" s="701">
        <f t="shared" si="1"/>
        <v>100</v>
      </c>
      <c r="V14" s="700" t="s">
        <v>14</v>
      </c>
      <c r="W14" s="701">
        <f t="shared" si="2"/>
        <v>100</v>
      </c>
      <c r="X14" s="702"/>
      <c r="Y14" s="3628"/>
      <c r="Z14" s="3458">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87" t="s">
        <v>1691</v>
      </c>
      <c r="Q15" s="3461" t="str">
        <f t="shared" si="6"/>
        <v>商业繁华度</v>
      </c>
      <c r="R15" s="704" t="s">
        <v>14</v>
      </c>
      <c r="S15" s="705">
        <f t="shared" si="0"/>
        <v>100</v>
      </c>
      <c r="T15" s="704" t="s">
        <v>14</v>
      </c>
      <c r="U15" s="705">
        <f t="shared" si="1"/>
        <v>100</v>
      </c>
      <c r="V15" s="704" t="s">
        <v>14</v>
      </c>
      <c r="W15" s="705">
        <f t="shared" si="2"/>
        <v>100</v>
      </c>
      <c r="X15" s="3463"/>
      <c r="Y15" s="3689" t="s">
        <v>1691</v>
      </c>
      <c r="Z15" s="3464" t="str">
        <f t="shared" si="7"/>
        <v>商业繁华度</v>
      </c>
      <c r="AA15" s="3462">
        <f t="shared" si="3"/>
        <v>1</v>
      </c>
      <c r="AB15" s="3462">
        <f t="shared" si="4"/>
        <v>1</v>
      </c>
      <c r="AC15" s="3462">
        <f t="shared" si="5"/>
        <v>1</v>
      </c>
    </row>
    <row r="16" spans="1:29" ht="15">
      <c r="A16" s="379"/>
      <c r="B16" s="397"/>
      <c r="C16" s="398" t="s">
        <v>3379</v>
      </c>
      <c r="D16" s="399"/>
      <c r="E16" s="398" t="s">
        <v>3379</v>
      </c>
      <c r="F16" s="400"/>
      <c r="G16" s="398" t="s">
        <v>3379</v>
      </c>
      <c r="H16" s="401"/>
      <c r="I16" s="398" t="s">
        <v>3379</v>
      </c>
      <c r="J16" s="399"/>
      <c r="K16" s="564"/>
      <c r="L16" s="2721"/>
      <c r="M16" s="2715"/>
      <c r="N16" s="2715"/>
      <c r="O16" s="2715"/>
      <c r="P16" s="3688"/>
      <c r="Q16" s="3461"/>
      <c r="R16" s="704"/>
      <c r="S16" s="705"/>
      <c r="T16" s="704"/>
      <c r="U16" s="705"/>
      <c r="V16" s="704"/>
      <c r="W16" s="705"/>
      <c r="X16" s="3463"/>
      <c r="Y16" s="3690"/>
      <c r="Z16" s="3464"/>
      <c r="AA16" s="3462">
        <v>1</v>
      </c>
      <c r="AB16" s="3462">
        <v>1</v>
      </c>
      <c r="AC16" s="346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8"/>
      <c r="Q17" s="3461" t="str">
        <f>B17</f>
        <v>交通便捷度</v>
      </c>
      <c r="R17" s="704" t="s">
        <v>14</v>
      </c>
      <c r="S17" s="705">
        <f>F17</f>
        <v>100</v>
      </c>
      <c r="T17" s="704" t="s">
        <v>14</v>
      </c>
      <c r="U17" s="705">
        <f>H17</f>
        <v>100</v>
      </c>
      <c r="V17" s="704" t="s">
        <v>14</v>
      </c>
      <c r="W17" s="705">
        <f>J17</f>
        <v>100</v>
      </c>
      <c r="X17" s="3463"/>
      <c r="Y17" s="3690"/>
      <c r="Z17" s="3464" t="str">
        <f>Q17</f>
        <v>交通便捷度</v>
      </c>
      <c r="AA17" s="3462">
        <f t="shared" si="3"/>
        <v>1</v>
      </c>
      <c r="AB17" s="3462">
        <f t="shared" si="4"/>
        <v>1</v>
      </c>
      <c r="AC17" s="3462">
        <f t="shared" si="5"/>
        <v>1</v>
      </c>
    </row>
    <row r="18" spans="1:29" ht="15">
      <c r="A18" s="379"/>
      <c r="B18" s="407"/>
      <c r="C18" s="398" t="s">
        <v>3379</v>
      </c>
      <c r="D18" s="401"/>
      <c r="E18" s="398" t="s">
        <v>3379</v>
      </c>
      <c r="F18" s="404"/>
      <c r="G18" s="398" t="s">
        <v>3379</v>
      </c>
      <c r="H18" s="399"/>
      <c r="I18" s="398" t="s">
        <v>3379</v>
      </c>
      <c r="J18" s="399"/>
      <c r="K18" s="564"/>
      <c r="L18" s="2721"/>
      <c r="M18" s="2715"/>
      <c r="N18" s="2715"/>
      <c r="O18" s="2715"/>
      <c r="P18" s="3688"/>
      <c r="Q18" s="3461"/>
      <c r="R18" s="704"/>
      <c r="S18" s="705"/>
      <c r="T18" s="704"/>
      <c r="U18" s="705"/>
      <c r="V18" s="704"/>
      <c r="W18" s="705"/>
      <c r="X18" s="3463"/>
      <c r="Y18" s="3690"/>
      <c r="Z18" s="3464"/>
      <c r="AA18" s="3462">
        <v>1</v>
      </c>
      <c r="AB18" s="3462">
        <v>1</v>
      </c>
      <c r="AC18" s="346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1"/>
      <c r="M19" s="2715"/>
      <c r="N19" s="2715"/>
      <c r="O19" s="2715"/>
      <c r="P19" s="3688"/>
      <c r="Q19" s="3461" t="str">
        <f>B19</f>
        <v>公共配套设施</v>
      </c>
      <c r="R19" s="704" t="s">
        <v>14</v>
      </c>
      <c r="S19" s="705">
        <f>F19</f>
        <v>100</v>
      </c>
      <c r="T19" s="704" t="s">
        <v>14</v>
      </c>
      <c r="U19" s="705">
        <f>H19</f>
        <v>100</v>
      </c>
      <c r="V19" s="704" t="s">
        <v>14</v>
      </c>
      <c r="W19" s="705">
        <f>J19</f>
        <v>100</v>
      </c>
      <c r="X19" s="3463"/>
      <c r="Y19" s="3690"/>
      <c r="Z19" s="3464" t="str">
        <f>Q19</f>
        <v>公共配套设施</v>
      </c>
      <c r="AA19" s="3462">
        <f t="shared" si="3"/>
        <v>1</v>
      </c>
      <c r="AB19" s="3462">
        <f t="shared" si="4"/>
        <v>1</v>
      </c>
      <c r="AC19" s="3462">
        <f t="shared" si="5"/>
        <v>1</v>
      </c>
    </row>
    <row r="20" spans="1:29" ht="15">
      <c r="A20" s="379"/>
      <c r="B20" s="407"/>
      <c r="C20" s="398" t="s">
        <v>3379</v>
      </c>
      <c r="D20" s="399"/>
      <c r="E20" s="398" t="s">
        <v>3379</v>
      </c>
      <c r="F20" s="400"/>
      <c r="G20" s="398" t="s">
        <v>3379</v>
      </c>
      <c r="H20" s="399"/>
      <c r="I20" s="398" t="s">
        <v>3379</v>
      </c>
      <c r="J20" s="399"/>
      <c r="K20" s="564"/>
      <c r="L20" s="2721"/>
      <c r="M20" s="2715"/>
      <c r="N20" s="2715"/>
      <c r="O20" s="2715"/>
      <c r="P20" s="3688"/>
      <c r="Q20" s="3461"/>
      <c r="R20" s="704"/>
      <c r="S20" s="705"/>
      <c r="T20" s="704"/>
      <c r="U20" s="705"/>
      <c r="V20" s="704"/>
      <c r="W20" s="705"/>
      <c r="X20" s="3463"/>
      <c r="Y20" s="3690"/>
      <c r="Z20" s="3464"/>
      <c r="AA20" s="3462">
        <v>1</v>
      </c>
      <c r="AB20" s="3462">
        <v>1</v>
      </c>
      <c r="AC20" s="346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688"/>
      <c r="Q21" s="3461" t="str">
        <f>B21</f>
        <v>基础设施水平</v>
      </c>
      <c r="R21" s="704" t="s">
        <v>14</v>
      </c>
      <c r="S21" s="705">
        <f>F21</f>
        <v>100</v>
      </c>
      <c r="T21" s="704" t="s">
        <v>14</v>
      </c>
      <c r="U21" s="705">
        <f>H21</f>
        <v>100</v>
      </c>
      <c r="V21" s="704" t="s">
        <v>14</v>
      </c>
      <c r="W21" s="705">
        <f>J21</f>
        <v>100</v>
      </c>
      <c r="X21" s="3463"/>
      <c r="Y21" s="3690"/>
      <c r="Z21" s="3464" t="str">
        <f>Q21</f>
        <v>基础设施水平</v>
      </c>
      <c r="AA21" s="3462">
        <f t="shared" ref="AA21" si="8">D21/F21</f>
        <v>1</v>
      </c>
      <c r="AB21" s="3462">
        <f t="shared" ref="AB21" si="9">D21/H21</f>
        <v>1</v>
      </c>
      <c r="AC21" s="3462">
        <f t="shared" ref="AC21" si="10">D21/J21</f>
        <v>1</v>
      </c>
    </row>
    <row r="22" spans="1:29" ht="15">
      <c r="A22" s="379"/>
      <c r="B22" s="1130"/>
      <c r="C22" s="1900" t="s">
        <v>3433</v>
      </c>
      <c r="D22" s="399"/>
      <c r="E22" s="1900" t="s">
        <v>3433</v>
      </c>
      <c r="F22" s="400"/>
      <c r="G22" s="1900" t="s">
        <v>3433</v>
      </c>
      <c r="H22" s="399"/>
      <c r="I22" s="1900" t="s">
        <v>3433</v>
      </c>
      <c r="J22" s="399"/>
      <c r="K22" s="1129"/>
      <c r="L22" s="2721"/>
      <c r="M22" s="2715"/>
      <c r="N22" s="2715"/>
      <c r="O22" s="2715"/>
      <c r="P22" s="3688"/>
      <c r="Q22" s="3461"/>
      <c r="R22" s="704"/>
      <c r="S22" s="705"/>
      <c r="T22" s="704"/>
      <c r="U22" s="705"/>
      <c r="V22" s="704"/>
      <c r="W22" s="705"/>
      <c r="X22" s="3463"/>
      <c r="Y22" s="3690"/>
      <c r="Z22" s="3464"/>
      <c r="AA22" s="3462">
        <v>1</v>
      </c>
      <c r="AB22" s="3462">
        <v>1</v>
      </c>
      <c r="AC22" s="346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688"/>
      <c r="Q23" s="3461" t="str">
        <f>B23</f>
        <v>自然及人文环境</v>
      </c>
      <c r="R23" s="704" t="s">
        <v>14</v>
      </c>
      <c r="S23" s="705">
        <f>F23</f>
        <v>100</v>
      </c>
      <c r="T23" s="704" t="s">
        <v>14</v>
      </c>
      <c r="U23" s="705">
        <f>H23</f>
        <v>100</v>
      </c>
      <c r="V23" s="704" t="s">
        <v>14</v>
      </c>
      <c r="W23" s="705">
        <f>J23</f>
        <v>100</v>
      </c>
      <c r="X23" s="3463"/>
      <c r="Y23" s="3690"/>
      <c r="Z23" s="3464" t="str">
        <f>Q23</f>
        <v>自然及人文环境</v>
      </c>
      <c r="AA23" s="3462">
        <f t="shared" si="3"/>
        <v>1</v>
      </c>
      <c r="AB23" s="3462">
        <f t="shared" si="4"/>
        <v>1</v>
      </c>
      <c r="AC23" s="3462">
        <f t="shared" si="5"/>
        <v>1</v>
      </c>
    </row>
    <row r="24" spans="1:29" ht="15">
      <c r="A24" s="379"/>
      <c r="B24" s="407"/>
      <c r="C24" s="398" t="s">
        <v>3379</v>
      </c>
      <c r="D24" s="399"/>
      <c r="E24" s="1897" t="s">
        <v>3379</v>
      </c>
      <c r="F24" s="400"/>
      <c r="G24" s="398" t="s">
        <v>3379</v>
      </c>
      <c r="H24" s="399"/>
      <c r="I24" s="398" t="s">
        <v>3379</v>
      </c>
      <c r="J24" s="399"/>
      <c r="K24" s="564"/>
      <c r="L24" s="2721"/>
      <c r="M24" s="2715"/>
      <c r="N24" s="2715"/>
      <c r="O24" s="2715"/>
      <c r="P24" s="3688"/>
      <c r="Q24" s="3461"/>
      <c r="R24" s="704"/>
      <c r="S24" s="705"/>
      <c r="T24" s="704"/>
      <c r="U24" s="705"/>
      <c r="V24" s="704"/>
      <c r="W24" s="705"/>
      <c r="X24" s="3463"/>
      <c r="Y24" s="3690"/>
      <c r="Z24" s="3464"/>
      <c r="AA24" s="3462">
        <v>1</v>
      </c>
      <c r="AB24" s="3462">
        <v>1</v>
      </c>
      <c r="AC24" s="3462">
        <v>1</v>
      </c>
    </row>
    <row r="25" spans="1:29" ht="15">
      <c r="A25" s="379"/>
      <c r="B25" s="375" t="s">
        <v>1780</v>
      </c>
      <c r="C25" s="565" t="s">
        <v>3418</v>
      </c>
      <c r="D25" s="386">
        <v>100</v>
      </c>
      <c r="E25" s="565" t="s">
        <v>3418</v>
      </c>
      <c r="F25" s="412">
        <f>SUMIF(86:86,E25,87:87)-SUMIF(86:86,C25,87:87)+100</f>
        <v>100</v>
      </c>
      <c r="G25" s="565" t="s">
        <v>3418</v>
      </c>
      <c r="H25" s="386">
        <f>SUMIF(86:86,G25,87:87)-SUMIF(86:86,C25,87:87)+100</f>
        <v>100</v>
      </c>
      <c r="I25" s="565" t="s">
        <v>3418</v>
      </c>
      <c r="J25" s="386">
        <f>SUMIF(86:86,I25,87:87)-SUMIF(86:86,C25,87:87)+100</f>
        <v>100</v>
      </c>
      <c r="K25" s="561">
        <v>2</v>
      </c>
      <c r="L25" s="2721"/>
      <c r="M25" s="2715"/>
      <c r="N25" s="2715"/>
      <c r="O25" s="2715"/>
      <c r="P25" s="3688"/>
      <c r="Q25" s="3461" t="str">
        <f t="shared" ref="Q25:Q46" si="11">B25</f>
        <v>临街状况</v>
      </c>
      <c r="R25" s="704" t="s">
        <v>14</v>
      </c>
      <c r="S25" s="705">
        <f>F25</f>
        <v>100</v>
      </c>
      <c r="T25" s="704" t="s">
        <v>14</v>
      </c>
      <c r="U25" s="705">
        <f>H25</f>
        <v>100</v>
      </c>
      <c r="V25" s="704" t="s">
        <v>14</v>
      </c>
      <c r="W25" s="705">
        <f>J25</f>
        <v>100</v>
      </c>
      <c r="X25" s="3463"/>
      <c r="Y25" s="3690"/>
      <c r="Z25" s="3464" t="str">
        <f>Q25</f>
        <v>临街状况</v>
      </c>
      <c r="AA25" s="3462">
        <f t="shared" si="3"/>
        <v>1</v>
      </c>
      <c r="AB25" s="3462">
        <f t="shared" si="4"/>
        <v>1</v>
      </c>
      <c r="AC25" s="3462">
        <f t="shared" si="5"/>
        <v>1</v>
      </c>
    </row>
    <row r="26" spans="1:29" ht="15">
      <c r="A26" s="379"/>
      <c r="B26" s="1132" t="s">
        <v>1781</v>
      </c>
      <c r="C26" s="3457" t="s">
        <v>3464</v>
      </c>
      <c r="D26" s="386">
        <v>100</v>
      </c>
      <c r="E26" s="3457" t="s">
        <v>3465</v>
      </c>
      <c r="F26" s="412">
        <f>SUMIF(88:88,E26,89:89)-SUMIF(88:88,C26,89:89)+100</f>
        <v>100</v>
      </c>
      <c r="G26" s="3457" t="s">
        <v>3419</v>
      </c>
      <c r="H26" s="386">
        <f>SUMIF(88:88,G26,89:89)-SUMIF(88:88,C26,89:89)+100</f>
        <v>100</v>
      </c>
      <c r="I26" s="3457" t="s">
        <v>3419</v>
      </c>
      <c r="J26" s="386">
        <f>SUMIF(88:88,I26,89:89)-SUMIF(88:88,C26,89:89)+100</f>
        <v>100</v>
      </c>
      <c r="K26" s="562"/>
      <c r="L26" s="2721"/>
      <c r="M26" s="2715"/>
      <c r="N26" s="2715"/>
      <c r="O26" s="2715"/>
      <c r="P26" s="3688"/>
      <c r="Q26" s="3461" t="str">
        <f t="shared" si="11"/>
        <v>平面位置/可视性</v>
      </c>
      <c r="R26" s="704" t="s">
        <v>14</v>
      </c>
      <c r="S26" s="705">
        <f>F26</f>
        <v>100</v>
      </c>
      <c r="T26" s="704" t="s">
        <v>14</v>
      </c>
      <c r="U26" s="705">
        <f>H26</f>
        <v>100</v>
      </c>
      <c r="V26" s="704" t="s">
        <v>14</v>
      </c>
      <c r="W26" s="705">
        <f>J26</f>
        <v>100</v>
      </c>
      <c r="X26" s="3463"/>
      <c r="Y26" s="3690"/>
      <c r="Z26" s="3464" t="str">
        <f>Q26</f>
        <v>平面位置/可视性</v>
      </c>
      <c r="AA26" s="3462">
        <f t="shared" si="3"/>
        <v>1</v>
      </c>
      <c r="AB26" s="3462">
        <f t="shared" si="4"/>
        <v>1</v>
      </c>
      <c r="AC26" s="3462">
        <f t="shared" si="5"/>
        <v>1</v>
      </c>
    </row>
    <row r="27" spans="1:29" s="108" customFormat="1" ht="15">
      <c r="A27" s="382"/>
      <c r="B27" s="402" t="s">
        <v>1782</v>
      </c>
      <c r="C27" s="1955" t="s">
        <v>3379</v>
      </c>
      <c r="D27" s="413">
        <v>100</v>
      </c>
      <c r="E27" s="1955" t="s">
        <v>3379</v>
      </c>
      <c r="F27" s="415">
        <f>SUMIF(90:90,E27,91:91)-SUMIF(90:90,C27,91:91)+100</f>
        <v>100</v>
      </c>
      <c r="G27" s="1955" t="s">
        <v>3379</v>
      </c>
      <c r="H27" s="413">
        <f>SUMIF(90:90,G27,91:91)-SUMIF(90:90,C27,91:91)+100</f>
        <v>100</v>
      </c>
      <c r="I27" s="1955" t="s">
        <v>3379</v>
      </c>
      <c r="J27" s="413">
        <f>SUMIF(90:90,I27,91:91)-SUMIF(90:90,C27,91:91)+100</f>
        <v>100</v>
      </c>
      <c r="K27" s="561">
        <v>2</v>
      </c>
      <c r="L27" s="2716"/>
      <c r="M27" s="2717"/>
      <c r="N27" s="2717"/>
      <c r="O27" s="2717"/>
      <c r="P27" s="3688"/>
      <c r="Q27" s="3459" t="str">
        <f t="shared" si="11"/>
        <v>人流量</v>
      </c>
      <c r="R27" s="700" t="s">
        <v>14</v>
      </c>
      <c r="S27" s="701">
        <f>F27</f>
        <v>100</v>
      </c>
      <c r="T27" s="700" t="s">
        <v>14</v>
      </c>
      <c r="U27" s="701">
        <f>H27</f>
        <v>100</v>
      </c>
      <c r="V27" s="700" t="s">
        <v>14</v>
      </c>
      <c r="W27" s="701">
        <f>J27</f>
        <v>100</v>
      </c>
      <c r="X27" s="702"/>
      <c r="Y27" s="3690"/>
      <c r="Z27" s="3458" t="str">
        <f>Q27</f>
        <v>人流量</v>
      </c>
      <c r="AA27" s="3462">
        <f>D27/F27</f>
        <v>1</v>
      </c>
      <c r="AB27" s="3462">
        <f>D27/H27</f>
        <v>1</v>
      </c>
      <c r="AC27" s="3462">
        <f>D27/J27</f>
        <v>1</v>
      </c>
    </row>
    <row r="28" spans="1:29" ht="15">
      <c r="A28" s="379"/>
      <c r="B28" s="375" t="s">
        <v>1783</v>
      </c>
      <c r="C28" s="565" t="s">
        <v>3443</v>
      </c>
      <c r="D28" s="386">
        <v>100</v>
      </c>
      <c r="E28" s="565" t="s">
        <v>3443</v>
      </c>
      <c r="F28" s="412">
        <f>SUMIF(92:92,E28,93:93)-SUMIF(92:92,C28,93:93)+100</f>
        <v>100</v>
      </c>
      <c r="G28" s="565" t="s">
        <v>3441</v>
      </c>
      <c r="H28" s="386">
        <f>SUMIF(92:92,G28,93:93)-SUMIF(92:92,C28,93:93)+100</f>
        <v>85</v>
      </c>
      <c r="I28" s="565" t="s">
        <v>3441</v>
      </c>
      <c r="J28" s="386">
        <f>SUMIF(92:92,I28,93:93)-SUMIF(92:92,C28,93:93)+100</f>
        <v>85</v>
      </c>
      <c r="K28" s="562"/>
      <c r="L28" s="2721"/>
      <c r="M28" s="2715"/>
      <c r="N28" s="2715"/>
      <c r="O28" s="2715"/>
      <c r="P28" s="3688"/>
      <c r="Q28" s="3461" t="str">
        <f t="shared" si="11"/>
        <v>楼层</v>
      </c>
      <c r="R28" s="704" t="s">
        <v>14</v>
      </c>
      <c r="S28" s="705">
        <f t="shared" ref="S28:S46" si="12">F28</f>
        <v>100</v>
      </c>
      <c r="T28" s="704" t="s">
        <v>14</v>
      </c>
      <c r="U28" s="705">
        <f t="shared" ref="U28:U46" si="13">H28</f>
        <v>85</v>
      </c>
      <c r="V28" s="704" t="s">
        <v>14</v>
      </c>
      <c r="W28" s="705">
        <f t="shared" ref="W28:W46" si="14">J28</f>
        <v>85</v>
      </c>
      <c r="X28" s="3463"/>
      <c r="Y28" s="3690"/>
      <c r="Z28" s="3464" t="str">
        <f t="shared" ref="Z28:Z46" si="15">Q28</f>
        <v>楼层</v>
      </c>
      <c r="AA28" s="3462">
        <f t="shared" si="3"/>
        <v>1</v>
      </c>
      <c r="AB28" s="3462">
        <f t="shared" si="4"/>
        <v>1.1764705882352942</v>
      </c>
      <c r="AC28" s="3462">
        <f t="shared" si="5"/>
        <v>1.1764705882352942</v>
      </c>
    </row>
    <row r="29" spans="1:29" ht="15.75" thickBot="1">
      <c r="A29" s="379"/>
      <c r="B29" s="3465" t="s">
        <v>3458</v>
      </c>
      <c r="C29" s="3457" t="s">
        <v>3459</v>
      </c>
      <c r="D29" s="386">
        <v>100</v>
      </c>
      <c r="E29" s="3457" t="s">
        <v>3460</v>
      </c>
      <c r="F29" s="412">
        <f>SUMIF(94:94,E29,95:95)-SUMIF(94:94,C29,95:95)+100</f>
        <v>100</v>
      </c>
      <c r="G29" s="3457" t="s">
        <v>3460</v>
      </c>
      <c r="H29" s="386">
        <f>SUMIF(94:94,G29,95:95)-SUMIF(94:94,C29,95:95)+100</f>
        <v>100</v>
      </c>
      <c r="I29" s="3457" t="s">
        <v>3460</v>
      </c>
      <c r="J29" s="386">
        <f>SUMIF(94:94,I29,95:95)-SUMIF(94:94,C29,95:95)+100</f>
        <v>100</v>
      </c>
      <c r="K29" s="562"/>
      <c r="L29" s="2721"/>
      <c r="M29" s="2715"/>
      <c r="N29" s="2715"/>
      <c r="O29" s="2715"/>
      <c r="P29" s="3688"/>
      <c r="Q29" s="3461" t="str">
        <f t="shared" si="11"/>
        <v>有无产权证</v>
      </c>
      <c r="R29" s="704" t="s">
        <v>14</v>
      </c>
      <c r="S29" s="705">
        <f t="shared" si="12"/>
        <v>100</v>
      </c>
      <c r="T29" s="704" t="s">
        <v>14</v>
      </c>
      <c r="U29" s="705">
        <f t="shared" si="13"/>
        <v>100</v>
      </c>
      <c r="V29" s="704" t="s">
        <v>14</v>
      </c>
      <c r="W29" s="705">
        <f t="shared" si="14"/>
        <v>100</v>
      </c>
      <c r="X29" s="3463"/>
      <c r="Y29" s="3690"/>
      <c r="Z29" s="3464" t="str">
        <f t="shared" si="15"/>
        <v>有无产权证</v>
      </c>
      <c r="AA29" s="3462">
        <f t="shared" si="3"/>
        <v>1</v>
      </c>
      <c r="AB29" s="3462">
        <f t="shared" si="4"/>
        <v>1</v>
      </c>
      <c r="AC29" s="346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8"/>
      <c r="Q30" s="3461">
        <f t="shared" si="11"/>
        <v>111</v>
      </c>
      <c r="R30" s="704" t="s">
        <v>14</v>
      </c>
      <c r="S30" s="705">
        <f t="shared" si="12"/>
        <v>100</v>
      </c>
      <c r="T30" s="704" t="s">
        <v>14</v>
      </c>
      <c r="U30" s="705">
        <f t="shared" si="13"/>
        <v>100</v>
      </c>
      <c r="V30" s="704" t="s">
        <v>14</v>
      </c>
      <c r="W30" s="705">
        <f t="shared" si="14"/>
        <v>100</v>
      </c>
      <c r="X30" s="3463"/>
      <c r="Y30" s="3690"/>
      <c r="Z30" s="3464">
        <f t="shared" si="15"/>
        <v>111</v>
      </c>
      <c r="AA30" s="3462">
        <f t="shared" si="3"/>
        <v>1</v>
      </c>
      <c r="AB30" s="3462">
        <f t="shared" si="4"/>
        <v>1</v>
      </c>
      <c r="AC30" s="346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8"/>
      <c r="Q31" s="3461">
        <f t="shared" si="11"/>
        <v>111</v>
      </c>
      <c r="R31" s="704" t="s">
        <v>14</v>
      </c>
      <c r="S31" s="705">
        <f t="shared" si="12"/>
        <v>100</v>
      </c>
      <c r="T31" s="704" t="s">
        <v>14</v>
      </c>
      <c r="U31" s="705">
        <f t="shared" si="13"/>
        <v>100</v>
      </c>
      <c r="V31" s="704" t="s">
        <v>14</v>
      </c>
      <c r="W31" s="705">
        <f t="shared" si="14"/>
        <v>100</v>
      </c>
      <c r="X31" s="3463"/>
      <c r="Y31" s="3690"/>
      <c r="Z31" s="3464">
        <f t="shared" si="15"/>
        <v>111</v>
      </c>
      <c r="AA31" s="3462">
        <f t="shared" si="3"/>
        <v>1</v>
      </c>
      <c r="AB31" s="3462">
        <f t="shared" si="4"/>
        <v>1</v>
      </c>
      <c r="AC31" s="3462">
        <f t="shared" si="5"/>
        <v>1</v>
      </c>
    </row>
    <row r="32" spans="1:29" ht="15">
      <c r="A32" s="391" t="s">
        <v>1694</v>
      </c>
      <c r="B32" s="63" t="s">
        <v>1784</v>
      </c>
      <c r="C32" s="1909" t="s">
        <v>3430</v>
      </c>
      <c r="D32" s="418">
        <v>100</v>
      </c>
      <c r="E32" s="1909" t="s">
        <v>3476</v>
      </c>
      <c r="F32" s="412">
        <f>SUMIF(100:100,E32,101:101)-SUMIF(100:100,C32,101:101)+100</f>
        <v>98</v>
      </c>
      <c r="G32" s="1909" t="s">
        <v>3476</v>
      </c>
      <c r="H32" s="386">
        <f>SUMIF(100:100,G32,101:101)-SUMIF(100:100,C32,101:101)+100</f>
        <v>98</v>
      </c>
      <c r="I32" s="1909" t="s">
        <v>3430</v>
      </c>
      <c r="J32" s="418">
        <f>SUMIF(100:100,I32,101:101)-SUMIF(100:100,C32,101:101)+100</f>
        <v>100</v>
      </c>
      <c r="K32" s="561">
        <v>2</v>
      </c>
      <c r="L32" s="2721"/>
      <c r="M32" s="2715"/>
      <c r="N32" s="2715"/>
      <c r="O32" s="2715"/>
      <c r="P32" s="3691" t="s">
        <v>1696</v>
      </c>
      <c r="Q32" s="3461" t="str">
        <f t="shared" si="11"/>
        <v>商业类型</v>
      </c>
      <c r="R32" s="704" t="s">
        <v>14</v>
      </c>
      <c r="S32" s="705">
        <f t="shared" si="12"/>
        <v>98</v>
      </c>
      <c r="T32" s="704" t="s">
        <v>14</v>
      </c>
      <c r="U32" s="705">
        <f t="shared" si="13"/>
        <v>98</v>
      </c>
      <c r="V32" s="704" t="s">
        <v>14</v>
      </c>
      <c r="W32" s="705">
        <f t="shared" si="14"/>
        <v>100</v>
      </c>
      <c r="X32" s="3463"/>
      <c r="Y32" s="3694" t="s">
        <v>1696</v>
      </c>
      <c r="Z32" s="3464" t="str">
        <f t="shared" si="15"/>
        <v>商业类型</v>
      </c>
      <c r="AA32" s="3462">
        <f t="shared" si="3"/>
        <v>1.0204081632653061</v>
      </c>
      <c r="AB32" s="3462">
        <f t="shared" si="4"/>
        <v>1.0204081632653061</v>
      </c>
      <c r="AC32" s="3462">
        <f t="shared" si="5"/>
        <v>1</v>
      </c>
    </row>
    <row r="33" spans="1:29" s="422" customFormat="1" ht="15">
      <c r="A33" s="419"/>
      <c r="B33" s="375" t="s">
        <v>1697</v>
      </c>
      <c r="C33" s="420">
        <f>典型户型修正!B24</f>
        <v>145.19</v>
      </c>
      <c r="D33" s="127">
        <v>100</v>
      </c>
      <c r="E33" s="381">
        <v>300</v>
      </c>
      <c r="F33" s="376">
        <f>LOOKUP(E33,103:103,104:104)-LOOKUP(C33,103:103,104:104)+100</f>
        <v>98</v>
      </c>
      <c r="G33" s="380">
        <v>340</v>
      </c>
      <c r="H33" s="127">
        <f>LOOKUP(G33,103:103,104:104)-LOOKUP(C33,103:103,104:104)+100</f>
        <v>98</v>
      </c>
      <c r="I33" s="380">
        <v>258.89999999999998</v>
      </c>
      <c r="J33" s="127">
        <f>LOOKUP(I33,103:103,104:104)-LOOKUP(C33,103:103,104:104)+100</f>
        <v>99</v>
      </c>
      <c r="K33" s="562"/>
      <c r="L33" s="2720"/>
      <c r="M33" s="2722"/>
      <c r="N33" s="2722"/>
      <c r="O33" s="2722"/>
      <c r="P33" s="3692"/>
      <c r="Q33" s="706" t="str">
        <f t="shared" si="11"/>
        <v>项目建筑规模</v>
      </c>
      <c r="R33" s="707" t="s">
        <v>14</v>
      </c>
      <c r="S33" s="708">
        <f t="shared" si="12"/>
        <v>98</v>
      </c>
      <c r="T33" s="707" t="s">
        <v>14</v>
      </c>
      <c r="U33" s="708">
        <f t="shared" si="13"/>
        <v>98</v>
      </c>
      <c r="V33" s="707" t="s">
        <v>14</v>
      </c>
      <c r="W33" s="708">
        <f t="shared" si="14"/>
        <v>99</v>
      </c>
      <c r="X33" s="709"/>
      <c r="Y33" s="3694"/>
      <c r="Z33" s="710" t="str">
        <f t="shared" si="15"/>
        <v>项目建筑规模</v>
      </c>
      <c r="AA33" s="3462">
        <f t="shared" si="3"/>
        <v>1.0204081632653061</v>
      </c>
      <c r="AB33" s="3462">
        <f t="shared" si="4"/>
        <v>1.0204081632653061</v>
      </c>
      <c r="AC33" s="3462">
        <f t="shared" si="5"/>
        <v>1.0101010101010102</v>
      </c>
    </row>
    <row r="34" spans="1:29" ht="15">
      <c r="A34" s="423"/>
      <c r="B34" s="375" t="s">
        <v>1698</v>
      </c>
      <c r="C34" s="1911" t="s">
        <v>3388</v>
      </c>
      <c r="D34" s="386">
        <v>100</v>
      </c>
      <c r="E34" s="1911" t="s">
        <v>3388</v>
      </c>
      <c r="F34" s="412">
        <f>SUMIF(105:105,E34,106:106)-SUMIF(105:105,C34,106:106)+100</f>
        <v>100</v>
      </c>
      <c r="G34" s="1911" t="s">
        <v>3388</v>
      </c>
      <c r="H34" s="386">
        <f>SUMIF(105:105,G34,106:106)-SUMIF(105:105,C34,106:106)+100</f>
        <v>100</v>
      </c>
      <c r="I34" s="1911" t="s">
        <v>3388</v>
      </c>
      <c r="J34" s="386">
        <f>SUMIF(105:105,I34,106:106)-SUMIF(105:105,C34,106:106)+100</f>
        <v>100</v>
      </c>
      <c r="K34" s="561">
        <v>1</v>
      </c>
      <c r="L34" s="2721"/>
      <c r="M34" s="2715"/>
      <c r="N34" s="2715"/>
      <c r="O34" s="2715"/>
      <c r="P34" s="3692"/>
      <c r="Q34" s="3461" t="str">
        <f t="shared" si="11"/>
        <v>建筑结构</v>
      </c>
      <c r="R34" s="704" t="s">
        <v>14</v>
      </c>
      <c r="S34" s="705">
        <f t="shared" si="12"/>
        <v>100</v>
      </c>
      <c r="T34" s="704" t="s">
        <v>14</v>
      </c>
      <c r="U34" s="705">
        <f t="shared" si="13"/>
        <v>100</v>
      </c>
      <c r="V34" s="704" t="s">
        <v>14</v>
      </c>
      <c r="W34" s="705">
        <f t="shared" si="14"/>
        <v>100</v>
      </c>
      <c r="X34" s="3463"/>
      <c r="Y34" s="3694"/>
      <c r="Z34" s="3464" t="str">
        <f t="shared" si="15"/>
        <v>建筑结构</v>
      </c>
      <c r="AA34" s="3462">
        <f t="shared" si="3"/>
        <v>1</v>
      </c>
      <c r="AB34" s="3462">
        <f t="shared" si="4"/>
        <v>1</v>
      </c>
      <c r="AC34" s="3462">
        <f t="shared" si="5"/>
        <v>1</v>
      </c>
    </row>
    <row r="35" spans="1:29" ht="15">
      <c r="A35" s="423"/>
      <c r="B35" s="375" t="s">
        <v>1785</v>
      </c>
      <c r="C35" s="1905" t="s">
        <v>3431</v>
      </c>
      <c r="D35" s="386">
        <v>100</v>
      </c>
      <c r="E35" s="1905" t="s">
        <v>3431</v>
      </c>
      <c r="F35" s="412">
        <f>SUMIF(107:107,E35,108:108)-SUMIF(107:107,C35,108:108)+100</f>
        <v>100</v>
      </c>
      <c r="G35" s="1905" t="s">
        <v>3431</v>
      </c>
      <c r="H35" s="386">
        <f>SUMIF(107:107,G35,108:108)-SUMIF(107:107,C35,108:108)+100</f>
        <v>100</v>
      </c>
      <c r="I35" s="1905" t="s">
        <v>3431</v>
      </c>
      <c r="J35" s="386">
        <f>SUMIF(107:107,I35,108:108)-SUMIF(107:107,C35,108:108)+100</f>
        <v>100</v>
      </c>
      <c r="K35" s="561">
        <v>5</v>
      </c>
      <c r="L35" s="2721"/>
      <c r="M35" s="2715"/>
      <c r="N35" s="2715"/>
      <c r="O35" s="2715"/>
      <c r="P35" s="3692"/>
      <c r="Q35" s="3461" t="str">
        <f t="shared" si="11"/>
        <v>公共部分装修</v>
      </c>
      <c r="R35" s="704" t="s">
        <v>14</v>
      </c>
      <c r="S35" s="705">
        <f t="shared" si="12"/>
        <v>100</v>
      </c>
      <c r="T35" s="704" t="s">
        <v>14</v>
      </c>
      <c r="U35" s="705">
        <f t="shared" si="13"/>
        <v>100</v>
      </c>
      <c r="V35" s="704" t="s">
        <v>14</v>
      </c>
      <c r="W35" s="705">
        <f t="shared" si="14"/>
        <v>100</v>
      </c>
      <c r="X35" s="3463"/>
      <c r="Y35" s="3694"/>
      <c r="Z35" s="3464" t="str">
        <f t="shared" si="15"/>
        <v>公共部分装修</v>
      </c>
      <c r="AA35" s="3462">
        <f t="shared" si="3"/>
        <v>1</v>
      </c>
      <c r="AB35" s="3462">
        <f t="shared" si="4"/>
        <v>1</v>
      </c>
      <c r="AC35" s="3462">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692"/>
      <c r="Q36" s="3461" t="str">
        <f t="shared" si="11"/>
        <v>成新度</v>
      </c>
      <c r="R36" s="704" t="s">
        <v>14</v>
      </c>
      <c r="S36" s="705">
        <f t="shared" si="12"/>
        <v>100</v>
      </c>
      <c r="T36" s="704" t="s">
        <v>14</v>
      </c>
      <c r="U36" s="705">
        <f t="shared" si="13"/>
        <v>100</v>
      </c>
      <c r="V36" s="704" t="s">
        <v>14</v>
      </c>
      <c r="W36" s="705">
        <f t="shared" si="14"/>
        <v>100</v>
      </c>
      <c r="X36" s="3463"/>
      <c r="Y36" s="3694"/>
      <c r="Z36" s="3464" t="str">
        <f t="shared" si="15"/>
        <v>成新度</v>
      </c>
      <c r="AA36" s="3462">
        <f t="shared" si="3"/>
        <v>1</v>
      </c>
      <c r="AB36" s="3462">
        <f t="shared" si="4"/>
        <v>1</v>
      </c>
      <c r="AC36" s="3462">
        <f t="shared" si="5"/>
        <v>1</v>
      </c>
    </row>
    <row r="37" spans="1:29" s="108" customFormat="1" ht="15">
      <c r="A37" s="424"/>
      <c r="B37" s="375" t="s">
        <v>1787</v>
      </c>
      <c r="C37" s="1905" t="s">
        <v>3433</v>
      </c>
      <c r="D37" s="127">
        <v>100</v>
      </c>
      <c r="E37" s="1905" t="s">
        <v>3477</v>
      </c>
      <c r="F37" s="412">
        <f>SUMIF(112:112,E37,113:113)-SUMIF(112:112,C37,113:113)+100</f>
        <v>99</v>
      </c>
      <c r="G37" s="1905" t="s">
        <v>3477</v>
      </c>
      <c r="H37" s="386">
        <f>SUMIF(112:112,G37,113:113)-SUMIF(112:112,C37,113:113)+100</f>
        <v>99</v>
      </c>
      <c r="I37" s="1905" t="s">
        <v>3477</v>
      </c>
      <c r="J37" s="386">
        <f>SUMIF(112:112,I37,113:113)-SUMIF(112:112,C37,113:113)+100</f>
        <v>99</v>
      </c>
      <c r="K37" s="561">
        <v>1</v>
      </c>
      <c r="L37" s="2716"/>
      <c r="M37" s="2717"/>
      <c r="N37" s="2717"/>
      <c r="O37" s="2717"/>
      <c r="P37" s="3692"/>
      <c r="Q37" s="3459" t="str">
        <f t="shared" si="11"/>
        <v>市政基础设施</v>
      </c>
      <c r="R37" s="700" t="s">
        <v>14</v>
      </c>
      <c r="S37" s="701">
        <f t="shared" si="12"/>
        <v>99</v>
      </c>
      <c r="T37" s="700" t="s">
        <v>14</v>
      </c>
      <c r="U37" s="701">
        <f t="shared" si="13"/>
        <v>99</v>
      </c>
      <c r="V37" s="700" t="s">
        <v>14</v>
      </c>
      <c r="W37" s="701">
        <f t="shared" si="14"/>
        <v>99</v>
      </c>
      <c r="X37" s="702"/>
      <c r="Y37" s="3694"/>
      <c r="Z37" s="3458" t="str">
        <f t="shared" si="15"/>
        <v>市政基础设施</v>
      </c>
      <c r="AA37" s="703">
        <f t="shared" si="3"/>
        <v>1.0101010101010102</v>
      </c>
      <c r="AB37" s="703">
        <f t="shared" si="4"/>
        <v>1.0101010101010102</v>
      </c>
      <c r="AC37" s="703">
        <f t="shared" si="5"/>
        <v>1.0101010101010102</v>
      </c>
    </row>
    <row r="38" spans="1:29" ht="15">
      <c r="A38" s="423"/>
      <c r="B38" s="375" t="s">
        <v>1788</v>
      </c>
      <c r="C38" s="1905" t="s">
        <v>3436</v>
      </c>
      <c r="D38" s="386">
        <v>100</v>
      </c>
      <c r="E38" s="1905" t="s">
        <v>3461</v>
      </c>
      <c r="F38" s="412">
        <f>SUMIF(114:114,E38,115:115)-SUMIF(114:114,C38,115:115)+100</f>
        <v>98</v>
      </c>
      <c r="G38" s="1905" t="s">
        <v>3461</v>
      </c>
      <c r="H38" s="386">
        <f>SUMIF(114:114,G38,115:115)-SUMIF(114:114,C38,115:115)+100</f>
        <v>98</v>
      </c>
      <c r="I38" s="1905" t="s">
        <v>3461</v>
      </c>
      <c r="J38" s="386">
        <f>SUMIF(114:114,I38,115:115)-SUMIF(114:114,C38,115:115)+100</f>
        <v>98</v>
      </c>
      <c r="K38" s="561">
        <v>2</v>
      </c>
      <c r="L38" s="2721"/>
      <c r="M38" s="2715"/>
      <c r="N38" s="2715"/>
      <c r="O38" s="2715"/>
      <c r="P38" s="3692" t="s">
        <v>1696</v>
      </c>
      <c r="Q38" s="3461" t="str">
        <f t="shared" si="11"/>
        <v>业态</v>
      </c>
      <c r="R38" s="704" t="s">
        <v>14</v>
      </c>
      <c r="S38" s="705">
        <f t="shared" si="12"/>
        <v>98</v>
      </c>
      <c r="T38" s="704" t="s">
        <v>14</v>
      </c>
      <c r="U38" s="705">
        <f t="shared" si="13"/>
        <v>98</v>
      </c>
      <c r="V38" s="704" t="s">
        <v>14</v>
      </c>
      <c r="W38" s="705">
        <f t="shared" si="14"/>
        <v>98</v>
      </c>
      <c r="X38" s="3463"/>
      <c r="Y38" s="3694" t="s">
        <v>1696</v>
      </c>
      <c r="Z38" s="3464" t="str">
        <f t="shared" si="15"/>
        <v>业态</v>
      </c>
      <c r="AA38" s="3462">
        <f t="shared" si="3"/>
        <v>1.0204081632653061</v>
      </c>
      <c r="AB38" s="3462">
        <f t="shared" si="4"/>
        <v>1.0204081632653061</v>
      </c>
      <c r="AC38" s="3462">
        <f t="shared" si="5"/>
        <v>1.0204081632653061</v>
      </c>
    </row>
    <row r="39" spans="1:29" ht="15">
      <c r="A39" s="423"/>
      <c r="B39" s="375" t="s">
        <v>1789</v>
      </c>
      <c r="C39" s="1905" t="s">
        <v>3437</v>
      </c>
      <c r="D39" s="386">
        <v>100</v>
      </c>
      <c r="E39" s="1905" t="s">
        <v>3437</v>
      </c>
      <c r="F39" s="412">
        <f>SUMIF(116:116,E39,117:117)-SUMIF(116:116,C39,117:117)+100</f>
        <v>100</v>
      </c>
      <c r="G39" s="1905" t="s">
        <v>3437</v>
      </c>
      <c r="H39" s="386">
        <f>SUMIF(116:116,G39,117:117)-SUMIF(116:116,C39,117:117)+100</f>
        <v>100</v>
      </c>
      <c r="I39" s="1905" t="s">
        <v>3437</v>
      </c>
      <c r="J39" s="386">
        <f>SUMIF(116:116,I39,117:117)-SUMIF(116:116,C39,117:117)+100</f>
        <v>100</v>
      </c>
      <c r="K39" s="561">
        <v>2</v>
      </c>
      <c r="L39" s="2721"/>
      <c r="M39" s="2715"/>
      <c r="N39" s="2715"/>
      <c r="O39" s="2715"/>
      <c r="P39" s="3692"/>
      <c r="Q39" s="3461" t="str">
        <f t="shared" si="11"/>
        <v>层高</v>
      </c>
      <c r="R39" s="704" t="s">
        <v>14</v>
      </c>
      <c r="S39" s="705">
        <f t="shared" si="12"/>
        <v>100</v>
      </c>
      <c r="T39" s="704" t="s">
        <v>14</v>
      </c>
      <c r="U39" s="705">
        <f t="shared" si="13"/>
        <v>100</v>
      </c>
      <c r="V39" s="704" t="s">
        <v>14</v>
      </c>
      <c r="W39" s="705">
        <f t="shared" si="14"/>
        <v>100</v>
      </c>
      <c r="X39" s="3463"/>
      <c r="Y39" s="3694"/>
      <c r="Z39" s="3464" t="str">
        <f t="shared" si="15"/>
        <v>层高</v>
      </c>
      <c r="AA39" s="3462">
        <f t="shared" si="3"/>
        <v>1</v>
      </c>
      <c r="AB39" s="3462">
        <f t="shared" si="4"/>
        <v>1</v>
      </c>
      <c r="AC39" s="346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2"/>
      <c r="Q40" s="3461" t="str">
        <f t="shared" si="11"/>
        <v>单套建筑面积</v>
      </c>
      <c r="R40" s="704" t="s">
        <v>14</v>
      </c>
      <c r="S40" s="705">
        <f t="shared" si="12"/>
        <v>100</v>
      </c>
      <c r="T40" s="704" t="s">
        <v>14</v>
      </c>
      <c r="U40" s="705">
        <f t="shared" si="13"/>
        <v>100</v>
      </c>
      <c r="V40" s="704" t="s">
        <v>14</v>
      </c>
      <c r="W40" s="705">
        <f t="shared" si="14"/>
        <v>100</v>
      </c>
      <c r="X40" s="3463"/>
      <c r="Y40" s="3694"/>
      <c r="Z40" s="3464" t="str">
        <f t="shared" si="15"/>
        <v>单套建筑面积</v>
      </c>
      <c r="AA40" s="3462">
        <f t="shared" si="3"/>
        <v>1</v>
      </c>
      <c r="AB40" s="3462">
        <f t="shared" si="4"/>
        <v>1</v>
      </c>
      <c r="AC40" s="3462">
        <f t="shared" si="5"/>
        <v>1</v>
      </c>
    </row>
    <row r="41" spans="1:29" s="422" customFormat="1" ht="15">
      <c r="A41" s="419"/>
      <c r="B41" s="3460" t="s">
        <v>1791</v>
      </c>
      <c r="C41" s="565" t="s">
        <v>3439</v>
      </c>
      <c r="D41" s="386">
        <v>100</v>
      </c>
      <c r="E41" s="565" t="s">
        <v>3439</v>
      </c>
      <c r="F41" s="412">
        <f>SUMIF(120:120,E41,121:121)-SUMIF(120:120,C41,121:121)+100</f>
        <v>100</v>
      </c>
      <c r="G41" s="565" t="s">
        <v>3439</v>
      </c>
      <c r="H41" s="386">
        <f>SUMIF(120:120,G41,121:121)-SUMIF(120:120,C41,121:121)+100</f>
        <v>100</v>
      </c>
      <c r="I41" s="565" t="s">
        <v>3439</v>
      </c>
      <c r="J41" s="386">
        <f>SUMIF(120:120,I41,121:121)-SUMIF(120:120,C41,121:121)+100</f>
        <v>100</v>
      </c>
      <c r="K41" s="561">
        <v>1</v>
      </c>
      <c r="L41" s="2720"/>
      <c r="M41" s="2722"/>
      <c r="N41" s="2722"/>
      <c r="O41" s="2722"/>
      <c r="P41" s="3692"/>
      <c r="Q41" s="706" t="str">
        <f t="shared" si="11"/>
        <v>进深比</v>
      </c>
      <c r="R41" s="707" t="s">
        <v>14</v>
      </c>
      <c r="S41" s="708">
        <f t="shared" si="12"/>
        <v>100</v>
      </c>
      <c r="T41" s="707" t="s">
        <v>14</v>
      </c>
      <c r="U41" s="708">
        <f t="shared" si="13"/>
        <v>100</v>
      </c>
      <c r="V41" s="707" t="s">
        <v>14</v>
      </c>
      <c r="W41" s="708">
        <f t="shared" si="14"/>
        <v>100</v>
      </c>
      <c r="X41" s="709"/>
      <c r="Y41" s="3694"/>
      <c r="Z41" s="710" t="str">
        <f t="shared" si="15"/>
        <v>进深比</v>
      </c>
      <c r="AA41" s="3462">
        <f t="shared" si="3"/>
        <v>1</v>
      </c>
      <c r="AB41" s="3462">
        <f t="shared" si="4"/>
        <v>1</v>
      </c>
      <c r="AC41" s="3462">
        <f t="shared" si="5"/>
        <v>1</v>
      </c>
    </row>
    <row r="42" spans="1:29" ht="15">
      <c r="A42" s="423"/>
      <c r="B42" s="375" t="s">
        <v>1792</v>
      </c>
      <c r="C42" s="1905" t="s">
        <v>3431</v>
      </c>
      <c r="D42" s="386">
        <v>100</v>
      </c>
      <c r="E42" s="1905" t="s">
        <v>3431</v>
      </c>
      <c r="F42" s="412">
        <f>SUMIF(122:122,E42,123:123)-SUMIF(122:122,C42,123:123)+100</f>
        <v>100</v>
      </c>
      <c r="G42" s="1905" t="s">
        <v>3431</v>
      </c>
      <c r="H42" s="386">
        <f>SUMIF(122:122,G42,123:123)-SUMIF(122:122,C42,123:123)+100</f>
        <v>100</v>
      </c>
      <c r="I42" s="1905" t="s">
        <v>3480</v>
      </c>
      <c r="J42" s="386">
        <f>SUMIF(122:122,I42,123:123)-SUMIF(122:122,C42,123:123)+100</f>
        <v>99</v>
      </c>
      <c r="K42" s="561">
        <v>1</v>
      </c>
      <c r="L42" s="2721"/>
      <c r="M42" s="2715"/>
      <c r="N42" s="2715"/>
      <c r="O42" s="2715"/>
      <c r="P42" s="3692"/>
      <c r="Q42" s="3461" t="str">
        <f t="shared" si="11"/>
        <v>内部装修</v>
      </c>
      <c r="R42" s="704" t="s">
        <v>14</v>
      </c>
      <c r="S42" s="705">
        <f t="shared" si="12"/>
        <v>100</v>
      </c>
      <c r="T42" s="704" t="s">
        <v>14</v>
      </c>
      <c r="U42" s="705">
        <f t="shared" si="13"/>
        <v>100</v>
      </c>
      <c r="V42" s="704" t="s">
        <v>14</v>
      </c>
      <c r="W42" s="705">
        <f t="shared" si="14"/>
        <v>99</v>
      </c>
      <c r="X42" s="3463"/>
      <c r="Y42" s="3694"/>
      <c r="Z42" s="3464" t="str">
        <f t="shared" si="15"/>
        <v>内部装修</v>
      </c>
      <c r="AA42" s="3462">
        <f t="shared" si="3"/>
        <v>1</v>
      </c>
      <c r="AB42" s="3462">
        <f t="shared" si="4"/>
        <v>1</v>
      </c>
      <c r="AC42" s="3462">
        <f t="shared" si="5"/>
        <v>1.0101010101010102</v>
      </c>
    </row>
    <row r="43" spans="1:29" ht="15.75" thickBot="1">
      <c r="A43" s="423"/>
      <c r="B43" s="375" t="s">
        <v>1707</v>
      </c>
      <c r="C43" s="1905" t="s">
        <v>3379</v>
      </c>
      <c r="D43" s="386">
        <v>100</v>
      </c>
      <c r="E43" s="1905" t="s">
        <v>3379</v>
      </c>
      <c r="F43" s="412">
        <f>SUMIF(124:124,E43,125:125)-SUMIF(124:124,C43,125:125)+100</f>
        <v>100</v>
      </c>
      <c r="G43" s="1905" t="s">
        <v>3379</v>
      </c>
      <c r="H43" s="386">
        <f>SUMIF(124:124,G43,125:125)-SUMIF(124:124,C43,125:125)+100</f>
        <v>100</v>
      </c>
      <c r="I43" s="1905" t="s">
        <v>3379</v>
      </c>
      <c r="J43" s="386">
        <f>SUMIF(124:124,I43,125:125)-SUMIF(124:124,C43,125:125)+100</f>
        <v>100</v>
      </c>
      <c r="K43" s="561">
        <v>1</v>
      </c>
      <c r="L43" s="2721"/>
      <c r="M43" s="2715"/>
      <c r="N43" s="2715"/>
      <c r="O43" s="2715"/>
      <c r="P43" s="3692"/>
      <c r="Q43" s="3461" t="str">
        <f t="shared" si="11"/>
        <v>内部装修维护情况</v>
      </c>
      <c r="R43" s="704" t="s">
        <v>14</v>
      </c>
      <c r="S43" s="705">
        <f t="shared" si="12"/>
        <v>100</v>
      </c>
      <c r="T43" s="704" t="s">
        <v>14</v>
      </c>
      <c r="U43" s="705">
        <f t="shared" si="13"/>
        <v>100</v>
      </c>
      <c r="V43" s="704" t="s">
        <v>14</v>
      </c>
      <c r="W43" s="705">
        <f t="shared" si="14"/>
        <v>100</v>
      </c>
      <c r="X43" s="3463"/>
      <c r="Y43" s="3694"/>
      <c r="Z43" s="3464" t="str">
        <f t="shared" si="15"/>
        <v>内部装修维护情况</v>
      </c>
      <c r="AA43" s="3462">
        <f t="shared" si="3"/>
        <v>1</v>
      </c>
      <c r="AB43" s="3462">
        <f t="shared" si="4"/>
        <v>1</v>
      </c>
      <c r="AC43" s="3462">
        <f t="shared" si="5"/>
        <v>1</v>
      </c>
    </row>
    <row r="44" spans="1:29" s="108" customFormat="1" ht="15" hidden="1">
      <c r="A44" s="424"/>
      <c r="B44" s="3465"/>
      <c r="C44" s="3466"/>
      <c r="D44" s="127">
        <v>100</v>
      </c>
      <c r="E44" s="3457"/>
      <c r="F44" s="376">
        <f>SUMIF(126:126,E44,127:127)-SUMIF(126:126,C44,127:127)+100</f>
        <v>100</v>
      </c>
      <c r="G44" s="3457"/>
      <c r="H44" s="127">
        <f>SUMIF(126:126,G44,127:127)-SUMIF(126:126,C44,127:127)+100</f>
        <v>100</v>
      </c>
      <c r="I44" s="3457"/>
      <c r="J44" s="127">
        <f>SUMIF(126:126,I44,127:127)-SUMIF(126:126,C44,127:127)+100</f>
        <v>100</v>
      </c>
      <c r="K44" s="562"/>
      <c r="L44" s="2716"/>
      <c r="M44" s="2717"/>
      <c r="N44" s="2717"/>
      <c r="O44" s="2717"/>
      <c r="P44" s="3692"/>
      <c r="Q44" s="3459">
        <f t="shared" si="11"/>
        <v>0</v>
      </c>
      <c r="R44" s="700" t="s">
        <v>14</v>
      </c>
      <c r="S44" s="701">
        <f t="shared" si="12"/>
        <v>100</v>
      </c>
      <c r="T44" s="700" t="s">
        <v>14</v>
      </c>
      <c r="U44" s="701">
        <f t="shared" si="13"/>
        <v>100</v>
      </c>
      <c r="V44" s="700" t="s">
        <v>14</v>
      </c>
      <c r="W44" s="701">
        <f t="shared" si="14"/>
        <v>100</v>
      </c>
      <c r="X44" s="702"/>
      <c r="Y44" s="3694"/>
      <c r="Z44" s="3458">
        <f t="shared" si="15"/>
        <v>0</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2"/>
      <c r="Q45" s="3461">
        <f t="shared" si="11"/>
        <v>111</v>
      </c>
      <c r="R45" s="704" t="s">
        <v>14</v>
      </c>
      <c r="S45" s="705">
        <f t="shared" si="12"/>
        <v>100</v>
      </c>
      <c r="T45" s="704" t="s">
        <v>14</v>
      </c>
      <c r="U45" s="705">
        <f t="shared" si="13"/>
        <v>100</v>
      </c>
      <c r="V45" s="704" t="s">
        <v>14</v>
      </c>
      <c r="W45" s="705">
        <f t="shared" si="14"/>
        <v>100</v>
      </c>
      <c r="X45" s="3463"/>
      <c r="Y45" s="3694"/>
      <c r="Z45" s="3464">
        <f t="shared" si="15"/>
        <v>111</v>
      </c>
      <c r="AA45" s="3462">
        <f t="shared" si="3"/>
        <v>1</v>
      </c>
      <c r="AB45" s="3462">
        <f t="shared" si="4"/>
        <v>1</v>
      </c>
      <c r="AC45" s="346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3"/>
      <c r="Q46" s="3461">
        <f t="shared" si="11"/>
        <v>111</v>
      </c>
      <c r="R46" s="704" t="s">
        <v>14</v>
      </c>
      <c r="S46" s="705">
        <f t="shared" si="12"/>
        <v>100</v>
      </c>
      <c r="T46" s="704" t="s">
        <v>14</v>
      </c>
      <c r="U46" s="705">
        <f t="shared" si="13"/>
        <v>100</v>
      </c>
      <c r="V46" s="704" t="s">
        <v>14</v>
      </c>
      <c r="W46" s="705">
        <f t="shared" si="14"/>
        <v>100</v>
      </c>
      <c r="X46" s="3463"/>
      <c r="Y46" s="3695"/>
      <c r="Z46" s="3464">
        <f t="shared" si="15"/>
        <v>111</v>
      </c>
      <c r="AA46" s="3462">
        <f t="shared" si="3"/>
        <v>1</v>
      </c>
      <c r="AB46" s="3462">
        <f t="shared" si="4"/>
        <v>1</v>
      </c>
      <c r="AC46" s="3462">
        <f t="shared" si="5"/>
        <v>1</v>
      </c>
    </row>
    <row r="47" spans="1:29" ht="15">
      <c r="A47" s="430" t="s">
        <v>1708</v>
      </c>
      <c r="B47" s="431"/>
      <c r="C47" s="1153" t="s">
        <v>0</v>
      </c>
      <c r="D47" s="1154"/>
      <c r="E47" s="1155">
        <v>4</v>
      </c>
      <c r="F47" s="1156"/>
      <c r="G47" s="1157">
        <v>3.87</v>
      </c>
      <c r="H47" s="1158"/>
      <c r="I47" s="1155">
        <v>3.86</v>
      </c>
      <c r="J47" s="1158"/>
      <c r="K47" s="713"/>
      <c r="L47" s="2723"/>
      <c r="M47" s="2724"/>
      <c r="N47" s="2715"/>
      <c r="O47" s="2724"/>
      <c r="P47" s="3696" t="str">
        <f>A47</f>
        <v>成交单价（元/平方米）</v>
      </c>
      <c r="Q47" s="3696"/>
      <c r="R47" s="3658">
        <f>E47</f>
        <v>4</v>
      </c>
      <c r="S47" s="3658"/>
      <c r="T47" s="3658">
        <f>G47</f>
        <v>3.87</v>
      </c>
      <c r="U47" s="3658"/>
      <c r="V47" s="3658">
        <f>I47</f>
        <v>3.86</v>
      </c>
      <c r="W47" s="3658"/>
      <c r="X47" s="689"/>
      <c r="Y47" s="711"/>
      <c r="Z47" s="689"/>
      <c r="AA47" s="689"/>
      <c r="AB47" s="689"/>
      <c r="AC47" s="689"/>
    </row>
    <row r="48" spans="1:29" ht="15.75" thickBot="1">
      <c r="A48" s="437" t="s">
        <v>1709</v>
      </c>
      <c r="B48" s="438"/>
      <c r="C48" s="1159">
        <f>R49</f>
        <v>4.5999999999999996</v>
      </c>
      <c r="D48" s="2316" t="s">
        <v>2137</v>
      </c>
      <c r="E48" s="1160">
        <f>R48</f>
        <v>4.2</v>
      </c>
      <c r="F48" s="2317"/>
      <c r="G48" s="1159">
        <f>T48</f>
        <v>4.8</v>
      </c>
      <c r="H48" s="2317"/>
      <c r="I48" s="1160">
        <f>V48</f>
        <v>4.7</v>
      </c>
      <c r="J48" s="2317"/>
      <c r="K48" s="2319">
        <f>F48+H48+J48</f>
        <v>0</v>
      </c>
      <c r="L48" s="2723"/>
      <c r="M48" s="2724"/>
      <c r="N48" s="2715"/>
      <c r="O48" s="2724"/>
      <c r="P48" s="3696" t="str">
        <f>A48</f>
        <v>比较价值（元/平方米）</v>
      </c>
      <c r="Q48" s="3696"/>
      <c r="R48" s="3697">
        <f>IF(F1="售价",ROUND(PRODUCT(R47,AA7:AA46),0),ROUND(PRODUCT(R47,AA7:AA46),1))</f>
        <v>4.2</v>
      </c>
      <c r="S48" s="3697"/>
      <c r="T48" s="3697">
        <f>IF(F1="售价",ROUND(PRODUCT(T47,AB7:AB46),0),ROUND(PRODUCT(T47,AB7:AB46),1))</f>
        <v>4.8</v>
      </c>
      <c r="U48" s="3697"/>
      <c r="V48" s="3697">
        <f>IF(F1="售价",ROUND(PRODUCT(V47,AC7:AC46),0),ROUND(PRODUCT(V47,AC7:AC46),1))</f>
        <v>4.7</v>
      </c>
      <c r="W48" s="3697"/>
      <c r="X48" s="689"/>
      <c r="Y48" s="689"/>
      <c r="Z48" s="689"/>
      <c r="AA48" s="689"/>
      <c r="AB48" s="689"/>
      <c r="AC48" s="689"/>
    </row>
    <row r="49" spans="1:29" ht="15.75" thickBot="1">
      <c r="A49" s="441" t="s">
        <v>1710</v>
      </c>
      <c r="B49" s="442"/>
      <c r="C49" s="1162">
        <f>R49</f>
        <v>4.5999999999999996</v>
      </c>
      <c r="D49" s="1162"/>
      <c r="E49" s="1162"/>
      <c r="F49" s="1162"/>
      <c r="G49" s="1162"/>
      <c r="H49" s="1162"/>
      <c r="I49" s="1162"/>
      <c r="J49" s="1162"/>
      <c r="K49" s="714"/>
      <c r="L49" s="2723"/>
      <c r="M49" s="2724"/>
      <c r="N49" s="2715"/>
      <c r="O49" s="2724"/>
      <c r="P49" s="3698" t="str">
        <f>A49</f>
        <v>估价对象XX用房的比较价值（楼面单价，元/平方米）</v>
      </c>
      <c r="Q49" s="3699"/>
      <c r="R49" s="3700">
        <f>IF(F1="售价",ROUND(IF(D48="简单平均",AVERAGE(R48:V48),R48*F48+T48*H48+V48*J48),0),ROUND(IF(D48="简单平均",AVERAGE(R48:V48),R48*F48+T48*H48+V48*J48),1))</f>
        <v>4.5999999999999996</v>
      </c>
      <c r="S49" s="3700"/>
      <c r="T49" s="3700"/>
      <c r="U49" s="3700"/>
      <c r="V49" s="3700"/>
      <c r="W49" s="3700"/>
      <c r="X49" s="689"/>
      <c r="Y49" s="689"/>
      <c r="Z49" s="689"/>
      <c r="AA49" s="689"/>
      <c r="AB49" s="689"/>
      <c r="AC49" s="689"/>
    </row>
    <row r="50" spans="1:29">
      <c r="A50" s="2724"/>
      <c r="B50" s="2724"/>
      <c r="C50" s="2724">
        <f>C49*365/'比较法-商业'!C49</f>
        <v>3.6047834768233242E-2</v>
      </c>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5.0000000000000044E-2</v>
      </c>
      <c r="F52" s="449" t="str">
        <f>IF(OR(E52&gt;=0.3,E52&lt;=-0.3),"超过30%","")</f>
        <v/>
      </c>
      <c r="G52" s="448">
        <f>IF(G47&lt;G48,G48/G47-1,G47/G48-1)</f>
        <v>0.24031007751937983</v>
      </c>
      <c r="H52" s="449" t="str">
        <f>IF(OR(G52&gt;=0.3,G52&lt;=-0.3),"超过30%","")</f>
        <v/>
      </c>
      <c r="I52" s="448">
        <f>IF(I47&lt;I48,I48/I47-1,I47/I48-1)</f>
        <v>0.21761658031088094</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f>IF(E48&lt;G48,G48/E48-1,E48/G48-1)</f>
        <v>0.14285714285714279</v>
      </c>
      <c r="F53" s="449" t="str">
        <f>IF(OR(E53&gt;=0.2,E53&lt;=-0.2),"超过20%","")</f>
        <v/>
      </c>
      <c r="G53" s="448">
        <f>IF(G48&lt;I48,I48/G48-1,G48/I48-1)</f>
        <v>2.1276595744680771E-2</v>
      </c>
      <c r="H53" s="449" t="str">
        <f>IF(OR(G53&gt;=0.2,G53&lt;=-0.2),"超过20%","")</f>
        <v/>
      </c>
      <c r="I53" s="448">
        <f>IF(I48&lt;E48,E48/I48-1,I48/E48-1)</f>
        <v>0.11904761904761907</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3.3591731266149782E-2</v>
      </c>
      <c r="F54" s="449" t="str">
        <f>IF(OR(E54&gt;=0.3,E54&lt;=-0.3),"超过30%","")</f>
        <v/>
      </c>
      <c r="G54" s="448">
        <f>IF(G47&lt;I47,I47/G47-1,G47/I47-1)</f>
        <v>2.5906735751295429E-3</v>
      </c>
      <c r="H54" s="449" t="str">
        <f>IF(OR(G54&gt;=0.3,G54&lt;=-0.3),"超过30%","")</f>
        <v/>
      </c>
      <c r="I54" s="448">
        <f>IF(I47&lt;E47,E47/I47-1,I47/E47-1)</f>
        <v>3.62694300518136E-2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1714</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1718</v>
      </c>
      <c r="D61" s="3451" t="s">
        <v>3397</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2" t="s">
        <v>3398</v>
      </c>
      <c r="D86" s="3452" t="s">
        <v>3399</v>
      </c>
      <c r="E86" s="3452" t="s">
        <v>3400</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2" t="s">
        <v>3424</v>
      </c>
      <c r="D88" s="3452" t="s">
        <v>3425</v>
      </c>
      <c r="E88" s="3452" t="s">
        <v>3448</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95</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3380</v>
      </c>
      <c r="D90" s="503" t="s">
        <v>3379</v>
      </c>
      <c r="E90" s="503" t="s">
        <v>3421</v>
      </c>
      <c r="F90" s="503" t="s">
        <v>3422</v>
      </c>
      <c r="G90" s="503" t="s">
        <v>3423</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3426</v>
      </c>
      <c r="D92" s="503" t="s">
        <v>3427</v>
      </c>
      <c r="E92" s="3453" t="s">
        <v>3451</v>
      </c>
      <c r="F92" s="3453" t="s">
        <v>3428</v>
      </c>
      <c r="G92" s="3452" t="s">
        <v>3429</v>
      </c>
      <c r="H92" s="503" t="s">
        <v>3452</v>
      </c>
      <c r="I92" s="503" t="s">
        <v>3440</v>
      </c>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60</v>
      </c>
      <c r="F93" s="485">
        <v>50</v>
      </c>
      <c r="G93" s="485">
        <f>(C93+F93)/2</f>
        <v>75</v>
      </c>
      <c r="H93" s="485">
        <f>ROUND((C93+D93+E93+F93)/4,0)</f>
        <v>70</v>
      </c>
      <c r="I93" s="485">
        <f>ROUND((C93+D93)/2,0)</f>
        <v>85</v>
      </c>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t="str">
        <f>B29</f>
        <v>有无产权证</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3" t="s">
        <v>3401</v>
      </c>
      <c r="D100" s="3454" t="s">
        <v>3402</v>
      </c>
      <c r="E100" s="3454" t="s">
        <v>3403</v>
      </c>
      <c r="F100" s="3454" t="s">
        <v>3404</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v>500</v>
      </c>
      <c r="I103" s="544">
        <v>600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509">
        <v>94</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2" t="s">
        <v>3405</v>
      </c>
      <c r="D105" s="3452" t="s">
        <v>3406</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2" t="s">
        <v>3407</v>
      </c>
      <c r="D107" s="3452" t="s">
        <v>3408</v>
      </c>
      <c r="E107" s="3452" t="s">
        <v>3409</v>
      </c>
      <c r="F107" s="3455" t="s">
        <v>3410</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95</v>
      </c>
      <c r="E108" s="493">
        <f t="shared" si="25"/>
        <v>90</v>
      </c>
      <c r="F108" s="493">
        <f t="shared" si="25"/>
        <v>85</v>
      </c>
      <c r="G108" s="493">
        <f t="shared" si="25"/>
        <v>80</v>
      </c>
      <c r="H108" s="493">
        <f t="shared" si="25"/>
        <v>75</v>
      </c>
      <c r="I108" s="493">
        <f t="shared" si="25"/>
        <v>70</v>
      </c>
      <c r="J108" s="493">
        <f t="shared" si="25"/>
        <v>65</v>
      </c>
      <c r="K108" s="493">
        <f t="shared" si="25"/>
        <v>60</v>
      </c>
      <c r="L108" s="493">
        <f t="shared" si="25"/>
        <v>55</v>
      </c>
      <c r="M108" s="494">
        <f t="shared" si="25"/>
        <v>50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2" t="s">
        <v>3432</v>
      </c>
      <c r="D112" s="3452" t="s">
        <v>3434</v>
      </c>
      <c r="E112" s="3452" t="s">
        <v>3435</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2" t="s">
        <v>3411</v>
      </c>
      <c r="D114" s="3452" t="s">
        <v>3412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2" t="s">
        <v>3413</v>
      </c>
      <c r="D116" s="3452" t="s">
        <v>3414</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5" t="s">
        <v>3415</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2" t="s">
        <v>3407</v>
      </c>
      <c r="D122" s="3452" t="s">
        <v>3408</v>
      </c>
      <c r="E122" s="3452" t="s">
        <v>3409</v>
      </c>
      <c r="F122" s="3455" t="s">
        <v>3410</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0</v>
      </c>
      <c r="C126" s="3452" t="s">
        <v>3446</v>
      </c>
      <c r="D126" s="3452" t="s">
        <v>3447</v>
      </c>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v>95</v>
      </c>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66" priority="20"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H59" sqref="H59:N5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282.82470000000001</v>
      </c>
      <c r="C2" s="1386" t="s">
        <v>879</v>
      </c>
      <c r="D2" s="1470">
        <f ca="1">C40+J29+L46</f>
        <v>2828247</v>
      </c>
      <c r="E2" s="1387" t="s">
        <v>880</v>
      </c>
      <c r="F2" s="1388"/>
      <c r="G2" s="2705"/>
      <c r="H2" s="2694"/>
      <c r="I2" s="2694"/>
      <c r="J2" s="2694"/>
      <c r="K2" s="2695"/>
      <c r="L2" s="2694"/>
      <c r="M2" s="2694"/>
    </row>
    <row r="3" spans="1:37" ht="18" customHeight="1" thickBot="1">
      <c r="A3" s="1389" t="s">
        <v>881</v>
      </c>
      <c r="B3" s="1390">
        <f ca="1">IF(ISERROR(D2/F43),0,ROUND(D2/F43,0))</f>
        <v>19480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232164</v>
      </c>
      <c r="D5" s="1363" t="s">
        <v>889</v>
      </c>
      <c r="E5" s="1070"/>
      <c r="F5" s="1071"/>
      <c r="G5" s="1383"/>
      <c r="H5" s="299">
        <v>1</v>
      </c>
      <c r="I5" s="300" t="s">
        <v>888</v>
      </c>
      <c r="J5" s="1069">
        <f ca="1">J6+J10+J12</f>
        <v>0</v>
      </c>
      <c r="K5" s="1363" t="s">
        <v>889</v>
      </c>
      <c r="L5" s="1070"/>
      <c r="M5" s="1071"/>
    </row>
    <row r="6" spans="1:37" ht="18" customHeight="1">
      <c r="A6" s="1068" t="s">
        <v>398</v>
      </c>
      <c r="B6" s="3701" t="s">
        <v>694</v>
      </c>
      <c r="C6" s="1073">
        <f ca="1">ROUND(F6*F8*F7*(1-F9),0)</f>
        <v>231585</v>
      </c>
      <c r="D6" s="155" t="s">
        <v>2105</v>
      </c>
      <c r="E6" s="302" t="s">
        <v>696</v>
      </c>
      <c r="F6" s="303">
        <f ca="1">INDIRECT("'数据-取费表'!u"&amp;$G$1)</f>
        <v>4.5999999999999996</v>
      </c>
      <c r="G6" s="1383"/>
      <c r="H6" s="1068" t="s">
        <v>398</v>
      </c>
      <c r="I6" s="3701" t="s">
        <v>694</v>
      </c>
      <c r="J6" s="301">
        <f ca="1">ROUND(M6*M8*M7*(1-M9),0)</f>
        <v>0</v>
      </c>
      <c r="K6" s="1375" t="s">
        <v>2106</v>
      </c>
      <c r="L6" s="302" t="s">
        <v>696</v>
      </c>
      <c r="M6" s="303">
        <f ca="1">INDIRECT("'数据-取费表'!z"&amp;$G$1)</f>
        <v>0</v>
      </c>
    </row>
    <row r="7" spans="1:37" ht="18" customHeight="1">
      <c r="A7" s="1072"/>
      <c r="B7" s="3702"/>
      <c r="C7" s="1074"/>
      <c r="D7" s="307"/>
      <c r="E7" s="1075" t="s">
        <v>697</v>
      </c>
      <c r="F7" s="303">
        <f ca="1">IF(INDIRECT("'数据-取费表'!ah"&amp;$G$1)="",INDIRECT("'数据-取费表'!k"&amp;$G$1),INDIRECT("'数据-取费表'!ah"&amp;$G$1))</f>
        <v>145.19</v>
      </c>
      <c r="G7" s="1383"/>
      <c r="H7" s="304"/>
      <c r="I7" s="3702"/>
      <c r="J7" s="306"/>
      <c r="K7" s="307"/>
      <c r="L7" s="302" t="s">
        <v>697</v>
      </c>
      <c r="M7" s="303">
        <f ca="1">F7</f>
        <v>145.19</v>
      </c>
    </row>
    <row r="8" spans="1:37" ht="18" customHeight="1">
      <c r="A8" s="304"/>
      <c r="B8" s="3702"/>
      <c r="C8" s="306"/>
      <c r="D8" s="307"/>
      <c r="E8" s="302" t="s">
        <v>698</v>
      </c>
      <c r="F8" s="303">
        <f ca="1">INDIRECT("'数据-取费表'!ai"&amp;$G$1)</f>
        <v>365</v>
      </c>
      <c r="G8" s="1383"/>
      <c r="H8" s="304"/>
      <c r="I8" s="3702"/>
      <c r="J8" s="306"/>
      <c r="K8" s="307"/>
      <c r="L8" s="302" t="s">
        <v>698</v>
      </c>
      <c r="M8" s="303">
        <f ca="1">INDIRECT("'数据-取费表'!ai"&amp;$G$1)</f>
        <v>365</v>
      </c>
    </row>
    <row r="9" spans="1:37" ht="18" customHeight="1">
      <c r="A9" s="304"/>
      <c r="B9" s="3703"/>
      <c r="C9" s="306"/>
      <c r="D9" s="307"/>
      <c r="E9" s="302" t="s">
        <v>699</v>
      </c>
      <c r="F9" s="312">
        <f ca="1">INDIRECT("'数据-取费表'!w"&amp;$G$1)</f>
        <v>0.05</v>
      </c>
      <c r="G9" s="1383"/>
      <c r="H9" s="304"/>
      <c r="I9" s="3703"/>
      <c r="J9" s="306"/>
      <c r="K9" s="307"/>
      <c r="L9" s="313" t="s">
        <v>699</v>
      </c>
      <c r="M9" s="314">
        <f ca="1">INDIRECT("'数据-取费表'!ab"&amp;$G$1)</f>
        <v>0</v>
      </c>
    </row>
    <row r="10" spans="1:37" ht="18" customHeight="1">
      <c r="A10" s="1068" t="s">
        <v>402</v>
      </c>
      <c r="B10" s="1364" t="s">
        <v>700</v>
      </c>
      <c r="C10" s="316">
        <f ca="1">ROUND(IF(F10="押一",C6/12*F11,IF(F10="押二",C6/12*2*F11,IF(F10="押三",C6/12*3*F11,C11*F11))),0)</f>
        <v>579</v>
      </c>
      <c r="D10" s="1365" t="s">
        <v>2115</v>
      </c>
      <c r="E10" s="313" t="s">
        <v>701</v>
      </c>
      <c r="F10" s="1115" t="s">
        <v>3387</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625322</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580760</v>
      </c>
      <c r="D14" s="1344" t="s">
        <v>708</v>
      </c>
      <c r="E14" s="1341"/>
      <c r="F14" s="319"/>
      <c r="G14" s="1383"/>
      <c r="H14" s="981" t="s">
        <v>398</v>
      </c>
      <c r="I14" s="302" t="s">
        <v>709</v>
      </c>
      <c r="J14" s="21">
        <f ca="1">C29</f>
        <v>868503</v>
      </c>
      <c r="K14" s="12"/>
      <c r="L14" s="806"/>
      <c r="M14" s="807"/>
    </row>
    <row r="15" spans="1:37" s="1396" customFormat="1" ht="18" customHeight="1" thickBot="1">
      <c r="A15" s="981" t="s">
        <v>399</v>
      </c>
      <c r="B15" s="302" t="s">
        <v>710</v>
      </c>
      <c r="C15" s="21">
        <f ca="1">ROUND(C14*F15,0)</f>
        <v>17423</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8685</v>
      </c>
      <c r="K16" s="1086" t="s">
        <v>715</v>
      </c>
      <c r="L16" s="1087"/>
      <c r="M16" s="1071"/>
    </row>
    <row r="17" spans="1:37" s="1396" customFormat="1" ht="18" customHeight="1">
      <c r="A17" s="981" t="s">
        <v>681</v>
      </c>
      <c r="B17" s="302" t="s">
        <v>716</v>
      </c>
      <c r="C17" s="21">
        <f ca="1">ROUND(F17*(F43+INDIRECT("'数据-取费表'!S"&amp;$G$1)),0)</f>
        <v>29038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8711</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635932</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12719</v>
      </c>
      <c r="D20" s="323" t="s">
        <v>729</v>
      </c>
      <c r="E20" s="302" t="s">
        <v>712</v>
      </c>
      <c r="F20" s="322">
        <f>'数据-取费表'!B37</f>
        <v>0.02</v>
      </c>
      <c r="G20" s="1395"/>
      <c r="H20" s="981"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8685</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22379</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-8685</v>
      </c>
      <c r="K25" s="1094" t="s">
        <v>753</v>
      </c>
      <c r="L25" s="1095"/>
      <c r="M25" s="1096"/>
    </row>
    <row r="26" spans="1:37" ht="18" customHeight="1">
      <c r="A26" s="981" t="s">
        <v>397</v>
      </c>
      <c r="B26" s="302" t="s">
        <v>754</v>
      </c>
      <c r="C26" s="21">
        <f ca="1">ROUND((C19+C20)*F26,0)</f>
        <v>129730</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868503</v>
      </c>
      <c r="D29" s="1091"/>
      <c r="E29" s="1089"/>
      <c r="F29" s="1092"/>
      <c r="G29" s="1395"/>
      <c r="H29" s="334" t="s">
        <v>396</v>
      </c>
      <c r="I29" s="335" t="s">
        <v>768</v>
      </c>
      <c r="J29" s="336">
        <f ca="1">ROUND(J26/(1+F40)^F41,0)</f>
        <v>0</v>
      </c>
      <c r="K29" s="337" t="s">
        <v>769</v>
      </c>
      <c r="L29" s="338"/>
      <c r="M29" s="339">
        <f ca="1">INDIRECT("'数据-取费表'!k"&amp;$G$1)</f>
        <v>145.19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50450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38818</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IF(项目基本情况!B11="自然人","——",ROUND(C6*F32/(1+'数据-取费表'!C42),0))</f>
        <v>12351</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26467</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8685</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625</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2322</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181714</v>
      </c>
      <c r="D39" s="1094" t="s">
        <v>773</v>
      </c>
      <c r="E39" s="1095"/>
      <c r="F39" s="1096"/>
      <c r="G39" s="1383"/>
      <c r="H39" s="2699"/>
      <c r="I39" s="1397"/>
      <c r="J39" s="1398"/>
      <c r="K39" s="2703"/>
      <c r="L39" s="2699"/>
      <c r="M39" s="2699"/>
    </row>
    <row r="40" spans="1:18" ht="18" customHeight="1">
      <c r="A40" s="299" t="s">
        <v>395</v>
      </c>
      <c r="B40" s="300" t="s">
        <v>774</v>
      </c>
      <c r="C40" s="301">
        <f ca="1">ROUND(C39*(1-((1+F42)/(1+F40))^F41)/(F40-F42),0)</f>
        <v>2752170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21</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18956</v>
      </c>
      <c r="D43" s="337" t="s">
        <v>777</v>
      </c>
      <c r="E43" s="338" t="s">
        <v>778</v>
      </c>
      <c r="F43" s="339">
        <f ca="1">INDIRECT("'数据-取费表'!k"&amp;$G$1)</f>
        <v>145.19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3346</v>
      </c>
      <c r="B45" s="1399"/>
      <c r="C45" s="1471">
        <f ca="1">ROUND((C68-C40)/10000,4)</f>
        <v>-286.64530000000002</v>
      </c>
      <c r="D45" s="3431" t="s">
        <v>3347</v>
      </c>
      <c r="E45" s="1399"/>
      <c r="F45" s="1399"/>
      <c r="O45" s="1402" t="s">
        <v>808</v>
      </c>
      <c r="P45" s="1460"/>
      <c r="Q45" s="1460"/>
      <c r="R45" s="1460"/>
    </row>
    <row r="46" spans="1:18" s="1383" customFormat="1" ht="13.5" thickBot="1">
      <c r="A46" s="1403" t="s">
        <v>809</v>
      </c>
      <c r="C46" s="1404">
        <f ca="1">ROUND(C45,0)</f>
        <v>-287</v>
      </c>
      <c r="D46" s="1405" t="str">
        <f>C2</f>
        <v>万元</v>
      </c>
      <c r="I46" s="1406" t="s">
        <v>810</v>
      </c>
      <c r="J46" s="1407"/>
      <c r="K46" s="1408"/>
      <c r="L46" s="1409">
        <f ca="1">IF(M47="住宅",0,IF(L48&gt;J51,L60,J60))</f>
        <v>76077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3388</v>
      </c>
      <c r="K47" s="1415" t="s">
        <v>816</v>
      </c>
      <c r="L47" s="1416">
        <f ca="1">INDIRECT("'数据-取费表'!d"&amp;$G$1)</f>
        <v>40</v>
      </c>
      <c r="M47" s="1379" t="str">
        <f>IF(ISNUMBER(FIND("住宅",C1)),"住宅","非住宅")</f>
        <v>非住宅</v>
      </c>
      <c r="O47" s="1417" t="s">
        <v>403</v>
      </c>
      <c r="P47" s="1418" t="s">
        <v>817</v>
      </c>
      <c r="Q47" s="1419">
        <f ca="1">C40+J29</f>
        <v>2752170</v>
      </c>
      <c r="R47" s="1419" t="s">
        <v>818</v>
      </c>
    </row>
    <row r="48" spans="1:18" s="1383" customFormat="1" ht="28.5" thickBot="1">
      <c r="A48" s="1109" t="s">
        <v>438</v>
      </c>
      <c r="B48" s="300" t="s">
        <v>692</v>
      </c>
      <c r="C48" s="1358">
        <f ca="1">C49+C53+C55</f>
        <v>0</v>
      </c>
      <c r="D48" s="1111"/>
      <c r="E48" s="1112"/>
      <c r="F48" s="961"/>
      <c r="G48" s="721"/>
      <c r="H48" s="722"/>
      <c r="I48" s="1420" t="s">
        <v>819</v>
      </c>
      <c r="J48" s="1421" t="s">
        <v>3389</v>
      </c>
      <c r="K48" s="1422" t="s">
        <v>820</v>
      </c>
      <c r="L48" s="1423">
        <f ca="1">INDIRECT("'数据-取费表'!f"&amp;$G$1)</f>
        <v>21</v>
      </c>
      <c r="O48" s="1417" t="s">
        <v>404</v>
      </c>
      <c r="P48" s="1418" t="s">
        <v>821</v>
      </c>
      <c r="Q48" s="1419">
        <f ca="1">J60</f>
        <v>76077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2006</v>
      </c>
      <c r="K49" s="1422" t="s">
        <v>824</v>
      </c>
      <c r="L49" s="1426"/>
      <c r="O49" s="1427" t="s">
        <v>405</v>
      </c>
      <c r="P49" s="1418" t="s">
        <v>825</v>
      </c>
      <c r="Q49" s="1419">
        <f ca="1">C29</f>
        <v>868503</v>
      </c>
      <c r="R49" s="1419" t="s">
        <v>818</v>
      </c>
    </row>
    <row r="50" spans="1:18" s="1383" customFormat="1" ht="13.5" thickBot="1">
      <c r="A50" s="975"/>
      <c r="B50" s="978"/>
      <c r="C50" s="979"/>
      <c r="D50" s="952"/>
      <c r="E50" s="1055" t="s">
        <v>697</v>
      </c>
      <c r="F50" s="1056">
        <f ca="1">F7</f>
        <v>145.19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43</v>
      </c>
      <c r="K51" s="1433" t="s">
        <v>830</v>
      </c>
      <c r="L51" s="1434">
        <f ca="1">ROUND(-PV(INDIRECT("'数据-取费表'!h"&amp;$G$1),J51,(C39-C13*C76),0),0)</f>
        <v>2365449</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21</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21</v>
      </c>
      <c r="K53" s="3704" t="s">
        <v>837</v>
      </c>
      <c r="L53" s="3705"/>
      <c r="O53" s="1417" t="s">
        <v>409</v>
      </c>
      <c r="P53" s="1418" t="s">
        <v>838</v>
      </c>
      <c r="Q53" s="1419">
        <f ca="1">Q47+Q48</f>
        <v>2828247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625322</v>
      </c>
      <c r="D56" s="1446"/>
      <c r="E56" s="1447"/>
      <c r="F56" s="1439"/>
      <c r="I56" s="1448" t="s">
        <v>842</v>
      </c>
      <c r="J56" s="1449" t="s">
        <v>3390</v>
      </c>
      <c r="K56" s="1420" t="s">
        <v>843</v>
      </c>
      <c r="L56" s="1423" t="str">
        <f ca="1">IF(L48&lt;J51,"——",L48-J51)</f>
        <v>——</v>
      </c>
      <c r="O56" s="1417" t="s">
        <v>403</v>
      </c>
      <c r="P56" s="1418" t="s">
        <v>817</v>
      </c>
      <c r="Q56" s="1419">
        <f ca="1">C40+J29</f>
        <v>2752170</v>
      </c>
      <c r="R56" s="1419" t="s">
        <v>818</v>
      </c>
    </row>
    <row r="57" spans="1:18" s="1383" customFormat="1" ht="24.75" thickBot="1">
      <c r="A57" s="1450"/>
      <c r="B57" s="949" t="s">
        <v>767</v>
      </c>
      <c r="C57" s="238">
        <f ca="1">C29</f>
        <v>868503</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9310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347401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76077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12</v>
      </c>
      <c r="I62" s="1461" t="s">
        <v>858</v>
      </c>
      <c r="J62" s="1462" t="s">
        <v>859</v>
      </c>
      <c r="K62" s="1462" t="s">
        <v>860</v>
      </c>
      <c r="L62" s="1462" t="s">
        <v>861</v>
      </c>
      <c r="M62" s="1463" t="s">
        <v>862</v>
      </c>
      <c r="O62" s="1417" t="s">
        <v>409</v>
      </c>
      <c r="P62" s="1418" t="s">
        <v>863</v>
      </c>
      <c r="Q62" s="1419">
        <f ca="1">Q56+Q57</f>
        <v>2752170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8685</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625</v>
      </c>
      <c r="D65" s="963" t="s">
        <v>743</v>
      </c>
      <c r="E65" s="949" t="s">
        <v>744</v>
      </c>
      <c r="F65" s="330">
        <f t="shared" ca="1" si="0"/>
        <v>1E-3</v>
      </c>
      <c r="I65" s="1461" t="s">
        <v>867</v>
      </c>
      <c r="J65" s="1462">
        <v>40</v>
      </c>
      <c r="K65" s="1462">
        <v>30</v>
      </c>
      <c r="L65" s="1462">
        <v>50</v>
      </c>
      <c r="M65" s="1464">
        <v>0.02</v>
      </c>
      <c r="O65" s="1417" t="s">
        <v>403</v>
      </c>
      <c r="P65" s="1418" t="s">
        <v>868</v>
      </c>
      <c r="Q65" s="1419">
        <f ca="1">C40+J29</f>
        <v>2752170</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-9310</v>
      </c>
      <c r="D67" s="962" t="s">
        <v>753</v>
      </c>
      <c r="E67" s="967"/>
      <c r="F67" s="968"/>
      <c r="O67" s="1427" t="s">
        <v>405</v>
      </c>
      <c r="P67" s="1418" t="s">
        <v>850</v>
      </c>
      <c r="Q67" s="1465">
        <f ca="1">L51</f>
        <v>2365449</v>
      </c>
      <c r="R67" s="1419" t="s">
        <v>870</v>
      </c>
    </row>
    <row r="68" spans="1:18" s="1383" customFormat="1" ht="16.5" thickBot="1">
      <c r="A68" s="946" t="s">
        <v>395</v>
      </c>
      <c r="B68" s="947" t="s">
        <v>774</v>
      </c>
      <c r="C68" s="301">
        <f ca="1">ROUND(C67*(1-((1+F70)/(1+F68))^F69)/(F68-F70),0)</f>
        <v>-114283</v>
      </c>
      <c r="D68" s="964" t="s">
        <v>758</v>
      </c>
      <c r="E68" s="949" t="s">
        <v>759</v>
      </c>
      <c r="F68" s="312">
        <f ca="1">F40</f>
        <v>5.5E-2</v>
      </c>
      <c r="O68" s="1427" t="s">
        <v>406</v>
      </c>
      <c r="P68" s="1466" t="s">
        <v>871</v>
      </c>
      <c r="Q68" s="1419">
        <f ca="1">ROUND(Q69-Q70*Q71,0)</f>
        <v>134815</v>
      </c>
      <c r="R68" s="1419" t="s">
        <v>414</v>
      </c>
    </row>
    <row r="69" spans="1:18" s="1383" customFormat="1" ht="13.5" thickBot="1">
      <c r="A69" s="950"/>
      <c r="B69" s="951"/>
      <c r="C69" s="306"/>
      <c r="D69" s="969" t="s">
        <v>762</v>
      </c>
      <c r="E69" s="949" t="s">
        <v>763</v>
      </c>
      <c r="F69" s="333">
        <f ca="1">F41</f>
        <v>21</v>
      </c>
      <c r="O69" s="1427" t="s">
        <v>411</v>
      </c>
      <c r="P69" s="1466" t="s">
        <v>872</v>
      </c>
      <c r="Q69" s="1419">
        <f ca="1">C39</f>
        <v>181714</v>
      </c>
      <c r="R69" s="1419" t="s">
        <v>818</v>
      </c>
    </row>
    <row r="70" spans="1:18" s="1383" customFormat="1" ht="13.5" thickBot="1">
      <c r="A70" s="953"/>
      <c r="B70" s="954"/>
      <c r="C70" s="310"/>
      <c r="D70" s="965"/>
      <c r="E70" s="949" t="s">
        <v>766</v>
      </c>
      <c r="F70" s="1053"/>
      <c r="O70" s="1427" t="s">
        <v>412</v>
      </c>
      <c r="P70" s="1466" t="s">
        <v>873</v>
      </c>
      <c r="Q70" s="1419">
        <f ca="1">C13</f>
        <v>625322</v>
      </c>
      <c r="R70" s="1419" t="s">
        <v>818</v>
      </c>
    </row>
    <row r="71" spans="1:18" s="1383" customFormat="1" ht="13.5" thickBot="1">
      <c r="A71" s="970" t="s">
        <v>396</v>
      </c>
      <c r="B71" s="971" t="s">
        <v>776</v>
      </c>
      <c r="C71" s="336">
        <f ca="1">ROUND(C68/F71,0)</f>
        <v>-787</v>
      </c>
      <c r="D71" s="972" t="s">
        <v>777</v>
      </c>
      <c r="E71" s="973" t="s">
        <v>778</v>
      </c>
      <c r="F71" s="339">
        <f ca="1">F43</f>
        <v>145.19</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46899</v>
      </c>
      <c r="D75" s="1383"/>
      <c r="E75" s="1383"/>
      <c r="F75" s="1383"/>
      <c r="K75" s="1401"/>
      <c r="L75" s="1383"/>
      <c r="O75" s="1417" t="s">
        <v>409</v>
      </c>
      <c r="P75" s="1418" t="s">
        <v>838</v>
      </c>
      <c r="Q75" s="1419">
        <f ca="1">Q65+Q66</f>
        <v>2752170</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0.74199999999999999</v>
      </c>
    </row>
    <row r="80" spans="1:18">
      <c r="B80" s="340" t="s">
        <v>800</v>
      </c>
      <c r="C80" s="274">
        <f ca="1">ROUND(C75/C39,3)</f>
        <v>0.25800000000000001</v>
      </c>
    </row>
    <row r="81" spans="2:3">
      <c r="B81" s="270" t="s">
        <v>801</v>
      </c>
      <c r="C81" s="238"/>
    </row>
    <row r="82" spans="2:3">
      <c r="B82" s="273" t="s">
        <v>802</v>
      </c>
      <c r="C82" s="275">
        <f ca="1">1-C83</f>
        <v>0.77300000000000002</v>
      </c>
    </row>
    <row r="83" spans="2:3">
      <c r="B83" s="273" t="s">
        <v>803</v>
      </c>
      <c r="C83" s="274">
        <f ca="1">ROUND(C13/C40,3)</f>
        <v>0.22700000000000001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3" sqref="V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09" t="s">
        <v>2084</v>
      </c>
      <c r="D1" s="3710"/>
      <c r="E1" s="3710"/>
      <c r="F1" s="3710"/>
      <c r="G1" s="3710"/>
      <c r="H1" s="3710"/>
      <c r="I1" s="3710"/>
      <c r="J1" s="3710"/>
      <c r="K1" s="3710"/>
      <c r="L1" s="3710"/>
      <c r="M1" s="3710"/>
      <c r="N1" s="3710"/>
      <c r="O1" s="3710"/>
      <c r="P1" s="3710"/>
      <c r="Q1" s="3710"/>
      <c r="R1" s="3710"/>
      <c r="S1" s="3711"/>
      <c r="T1" s="982" t="s">
        <v>2085</v>
      </c>
    </row>
    <row r="2" spans="1:45" s="654" customFormat="1" ht="38.25">
      <c r="A2" s="983"/>
      <c r="B2" s="650" t="s">
        <v>2086</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500(含)-600</v>
      </c>
      <c r="I2" s="652" t="str">
        <f t="shared" si="0"/>
        <v>600(含)-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4">
        <v>300</v>
      </c>
      <c r="G3" s="1304">
        <v>400</v>
      </c>
      <c r="H3" s="1304">
        <v>500</v>
      </c>
      <c r="I3" s="1304">
        <v>600</v>
      </c>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v>99</v>
      </c>
      <c r="E4" s="989">
        <v>98</v>
      </c>
      <c r="F4" s="1308">
        <v>97</v>
      </c>
      <c r="G4" s="1308">
        <v>96</v>
      </c>
      <c r="H4" s="1308">
        <v>95</v>
      </c>
      <c r="I4" s="1308">
        <v>94</v>
      </c>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ht="25.5">
      <c r="A17" s="2147" t="s">
        <v>2093</v>
      </c>
      <c r="B17" s="2148" t="s">
        <v>2094</v>
      </c>
      <c r="C17" s="1009" t="s">
        <v>3443</v>
      </c>
      <c r="D17" s="1010" t="s">
        <v>3470</v>
      </c>
      <c r="E17" s="1010" t="s">
        <v>3471</v>
      </c>
      <c r="F17" s="1010" t="s">
        <v>3472</v>
      </c>
      <c r="G17" s="1010" t="s">
        <v>3473</v>
      </c>
      <c r="H17" s="1010" t="s">
        <v>3453</v>
      </c>
      <c r="I17" s="1010" t="s">
        <v>3441</v>
      </c>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v>70</v>
      </c>
      <c r="E18" s="1022">
        <v>60</v>
      </c>
      <c r="F18" s="1022">
        <v>50</v>
      </c>
      <c r="G18" s="1022">
        <v>75</v>
      </c>
      <c r="H18" s="1022">
        <v>70</v>
      </c>
      <c r="I18" s="1022">
        <v>85</v>
      </c>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1423</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28055</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507.22</v>
      </c>
      <c r="C22" s="3706" t="s">
        <v>27</v>
      </c>
      <c r="D22" s="3707"/>
      <c r="E22" s="3707"/>
      <c r="F22" s="3707"/>
      <c r="G22" s="3707"/>
      <c r="H22" s="3707"/>
      <c r="I22" s="3707"/>
      <c r="J22" s="3707"/>
      <c r="K22" s="3707"/>
      <c r="L22" s="3707"/>
      <c r="M22" s="3707"/>
      <c r="N22" s="3707"/>
      <c r="O22" s="3707"/>
      <c r="P22" s="3707"/>
      <c r="Q22" s="3708"/>
      <c r="R22" s="662">
        <f ca="1">ROUND(S22*10000/B22,0)</f>
        <v>28055</v>
      </c>
      <c r="S22" s="21">
        <f ca="1">SUM(S24:S10000)</f>
        <v>1423</v>
      </c>
      <c r="T22" s="724">
        <f ca="1">SUM(T24:T27)</f>
        <v>14230453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7" t="s">
        <v>3466</v>
      </c>
      <c r="B24" s="664">
        <f>'数据-基础表'!I13</f>
        <v>145.19</v>
      </c>
      <c r="C24" s="2809">
        <v>1</v>
      </c>
      <c r="D24" s="2810"/>
      <c r="E24" s="2809">
        <v>1</v>
      </c>
      <c r="F24" s="2810"/>
      <c r="G24" s="2809">
        <v>1</v>
      </c>
      <c r="H24" s="2810"/>
      <c r="I24" s="2809">
        <v>1</v>
      </c>
      <c r="J24" s="2810"/>
      <c r="K24" s="2809">
        <v>1</v>
      </c>
      <c r="L24" s="2810"/>
      <c r="M24" s="2809">
        <v>1</v>
      </c>
      <c r="N24" s="2810"/>
      <c r="O24" s="2809">
        <v>1</v>
      </c>
      <c r="P24" s="2810" t="s">
        <v>3443</v>
      </c>
      <c r="Q24" s="2809">
        <v>1</v>
      </c>
      <c r="R24" s="667">
        <f ca="1">结果表!G20</f>
        <v>38448</v>
      </c>
      <c r="S24" s="665">
        <f t="shared" ref="S24:S54" ca="1" si="11">ROUND(R24*B24/10000,0)</f>
        <v>558</v>
      </c>
      <c r="T24" s="729">
        <f ca="1">ROUND(R24*B24,0)</f>
        <v>5582265</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3468" t="s">
        <v>3467</v>
      </c>
      <c r="B25" s="664">
        <f>'数据-基础表'!I14</f>
        <v>145.19</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3470</v>
      </c>
      <c r="Q25" s="21">
        <f>(SUMIF($17:$17,P25,$18:$18)-SUMIF($17:$17,$P$24,$18:$18)+100)/100</f>
        <v>0.7</v>
      </c>
      <c r="R25" s="662">
        <f ca="1">IF(B25="",0,ROUND($R$24*C25*E25*G25*I25*K25*M25*O25*Q25,0))</f>
        <v>26914</v>
      </c>
      <c r="S25" s="316">
        <f t="shared" ca="1" si="11"/>
        <v>391</v>
      </c>
      <c r="T25" s="729">
        <f t="shared" ref="T25:T27" ca="1" si="12">ROUND(R25*B25,0)</f>
        <v>3907644</v>
      </c>
    </row>
    <row r="26" spans="1:45">
      <c r="A26" s="3468" t="s">
        <v>3468</v>
      </c>
      <c r="B26" s="664">
        <f>'数据-基础表'!I15</f>
        <v>145.19</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t="s">
        <v>3471</v>
      </c>
      <c r="Q26" s="21">
        <f t="shared" ref="Q26:Q89" si="20">(SUMIF($17:$17,P26,$18:$18)-SUMIF($17:$17,$P$24,$18:$18)+100)/100</f>
        <v>0.6</v>
      </c>
      <c r="R26" s="662">
        <f t="shared" ref="R26:R89" ca="1" si="21">IF(B26="",0,ROUND($R$24*C26*E26*G26*I26*K26*M26*O26*Q26,0))</f>
        <v>23069</v>
      </c>
      <c r="S26" s="316">
        <f t="shared" ca="1" si="11"/>
        <v>335</v>
      </c>
      <c r="T26" s="729">
        <f t="shared" ca="1" si="12"/>
        <v>3349388</v>
      </c>
    </row>
    <row r="27" spans="1:45">
      <c r="A27" s="3468" t="s">
        <v>3469</v>
      </c>
      <c r="B27" s="664">
        <f>'数据-基础表'!I16</f>
        <v>71.650000000000006</v>
      </c>
      <c r="C27" s="21">
        <f t="shared" si="13"/>
        <v>1.01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t="s">
        <v>3472</v>
      </c>
      <c r="Q27" s="21">
        <f t="shared" si="20"/>
        <v>0.5</v>
      </c>
      <c r="R27" s="662">
        <f t="shared" ca="1" si="21"/>
        <v>19416</v>
      </c>
      <c r="S27" s="316">
        <f t="shared" ca="1" si="11"/>
        <v>139</v>
      </c>
      <c r="T27" s="729">
        <f t="shared" ca="1" si="12"/>
        <v>1391156</v>
      </c>
    </row>
    <row r="28" spans="1:45">
      <c r="A28" s="150"/>
      <c r="B28" s="54"/>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0</v>
      </c>
      <c r="R28" s="662">
        <f t="shared" si="21"/>
        <v>0</v>
      </c>
      <c r="S28" s="316">
        <f t="shared" si="11"/>
        <v>0</v>
      </c>
    </row>
    <row r="29" spans="1:45">
      <c r="A29" s="150"/>
      <c r="B29" s="54"/>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0</v>
      </c>
      <c r="R29" s="662">
        <f t="shared" si="21"/>
        <v>0</v>
      </c>
      <c r="S29" s="316">
        <f t="shared" si="11"/>
        <v>0</v>
      </c>
    </row>
    <row r="30" spans="1:45">
      <c r="A30" s="150"/>
      <c r="B30" s="5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0</v>
      </c>
      <c r="R30" s="662">
        <f t="shared" si="21"/>
        <v>0</v>
      </c>
      <c r="S30" s="316">
        <f t="shared" si="11"/>
        <v>0</v>
      </c>
    </row>
    <row r="31" spans="1:45">
      <c r="A31" s="150"/>
      <c r="B31" s="5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0</v>
      </c>
      <c r="R31" s="662">
        <f t="shared" si="21"/>
        <v>0</v>
      </c>
      <c r="S31" s="316">
        <f t="shared" si="11"/>
        <v>0</v>
      </c>
    </row>
    <row r="32" spans="1:45">
      <c r="A32" s="150"/>
      <c r="B32" s="5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0</v>
      </c>
      <c r="R32" s="662">
        <f t="shared" si="21"/>
        <v>0</v>
      </c>
      <c r="S32" s="316">
        <f t="shared" si="11"/>
        <v>0</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0</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0</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0</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0</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0</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0</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0</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0</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0</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0</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0</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0</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0</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0</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0</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0</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0</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0</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0</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0</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0</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0</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0</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0</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0</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0</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0</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0</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0</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0</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0</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0</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0</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0</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0</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0</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0</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0</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0</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0</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0</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0</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0</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0</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0</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0</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0</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0</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0</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0</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0</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0</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0</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0</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0</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0</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0</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0</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0</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0</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0</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0</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0</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0</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0</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0</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0</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0</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0</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0</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0</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0</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0</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0</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0</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0</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0</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0</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0</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0</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0</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0</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0</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0</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0</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0</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0</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0</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0</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0</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0</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0</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0</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0</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0</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0</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0</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0</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0</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0</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0</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0</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0</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0</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0</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0</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0</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0</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0</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0</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0</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0</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0</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0</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0</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0</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0</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0</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0</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0</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0</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0</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0</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0</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0</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0</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0</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0</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0</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0</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0</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0</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0</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0</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0</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0</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0</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0</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0</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0</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0</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0</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0</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0</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0</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0</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0</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0</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0</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0</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0</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0</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0</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0</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0</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0</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0</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0</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0</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0</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0</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0</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0</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0</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0</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0</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0</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0</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0</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0</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0</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0</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0</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0</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0</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0</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0</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0</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0</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0</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0</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0</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0</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0</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0</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0</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0</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0</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0</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0</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0</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0</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0</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0</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0</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0</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0</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0</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0</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0</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0</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0</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0</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0</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0</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0</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0</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0</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0</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0</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0</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0</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0</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0</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0</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0</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0</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0</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0</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0</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0</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0</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0</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0</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0</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0</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0</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0</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0</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0</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0</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0</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0</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0</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0</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0</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0</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0</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0</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0</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0</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0</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0</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0</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0</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0</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0</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0</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0</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0</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0</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0</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0</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0</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0</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0</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0</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0</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0</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0</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0</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0</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0</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0</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0</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0</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0</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0</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0</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0</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0</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0</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0</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0</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0</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0</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0</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0</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0</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0</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0</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0</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0</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0</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0</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0</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0</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0</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0</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0</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0</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0</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0</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0</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0</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0</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0</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0</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0</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0</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0</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0</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0</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0</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0</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0</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0</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0</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0</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0</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0</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0</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0</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0</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0</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0</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0</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0</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0</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0</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0</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0</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0</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0</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0</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0</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0</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0</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0</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0</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0</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0</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0</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0</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0</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0</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0</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0</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0</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0</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0</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0</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0</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0</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0</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0</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0</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0</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0</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0</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0</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0</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0</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0</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0</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0</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0</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0</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0</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0</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0</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0</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0</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0</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0</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0</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0</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0</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0</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0</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0</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0</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0</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0</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0</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0</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0</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0</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0</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0</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0</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0</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0</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0</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0</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0</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0</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0</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0</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0</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0</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0</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0</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0</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0</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0</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0</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0</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0</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0</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0</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0</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0</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0</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0</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0</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0</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0</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0</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0</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0</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0</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0</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0</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0</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0</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0</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0</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0</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0</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0</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0</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0</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0</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0</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0</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0</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0</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0</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0</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0</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0</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0</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0</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0</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0</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0</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0</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0</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0</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0</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0</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0</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0</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0</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0</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0</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0</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0</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0</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0</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0</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0</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0</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0</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0</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0</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0</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0</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0</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0</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0</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0</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0</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0</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0</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0</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0</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0</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0</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0</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0</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0</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0</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0</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0</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0</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0</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0</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0</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0</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0</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0</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0</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0</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0</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0</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0</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0</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0</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0</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0</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K43" sqref="K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673</v>
      </c>
      <c r="C1" s="1858" t="s">
        <v>1563</v>
      </c>
      <c r="D1" s="198"/>
      <c r="E1" s="198"/>
      <c r="F1" s="198"/>
      <c r="G1" s="1125">
        <f>MATCH(B1,'数据-取费表'!A6:A16,0)+5</f>
        <v>6</v>
      </c>
      <c r="H1" s="1060" t="str">
        <f>IF(ISERROR(FIND("住宅",B1)),"非住宅","住宅")</f>
        <v>非住宅</v>
      </c>
    </row>
    <row r="2" spans="1:8" s="200" customFormat="1" ht="18" customHeight="1">
      <c r="A2" s="201" t="s">
        <v>1462</v>
      </c>
      <c r="B2" s="3423">
        <f ca="1">ROUND(IF(D2="——",C52/10000,C52/10000-E2),4)</f>
        <v>308.84559999999999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21272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1753837.32</v>
      </c>
      <c r="D5" s="211" t="s">
        <v>1469</v>
      </c>
      <c r="E5" s="212" t="s">
        <v>1470</v>
      </c>
      <c r="F5" s="212" t="s">
        <v>1471</v>
      </c>
      <c r="G5" s="213"/>
    </row>
    <row r="6" spans="1:8" s="214" customFormat="1" ht="13.5" customHeight="1">
      <c r="A6" s="777" t="s">
        <v>1472</v>
      </c>
      <c r="B6" s="215" t="s">
        <v>1473</v>
      </c>
      <c r="C6" s="216">
        <f>基准地价修正!U2*基准地价修正!T2</f>
        <v>1673750.32</v>
      </c>
      <c r="D6" s="217"/>
      <c r="E6" s="218"/>
      <c r="F6" s="218"/>
      <c r="G6" s="219"/>
    </row>
    <row r="7" spans="1:8" s="214" customFormat="1" ht="13.5" customHeight="1">
      <c r="A7" s="777" t="s">
        <v>1474</v>
      </c>
      <c r="B7" s="215" t="s">
        <v>1475</v>
      </c>
      <c r="C7" s="220">
        <f>ROUND(C6*F7,0)</f>
        <v>51049</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29038</v>
      </c>
      <c r="D8" s="222"/>
      <c r="E8" s="220"/>
      <c r="F8" s="221"/>
      <c r="G8" s="1855" t="s">
        <v>3383</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29038</v>
      </c>
      <c r="D10" s="844">
        <f ca="1">IF(B1="",'数据-汇总表'!E6,IF(INDIRECT("'数据-取费表'!c"&amp;$G$1)="住宅",INDIRECT("'数据-取费表'!s"&amp;$G$1),INDIRECT("'数据-取费表'!k"&amp;$G$1)+INDIRECT("'数据-取费表'!s"&amp;$G$1)))</f>
        <v>145.19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145.19</v>
      </c>
      <c r="E19" s="211">
        <f>'数据-取费表'!B31</f>
        <v>200</v>
      </c>
      <c r="F19" s="231"/>
      <c r="G19" s="1855" t="s">
        <v>3384</v>
      </c>
    </row>
    <row r="20" spans="1:7" s="214" customFormat="1" ht="13.5" customHeight="1">
      <c r="A20" s="255" t="s">
        <v>1574</v>
      </c>
      <c r="B20" s="210" t="s">
        <v>1575</v>
      </c>
      <c r="C20" s="232">
        <f ca="1">ROUND((C5+C19)*F20,0)</f>
        <v>35077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124312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123102</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1210</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357783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357783</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2463134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635932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580760</v>
      </c>
      <c r="D34" s="217"/>
      <c r="E34" s="220"/>
      <c r="F34" s="257"/>
      <c r="G34" s="219"/>
    </row>
    <row r="35" spans="1:7" ht="13.5" customHeight="1">
      <c r="A35" s="779" t="s">
        <v>351</v>
      </c>
      <c r="B35" s="215" t="s">
        <v>1527</v>
      </c>
      <c r="C35" s="220">
        <f ca="1">ROUND(C34*F35,0)</f>
        <v>17423</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29038</v>
      </c>
      <c r="D37" s="217">
        <f ca="1">D19</f>
        <v>145.19</v>
      </c>
      <c r="E37" s="249">
        <f>'数据-取费表'!B35</f>
        <v>200</v>
      </c>
      <c r="F37" s="259"/>
      <c r="G37" s="261"/>
    </row>
    <row r="38" spans="1:7" ht="13.5" customHeight="1">
      <c r="A38" s="779" t="s">
        <v>354</v>
      </c>
      <c r="B38" s="215" t="s">
        <v>1533</v>
      </c>
      <c r="C38" s="220">
        <f ca="1">ROUND(C34*F38,0)</f>
        <v>8711</v>
      </c>
      <c r="D38" s="220"/>
      <c r="E38" s="220"/>
      <c r="F38" s="259">
        <f>'数据-取费表'!B36</f>
        <v>1.4999999999999999E-2</v>
      </c>
      <c r="G38" s="219" t="s">
        <v>1528</v>
      </c>
    </row>
    <row r="39" spans="1:7" s="214" customFormat="1" ht="13.5" customHeight="1">
      <c r="A39" s="255" t="s">
        <v>1534</v>
      </c>
      <c r="B39" s="210" t="s">
        <v>1535</v>
      </c>
      <c r="C39" s="232">
        <f ca="1">ROUND(C33*F20,0)</f>
        <v>12719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22379</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21940</v>
      </c>
      <c r="D42" s="238"/>
      <c r="E42" s="238"/>
      <c r="F42" s="239"/>
      <c r="G42" s="3652" t="s">
        <v>1591</v>
      </c>
    </row>
    <row r="43" spans="1:7" ht="13.5" customHeight="1">
      <c r="A43" s="779" t="s">
        <v>347</v>
      </c>
      <c r="B43" s="215" t="s">
        <v>1545</v>
      </c>
      <c r="C43" s="238">
        <f ca="1">ROUND(IF('数据-取费表'!B22&lt;=1,C39*F22*'数据-取费表'!B20/2,C39*(POWER((1+F22),'数据-取费表'!B20/2)-1)),0)</f>
        <v>439</v>
      </c>
      <c r="D43" s="238"/>
      <c r="E43" s="238"/>
      <c r="F43" s="239"/>
      <c r="G43" s="3653"/>
    </row>
    <row r="44" spans="1:7" ht="13.5" customHeight="1">
      <c r="A44" s="779"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129730</v>
      </c>
      <c r="D45" s="235">
        <f ca="1">C47</f>
        <v>4.0000000000000001E-3</v>
      </c>
      <c r="E45" s="236" t="s">
        <v>1539</v>
      </c>
      <c r="F45" s="246">
        <f ca="1">F27</f>
        <v>0.2</v>
      </c>
      <c r="G45" s="247" t="s">
        <v>1548</v>
      </c>
    </row>
    <row r="46" spans="1:7" s="214" customFormat="1" ht="13.5" customHeight="1">
      <c r="A46" s="779" t="s">
        <v>346</v>
      </c>
      <c r="B46" s="248" t="s">
        <v>1549</v>
      </c>
      <c r="C46" s="249">
        <f ca="1">ROUND((C33+C39)*F27,0)</f>
        <v>129730</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868503</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625322</v>
      </c>
      <c r="D51" s="232"/>
      <c r="E51" s="232"/>
      <c r="F51" s="264"/>
      <c r="G51" s="234" t="s">
        <v>1560</v>
      </c>
    </row>
    <row r="52" spans="1:7" s="208" customFormat="1" ht="16.5" thickBot="1">
      <c r="A52" s="265" t="s">
        <v>1561</v>
      </c>
      <c r="B52" s="266"/>
      <c r="C52" s="267">
        <f ca="1">C31+C51</f>
        <v>3088456</v>
      </c>
      <c r="D52" s="266"/>
      <c r="E52" s="266"/>
      <c r="F52" s="266"/>
      <c r="G52" s="268"/>
    </row>
    <row r="55" spans="1:7" ht="15">
      <c r="B55" s="270" t="s">
        <v>1562</v>
      </c>
      <c r="C55" s="271"/>
    </row>
    <row r="56" spans="1:7">
      <c r="B56" s="273" t="s">
        <v>802</v>
      </c>
      <c r="C56" s="275">
        <f ca="1">1-C57</f>
        <v>0.79800000000000004</v>
      </c>
    </row>
    <row r="57" spans="1:7">
      <c r="B57" s="273" t="s">
        <v>803</v>
      </c>
      <c r="C57" s="274">
        <f ca="1">ROUND(C51/C52,3)</f>
        <v>0.20200000000000001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145.19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145.19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9.6200000000000063E-2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145.19</v>
      </c>
      <c r="E20" s="21">
        <f>'数据-取费表'!B28</f>
        <v>200</v>
      </c>
      <c r="F20" s="803"/>
      <c r="G20" s="12"/>
      <c r="H20" s="808"/>
      <c r="I20" s="808"/>
      <c r="J20" s="808"/>
      <c r="K20" s="809"/>
    </row>
    <row r="21" spans="1:33" s="802" customFormat="1" ht="13.5" customHeight="1">
      <c r="A21" s="789" t="s">
        <v>357</v>
      </c>
      <c r="B21" s="812" t="s">
        <v>1628</v>
      </c>
      <c r="C21" s="813">
        <f ca="1">C16+C17+C18</f>
        <v>9.6200000000000063E-2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1" t="s">
        <v>694</v>
      </c>
      <c r="C6" s="1073">
        <f ca="1">ROUND(F6*F8*F7*(1-F9)/10000,0)</f>
        <v>0</v>
      </c>
      <c r="D6" s="155" t="s">
        <v>2108</v>
      </c>
      <c r="E6" s="302" t="s">
        <v>696</v>
      </c>
      <c r="F6" s="303">
        <f ca="1">INDIRECT("'数据-取费表'!u"&amp;$G$1)</f>
        <v>0</v>
      </c>
      <c r="G6" s="1383"/>
      <c r="H6" s="1068" t="s">
        <v>398</v>
      </c>
      <c r="I6" s="3701" t="s">
        <v>694</v>
      </c>
      <c r="J6" s="301">
        <f ca="1">ROUND(M6*M8*M7*(1-M9)/10000,0)</f>
        <v>0</v>
      </c>
      <c r="K6" s="155" t="s">
        <v>2107</v>
      </c>
      <c r="L6" s="302" t="s">
        <v>696</v>
      </c>
      <c r="M6" s="303">
        <f ca="1">INDIRECT("'数据-取费表'!z"&amp;$G$1)</f>
        <v>0</v>
      </c>
    </row>
    <row r="7" spans="1:37" ht="18" customHeight="1">
      <c r="A7" s="1072"/>
      <c r="B7" s="3702"/>
      <c r="C7" s="1074"/>
      <c r="D7" s="307"/>
      <c r="E7" s="1075" t="s">
        <v>697</v>
      </c>
      <c r="F7" s="303">
        <f ca="1">IF(INDIRECT("'数据-取费表'!ah"&amp;$G$1)="",INDIRECT("'数据-取费表'!k"&amp;$G$1),INDIRECT("'数据-取费表'!ah"&amp;$G$1))</f>
        <v>0</v>
      </c>
      <c r="G7" s="1383"/>
      <c r="H7" s="304"/>
      <c r="I7" s="3702"/>
      <c r="J7" s="306"/>
      <c r="K7" s="307"/>
      <c r="L7" s="302" t="s">
        <v>697</v>
      </c>
      <c r="M7" s="303">
        <f ca="1">F7</f>
        <v>0</v>
      </c>
    </row>
    <row r="8" spans="1:37" ht="18" customHeight="1">
      <c r="A8" s="304"/>
      <c r="B8" s="3702"/>
      <c r="C8" s="306"/>
      <c r="D8" s="307"/>
      <c r="E8" s="302" t="s">
        <v>698</v>
      </c>
      <c r="F8" s="303">
        <f ca="1">INDIRECT("'数据-取费表'!ai"&amp;$G$1)</f>
        <v>0</v>
      </c>
      <c r="G8" s="1383"/>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83"/>
      <c r="H9" s="304"/>
      <c r="I9" s="370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04" t="s">
        <v>837</v>
      </c>
      <c r="L53" s="370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3353</v>
      </c>
      <c r="E2" s="3443"/>
      <c r="F2" s="2845"/>
      <c r="G2" s="2846"/>
      <c r="H2" s="2847"/>
      <c r="I2" s="2848"/>
      <c r="J2" s="3712" t="s">
        <v>2311</v>
      </c>
      <c r="K2" s="3713"/>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14" t="s">
        <v>2321</v>
      </c>
      <c r="K3" s="3715"/>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14" t="s">
        <v>2323</v>
      </c>
      <c r="K4" s="3715"/>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16" t="s">
        <v>2327</v>
      </c>
      <c r="B6" s="3717"/>
      <c r="C6" s="3718"/>
      <c r="D6" s="2869"/>
      <c r="E6" s="2870"/>
      <c r="F6" s="2871"/>
      <c r="G6" s="2872"/>
      <c r="H6" s="2847"/>
      <c r="I6" s="2848"/>
      <c r="J6" s="3719">
        <v>1</v>
      </c>
      <c r="K6" s="3720"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19"/>
      <c r="K7" s="3721"/>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23" t="s">
        <v>2341</v>
      </c>
      <c r="C8" s="3724"/>
      <c r="D8" s="2888" t="s">
        <v>2342</v>
      </c>
      <c r="E8" s="2889" t="s">
        <v>2343</v>
      </c>
      <c r="F8" s="2890" t="s">
        <v>2344</v>
      </c>
      <c r="G8" s="2891"/>
      <c r="H8" s="2847"/>
      <c r="I8" s="2848"/>
      <c r="J8" s="3719"/>
      <c r="K8" s="3721"/>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23" t="s">
        <v>2347</v>
      </c>
      <c r="C9" s="3724"/>
      <c r="D9" s="2888">
        <f>ROUND(D6*E9,0)</f>
        <v>0</v>
      </c>
      <c r="E9" s="2892"/>
      <c r="F9" s="2893" t="s">
        <v>2348</v>
      </c>
      <c r="G9" s="2872"/>
      <c r="H9" s="2847"/>
      <c r="I9" s="2848"/>
      <c r="J9" s="3719"/>
      <c r="K9" s="3721"/>
      <c r="L9" s="2882" t="s">
        <v>2349</v>
      </c>
      <c r="M9" s="2883"/>
      <c r="N9" s="2859"/>
      <c r="O9" s="2884"/>
      <c r="P9" s="2884"/>
      <c r="Q9" s="2885">
        <v>365</v>
      </c>
      <c r="R9" s="2886">
        <f t="shared" si="0"/>
        <v>0</v>
      </c>
      <c r="S9" s="2840"/>
      <c r="T9" s="2840"/>
      <c r="U9" s="2840"/>
      <c r="V9" s="2848"/>
    </row>
    <row r="10" spans="1:22" s="2852" customFormat="1" ht="13.15" customHeight="1">
      <c r="A10" s="2887">
        <v>2</v>
      </c>
      <c r="B10" s="3723" t="s">
        <v>2350</v>
      </c>
      <c r="C10" s="3724"/>
      <c r="D10" s="2888">
        <f>ROUND(D6*E10,0)</f>
        <v>0</v>
      </c>
      <c r="E10" s="2892"/>
      <c r="F10" s="2893" t="s">
        <v>2351</v>
      </c>
      <c r="G10" s="2872"/>
      <c r="H10" s="2847"/>
      <c r="I10" s="2848"/>
      <c r="J10" s="3719"/>
      <c r="K10" s="3721"/>
      <c r="L10" s="2882" t="s">
        <v>2352</v>
      </c>
      <c r="M10" s="2883"/>
      <c r="N10" s="2859"/>
      <c r="O10" s="2884"/>
      <c r="P10" s="2884"/>
      <c r="Q10" s="2885">
        <v>365</v>
      </c>
      <c r="R10" s="2886">
        <f t="shared" si="0"/>
        <v>0</v>
      </c>
      <c r="S10" s="2840"/>
      <c r="T10" s="2840"/>
      <c r="U10" s="2840"/>
      <c r="V10" s="2848"/>
    </row>
    <row r="11" spans="1:22" s="2852" customFormat="1" ht="13.15" customHeight="1">
      <c r="A11" s="2887">
        <v>3</v>
      </c>
      <c r="B11" s="3723" t="s">
        <v>2353</v>
      </c>
      <c r="C11" s="3724"/>
      <c r="D11" s="2888">
        <f>D12+D14+D15+D16</f>
        <v>0</v>
      </c>
      <c r="E11" s="2894" t="e">
        <f>D11/D6</f>
        <v>#DIV/0!</v>
      </c>
      <c r="F11" s="2890"/>
      <c r="G11" s="2891"/>
      <c r="H11" s="2847"/>
      <c r="I11" s="2848"/>
      <c r="J11" s="3719"/>
      <c r="K11" s="3721"/>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25" t="s">
        <v>2356</v>
      </c>
      <c r="C12" s="3726"/>
      <c r="D12" s="2896">
        <f>ROUND(D13*1.2%*(1-30%),0)</f>
        <v>0</v>
      </c>
      <c r="E12" s="2897">
        <v>1.2E-2</v>
      </c>
      <c r="F12" s="2890" t="s">
        <v>2357</v>
      </c>
      <c r="G12" s="2891"/>
      <c r="H12" s="2847"/>
      <c r="I12" s="2848"/>
      <c r="J12" s="3719"/>
      <c r="K12" s="3721"/>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19"/>
      <c r="K13" s="3721"/>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25" t="s">
        <v>2362</v>
      </c>
      <c r="C14" s="3726"/>
      <c r="D14" s="2896">
        <f>ROUND(E14*B5/10000,0)</f>
        <v>0</v>
      </c>
      <c r="E14" s="2885"/>
      <c r="F14" s="2890" t="s">
        <v>2363</v>
      </c>
      <c r="G14" s="2891"/>
      <c r="H14" s="2847"/>
      <c r="I14" s="2848"/>
      <c r="J14" s="3719"/>
      <c r="K14" s="3722"/>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25" t="s">
        <v>2366</v>
      </c>
      <c r="C15" s="3726"/>
      <c r="D15" s="2896">
        <f>ROUND(D6*E15,0)</f>
        <v>0</v>
      </c>
      <c r="E15" s="2897">
        <v>5.5E-2</v>
      </c>
      <c r="F15" s="2890" t="s">
        <v>2367</v>
      </c>
      <c r="G15" s="2872"/>
      <c r="H15" s="2847"/>
      <c r="I15" s="2848"/>
      <c r="J15" s="3719">
        <v>2</v>
      </c>
      <c r="K15" s="3720"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25" t="s">
        <v>2375</v>
      </c>
      <c r="C16" s="3726"/>
      <c r="D16" s="2907">
        <f>D6*E16</f>
        <v>0</v>
      </c>
      <c r="E16" s="2908"/>
      <c r="F16" s="2893" t="s">
        <v>2376</v>
      </c>
      <c r="G16" s="2872"/>
      <c r="H16" s="2847"/>
      <c r="I16" s="2848"/>
      <c r="J16" s="3719"/>
      <c r="K16" s="3721"/>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27" t="s">
        <v>2378</v>
      </c>
      <c r="C17" s="3728"/>
      <c r="D17" s="2910">
        <f>ROUND(D6*E17,0)</f>
        <v>0</v>
      </c>
      <c r="E17" s="2911"/>
      <c r="F17" s="2912" t="s">
        <v>2379</v>
      </c>
      <c r="G17" s="2872"/>
      <c r="H17" s="2847"/>
      <c r="I17" s="2848"/>
      <c r="J17" s="3719"/>
      <c r="K17" s="3721"/>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19"/>
      <c r="K18" s="3721"/>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19"/>
      <c r="K19" s="3722"/>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9">
        <v>3</v>
      </c>
      <c r="K20" s="3720"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19"/>
      <c r="K21" s="3721"/>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19"/>
      <c r="K22" s="3721"/>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19"/>
      <c r="K23" s="3721"/>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19"/>
      <c r="K24" s="3722"/>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29">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3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12" t="s">
        <v>2311</v>
      </c>
      <c r="K32" s="3713"/>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14" t="s">
        <v>2321</v>
      </c>
      <c r="K33" s="3715"/>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14" t="s">
        <v>2323</v>
      </c>
      <c r="K34" s="371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19">
        <v>1</v>
      </c>
      <c r="K36" s="3720"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19"/>
      <c r="K37" s="3721"/>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9"/>
      <c r="K38" s="3721"/>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19"/>
      <c r="K39" s="3721"/>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19"/>
      <c r="K40" s="3722"/>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9">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3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282.82470000000001</v>
      </c>
      <c r="C2" s="1871" t="s">
        <v>1651</v>
      </c>
      <c r="D2" s="1872" t="s">
        <v>1652</v>
      </c>
      <c r="E2" s="2606">
        <f>SUM(E6:E13)</f>
        <v>145.19</v>
      </c>
      <c r="F2" s="2706"/>
      <c r="G2" s="1488"/>
      <c r="H2" s="1488"/>
      <c r="I2" s="1488"/>
      <c r="J2" s="1488"/>
      <c r="K2" s="1488"/>
      <c r="L2" s="1488"/>
      <c r="M2" s="1488"/>
      <c r="N2" s="1488"/>
      <c r="O2" s="1488"/>
      <c r="P2" s="1488"/>
      <c r="Q2" s="1488"/>
      <c r="R2" s="1488"/>
      <c r="S2" s="1488"/>
    </row>
    <row r="3" spans="1:22" ht="15.75">
      <c r="A3" s="1869" t="s">
        <v>686</v>
      </c>
      <c r="B3" s="2600">
        <f ca="1">ROUND(B2*10000/E2,0)</f>
        <v>19480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1" t="s">
        <v>1654</v>
      </c>
      <c r="C5" s="3732"/>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282.82470000000001</v>
      </c>
      <c r="C6" s="1871" t="s">
        <v>1651</v>
      </c>
      <c r="D6" s="2708"/>
      <c r="E6" s="2605">
        <f>IF(OR(A6=0,F6="否"),0,'数据-取费表'!K6+'数据-取费表'!S6)</f>
        <v>145.19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145.19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4" t="s">
        <v>1667</v>
      </c>
      <c r="D4" s="3675"/>
      <c r="E4" s="3676" t="s">
        <v>1668</v>
      </c>
      <c r="F4" s="3677"/>
      <c r="G4" s="3674" t="s">
        <v>1669</v>
      </c>
      <c r="H4" s="3675"/>
      <c r="I4" s="3674" t="s">
        <v>1670</v>
      </c>
      <c r="J4" s="3675"/>
      <c r="K4" s="1888" t="s">
        <v>1671</v>
      </c>
      <c r="L4" s="2714"/>
      <c r="M4" s="2715"/>
      <c r="N4" s="2715"/>
      <c r="O4" s="2715"/>
      <c r="P4" s="3678" t="s">
        <v>1672</v>
      </c>
      <c r="Q4" s="3679"/>
      <c r="R4" s="3661" t="s">
        <v>1668</v>
      </c>
      <c r="S4" s="3662"/>
      <c r="T4" s="3661" t="s">
        <v>1669</v>
      </c>
      <c r="U4" s="3662"/>
      <c r="V4" s="3658" t="s">
        <v>1670</v>
      </c>
      <c r="W4" s="3658"/>
      <c r="X4" s="1354"/>
      <c r="Y4" s="3661" t="s">
        <v>1672</v>
      </c>
      <c r="Z4" s="3662"/>
      <c r="AA4" s="3655" t="s">
        <v>1668</v>
      </c>
      <c r="AB4" s="3655" t="s">
        <v>1669</v>
      </c>
      <c r="AC4" s="3655" t="s">
        <v>1670</v>
      </c>
    </row>
    <row r="5" spans="1:29" ht="15">
      <c r="A5" s="358"/>
      <c r="B5" s="359"/>
      <c r="C5" s="3734" t="s">
        <v>1673</v>
      </c>
      <c r="D5" s="3668"/>
      <c r="E5" s="3733" t="s">
        <v>1674</v>
      </c>
      <c r="F5" s="3666"/>
      <c r="G5" s="3734" t="s">
        <v>1675</v>
      </c>
      <c r="H5" s="3668"/>
      <c r="I5" s="3734" t="s">
        <v>1676</v>
      </c>
      <c r="J5" s="3668"/>
      <c r="K5" s="1889"/>
      <c r="L5" s="2714"/>
      <c r="M5" s="2715"/>
      <c r="N5" s="2715"/>
      <c r="O5" s="2715"/>
      <c r="P5" s="3680"/>
      <c r="Q5" s="3681"/>
      <c r="R5" s="3663"/>
      <c r="S5" s="3664"/>
      <c r="T5" s="3663"/>
      <c r="U5" s="3664"/>
      <c r="V5" s="3658"/>
      <c r="W5" s="3658"/>
      <c r="X5" s="1354"/>
      <c r="Y5" s="3663"/>
      <c r="Z5" s="3664"/>
      <c r="AA5" s="3656"/>
      <c r="AB5" s="3656"/>
      <c r="AC5" s="3656"/>
    </row>
    <row r="6" spans="1:29" ht="15.75" thickBot="1">
      <c r="A6" s="360"/>
      <c r="B6" s="361"/>
      <c r="C6" s="3669" t="s">
        <v>1677</v>
      </c>
      <c r="D6" s="3670"/>
      <c r="E6" s="3671" t="s">
        <v>1677</v>
      </c>
      <c r="F6" s="3672"/>
      <c r="G6" s="3669" t="s">
        <v>1677</v>
      </c>
      <c r="H6" s="3670"/>
      <c r="I6" s="3669" t="s">
        <v>1677</v>
      </c>
      <c r="J6" s="3670"/>
      <c r="K6" s="1889" t="s">
        <v>1678</v>
      </c>
      <c r="L6" s="2714"/>
      <c r="M6" s="2715"/>
      <c r="N6" s="2715"/>
      <c r="O6" s="2715"/>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45163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9" t="s">
        <v>1680</v>
      </c>
      <c r="Q7" s="3686"/>
      <c r="R7" s="700" t="s">
        <v>20</v>
      </c>
      <c r="S7" s="701">
        <f t="shared" ref="S7:S15" si="0">F7</f>
        <v>0</v>
      </c>
      <c r="T7" s="700" t="s">
        <v>20</v>
      </c>
      <c r="U7" s="701">
        <f t="shared" ref="U7:U15" si="1">H7</f>
        <v>0</v>
      </c>
      <c r="V7" s="700" t="s">
        <v>20</v>
      </c>
      <c r="W7" s="701">
        <f t="shared" ref="W7:W15" si="2">J7</f>
        <v>0</v>
      </c>
      <c r="X7" s="702"/>
      <c r="Y7" s="3659" t="s">
        <v>1680</v>
      </c>
      <c r="Z7" s="3660"/>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9" t="s">
        <v>1683</v>
      </c>
      <c r="Q8" s="3660"/>
      <c r="R8" s="700" t="s">
        <v>20</v>
      </c>
      <c r="S8" s="701">
        <f t="shared" si="0"/>
        <v>100</v>
      </c>
      <c r="T8" s="700" t="s">
        <v>20</v>
      </c>
      <c r="U8" s="701">
        <f t="shared" si="1"/>
        <v>100</v>
      </c>
      <c r="V8" s="700" t="s">
        <v>20</v>
      </c>
      <c r="W8" s="701">
        <f t="shared" si="2"/>
        <v>100</v>
      </c>
      <c r="X8" s="702"/>
      <c r="Y8" s="3659" t="s">
        <v>1683</v>
      </c>
      <c r="Z8" s="3660"/>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3"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3"/>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3"/>
      <c r="Q11" s="1342" t="str">
        <f t="shared" si="6"/>
        <v>容积率</v>
      </c>
      <c r="R11" s="700" t="s">
        <v>18</v>
      </c>
      <c r="S11" s="701" t="e">
        <f t="shared" si="0"/>
        <v>#N/A</v>
      </c>
      <c r="T11" s="700" t="s">
        <v>18</v>
      </c>
      <c r="U11" s="701" t="e">
        <f t="shared" si="1"/>
        <v>#N/A</v>
      </c>
      <c r="V11" s="700" t="s">
        <v>18</v>
      </c>
      <c r="W11" s="701" t="e">
        <f t="shared" si="2"/>
        <v>#N/A</v>
      </c>
      <c r="X11" s="702"/>
      <c r="Y11" s="362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3"/>
      <c r="Q12" s="1342">
        <f t="shared" si="6"/>
        <v>111</v>
      </c>
      <c r="R12" s="700" t="s">
        <v>18</v>
      </c>
      <c r="S12" s="701">
        <f t="shared" si="0"/>
        <v>100</v>
      </c>
      <c r="T12" s="700" t="s">
        <v>18</v>
      </c>
      <c r="U12" s="701">
        <f t="shared" si="1"/>
        <v>100</v>
      </c>
      <c r="V12" s="700" t="s">
        <v>18</v>
      </c>
      <c r="W12" s="701">
        <f t="shared" si="2"/>
        <v>100</v>
      </c>
      <c r="X12" s="702"/>
      <c r="Y12" s="362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3"/>
      <c r="Q13" s="1342">
        <f t="shared" si="6"/>
        <v>111</v>
      </c>
      <c r="R13" s="700" t="s">
        <v>18</v>
      </c>
      <c r="S13" s="701">
        <f t="shared" si="0"/>
        <v>100</v>
      </c>
      <c r="T13" s="700" t="s">
        <v>18</v>
      </c>
      <c r="U13" s="701">
        <f t="shared" si="1"/>
        <v>100</v>
      </c>
      <c r="V13" s="700" t="s">
        <v>18</v>
      </c>
      <c r="W13" s="701">
        <f t="shared" si="2"/>
        <v>100</v>
      </c>
      <c r="X13" s="702"/>
      <c r="Y13" s="362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3"/>
      <c r="Q14" s="1342">
        <f t="shared" si="6"/>
        <v>111</v>
      </c>
      <c r="R14" s="700" t="s">
        <v>18</v>
      </c>
      <c r="S14" s="701">
        <f t="shared" si="0"/>
        <v>100</v>
      </c>
      <c r="T14" s="700" t="s">
        <v>18</v>
      </c>
      <c r="U14" s="701">
        <f t="shared" si="1"/>
        <v>100</v>
      </c>
      <c r="V14" s="700" t="s">
        <v>18</v>
      </c>
      <c r="W14" s="701">
        <f t="shared" si="2"/>
        <v>100</v>
      </c>
      <c r="X14" s="702"/>
      <c r="Y14" s="3628"/>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7" t="s">
        <v>1691</v>
      </c>
      <c r="Q15" s="1351" t="str">
        <f t="shared" si="6"/>
        <v>居住社区成熟度</v>
      </c>
      <c r="R15" s="704" t="s">
        <v>18</v>
      </c>
      <c r="S15" s="705">
        <f t="shared" si="0"/>
        <v>100</v>
      </c>
      <c r="T15" s="704" t="s">
        <v>18</v>
      </c>
      <c r="U15" s="705">
        <f t="shared" si="1"/>
        <v>100</v>
      </c>
      <c r="V15" s="704" t="s">
        <v>18</v>
      </c>
      <c r="W15" s="705">
        <f t="shared" si="2"/>
        <v>100</v>
      </c>
      <c r="X15" s="1354"/>
      <c r="Y15" s="368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8"/>
      <c r="Q16" s="1351"/>
      <c r="R16" s="704"/>
      <c r="S16" s="705"/>
      <c r="T16" s="704"/>
      <c r="U16" s="705"/>
      <c r="V16" s="704"/>
      <c r="W16" s="705"/>
      <c r="X16" s="1354"/>
      <c r="Y16" s="3690"/>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8"/>
      <c r="Q17" s="1351" t="str">
        <f>B17</f>
        <v>交通便捷度</v>
      </c>
      <c r="R17" s="704" t="s">
        <v>18</v>
      </c>
      <c r="S17" s="705">
        <f>F17</f>
        <v>100</v>
      </c>
      <c r="T17" s="704" t="s">
        <v>18</v>
      </c>
      <c r="U17" s="705">
        <f>H17</f>
        <v>100</v>
      </c>
      <c r="V17" s="704" t="s">
        <v>18</v>
      </c>
      <c r="W17" s="705">
        <f>J17</f>
        <v>100</v>
      </c>
      <c r="X17" s="1354"/>
      <c r="Y17" s="369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8"/>
      <c r="Q18" s="1351"/>
      <c r="R18" s="704"/>
      <c r="S18" s="705"/>
      <c r="T18" s="704"/>
      <c r="U18" s="705"/>
      <c r="V18" s="704"/>
      <c r="W18" s="705"/>
      <c r="X18" s="1354"/>
      <c r="Y18" s="3690"/>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8"/>
      <c r="Q19" s="1351" t="str">
        <f>B19</f>
        <v>公共配套设施</v>
      </c>
      <c r="R19" s="704" t="s">
        <v>18</v>
      </c>
      <c r="S19" s="705">
        <f>F19</f>
        <v>100</v>
      </c>
      <c r="T19" s="704" t="s">
        <v>18</v>
      </c>
      <c r="U19" s="705">
        <f>H19</f>
        <v>100</v>
      </c>
      <c r="V19" s="704" t="s">
        <v>18</v>
      </c>
      <c r="W19" s="705">
        <f>J19</f>
        <v>100</v>
      </c>
      <c r="X19" s="1354"/>
      <c r="Y19" s="369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8"/>
      <c r="Q20" s="1351"/>
      <c r="R20" s="704"/>
      <c r="S20" s="705"/>
      <c r="T20" s="704"/>
      <c r="U20" s="705"/>
      <c r="V20" s="704"/>
      <c r="W20" s="705"/>
      <c r="X20" s="1354"/>
      <c r="Y20" s="3690"/>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8"/>
      <c r="Q22" s="1351"/>
      <c r="R22" s="704"/>
      <c r="S22" s="705"/>
      <c r="T22" s="704"/>
      <c r="U22" s="705"/>
      <c r="V22" s="704"/>
      <c r="W22" s="705"/>
      <c r="X22" s="1354"/>
      <c r="Y22" s="3690"/>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8"/>
      <c r="Q23" s="1351" t="str">
        <f>B23</f>
        <v>自然及人文环境</v>
      </c>
      <c r="R23" s="704" t="s">
        <v>18</v>
      </c>
      <c r="S23" s="705">
        <f>F23</f>
        <v>100</v>
      </c>
      <c r="T23" s="704" t="s">
        <v>18</v>
      </c>
      <c r="U23" s="705">
        <f>H23</f>
        <v>100</v>
      </c>
      <c r="V23" s="704" t="s">
        <v>18</v>
      </c>
      <c r="W23" s="705">
        <f>J23</f>
        <v>100</v>
      </c>
      <c r="X23" s="1354"/>
      <c r="Y23" s="369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8"/>
      <c r="Q24" s="1351"/>
      <c r="R24" s="704"/>
      <c r="S24" s="705"/>
      <c r="T24" s="704"/>
      <c r="U24" s="705"/>
      <c r="V24" s="704"/>
      <c r="W24" s="705"/>
      <c r="X24" s="1354"/>
      <c r="Y24" s="369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8"/>
      <c r="Q26" s="1351" t="str">
        <f t="shared" si="11"/>
        <v>朝向</v>
      </c>
      <c r="R26" s="704" t="s">
        <v>18</v>
      </c>
      <c r="S26" s="705">
        <f t="shared" si="12"/>
        <v>100</v>
      </c>
      <c r="T26" s="704" t="s">
        <v>18</v>
      </c>
      <c r="U26" s="705">
        <f t="shared" si="13"/>
        <v>100</v>
      </c>
      <c r="V26" s="704" t="s">
        <v>18</v>
      </c>
      <c r="W26" s="705">
        <f t="shared" si="14"/>
        <v>100</v>
      </c>
      <c r="X26" s="1354"/>
      <c r="Y26" s="369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8"/>
      <c r="Q27" s="1342">
        <f t="shared" si="11"/>
        <v>111</v>
      </c>
      <c r="R27" s="700" t="s">
        <v>18</v>
      </c>
      <c r="S27" s="701">
        <f t="shared" si="12"/>
        <v>100</v>
      </c>
      <c r="T27" s="700" t="s">
        <v>18</v>
      </c>
      <c r="U27" s="701">
        <f t="shared" si="13"/>
        <v>100</v>
      </c>
      <c r="V27" s="700" t="s">
        <v>18</v>
      </c>
      <c r="W27" s="701">
        <f t="shared" si="14"/>
        <v>100</v>
      </c>
      <c r="X27" s="702"/>
      <c r="Y27" s="369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8"/>
      <c r="Q28" s="1351">
        <f t="shared" si="11"/>
        <v>111</v>
      </c>
      <c r="R28" s="704" t="s">
        <v>18</v>
      </c>
      <c r="S28" s="705">
        <f t="shared" si="12"/>
        <v>100</v>
      </c>
      <c r="T28" s="704" t="s">
        <v>18</v>
      </c>
      <c r="U28" s="705">
        <f t="shared" si="13"/>
        <v>100</v>
      </c>
      <c r="V28" s="704" t="s">
        <v>18</v>
      </c>
      <c r="W28" s="705">
        <f t="shared" si="14"/>
        <v>100</v>
      </c>
      <c r="X28" s="1354"/>
      <c r="Y28" s="369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8"/>
      <c r="Q29" s="1351">
        <f t="shared" si="11"/>
        <v>111</v>
      </c>
      <c r="R29" s="704" t="s">
        <v>18</v>
      </c>
      <c r="S29" s="705">
        <f t="shared" si="12"/>
        <v>100</v>
      </c>
      <c r="T29" s="704" t="s">
        <v>18</v>
      </c>
      <c r="U29" s="705">
        <f t="shared" si="13"/>
        <v>100</v>
      </c>
      <c r="V29" s="704" t="s">
        <v>18</v>
      </c>
      <c r="W29" s="705">
        <f t="shared" si="14"/>
        <v>100</v>
      </c>
      <c r="X29" s="1354"/>
      <c r="Y29" s="369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8"/>
      <c r="Q30" s="1351">
        <f t="shared" si="11"/>
        <v>111</v>
      </c>
      <c r="R30" s="704" t="s">
        <v>18</v>
      </c>
      <c r="S30" s="705">
        <f t="shared" si="12"/>
        <v>100</v>
      </c>
      <c r="T30" s="704" t="s">
        <v>18</v>
      </c>
      <c r="U30" s="705">
        <f t="shared" si="13"/>
        <v>100</v>
      </c>
      <c r="V30" s="704" t="s">
        <v>18</v>
      </c>
      <c r="W30" s="705">
        <f t="shared" si="14"/>
        <v>100</v>
      </c>
      <c r="X30" s="1354"/>
      <c r="Y30" s="369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8"/>
      <c r="Q31" s="1351">
        <f t="shared" si="11"/>
        <v>111</v>
      </c>
      <c r="R31" s="704" t="s">
        <v>18</v>
      </c>
      <c r="S31" s="705">
        <f t="shared" si="12"/>
        <v>100</v>
      </c>
      <c r="T31" s="704" t="s">
        <v>18</v>
      </c>
      <c r="U31" s="705">
        <f t="shared" si="13"/>
        <v>100</v>
      </c>
      <c r="V31" s="704" t="s">
        <v>18</v>
      </c>
      <c r="W31" s="705">
        <f t="shared" si="14"/>
        <v>100</v>
      </c>
      <c r="X31" s="1354"/>
      <c r="Y31" s="369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1" t="s">
        <v>1696</v>
      </c>
      <c r="Q32" s="1351" t="str">
        <f t="shared" si="11"/>
        <v>建筑类型</v>
      </c>
      <c r="R32" s="704" t="s">
        <v>18</v>
      </c>
      <c r="S32" s="705">
        <f t="shared" si="12"/>
        <v>100</v>
      </c>
      <c r="T32" s="704" t="s">
        <v>18</v>
      </c>
      <c r="U32" s="705">
        <f t="shared" si="13"/>
        <v>100</v>
      </c>
      <c r="V32" s="704" t="s">
        <v>18</v>
      </c>
      <c r="W32" s="705">
        <f t="shared" si="14"/>
        <v>100</v>
      </c>
      <c r="X32" s="1354"/>
      <c r="Y32" s="369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2"/>
      <c r="Q33" s="706" t="str">
        <f t="shared" si="11"/>
        <v>项目建筑规模</v>
      </c>
      <c r="R33" s="707" t="s">
        <v>18</v>
      </c>
      <c r="S33" s="708" t="e">
        <f t="shared" si="12"/>
        <v>#N/A</v>
      </c>
      <c r="T33" s="707" t="s">
        <v>18</v>
      </c>
      <c r="U33" s="708" t="e">
        <f t="shared" si="13"/>
        <v>#N/A</v>
      </c>
      <c r="V33" s="707" t="s">
        <v>18</v>
      </c>
      <c r="W33" s="708" t="e">
        <f t="shared" si="14"/>
        <v>#N/A</v>
      </c>
      <c r="X33" s="709"/>
      <c r="Y33" s="3694"/>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2"/>
      <c r="Q34" s="1351" t="str">
        <f t="shared" si="11"/>
        <v>建筑结构</v>
      </c>
      <c r="R34" s="704" t="s">
        <v>18</v>
      </c>
      <c r="S34" s="705">
        <f t="shared" si="12"/>
        <v>100</v>
      </c>
      <c r="T34" s="704" t="s">
        <v>18</v>
      </c>
      <c r="U34" s="705">
        <f t="shared" si="13"/>
        <v>100</v>
      </c>
      <c r="V34" s="704" t="s">
        <v>18</v>
      </c>
      <c r="W34" s="705">
        <f t="shared" si="14"/>
        <v>100</v>
      </c>
      <c r="X34" s="1354"/>
      <c r="Y34" s="369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2"/>
      <c r="Q35" s="1351" t="str">
        <f t="shared" si="11"/>
        <v>建筑品质</v>
      </c>
      <c r="R35" s="704" t="s">
        <v>18</v>
      </c>
      <c r="S35" s="705">
        <f t="shared" si="12"/>
        <v>100</v>
      </c>
      <c r="T35" s="704" t="s">
        <v>18</v>
      </c>
      <c r="U35" s="705">
        <f t="shared" si="13"/>
        <v>100</v>
      </c>
      <c r="V35" s="704" t="s">
        <v>18</v>
      </c>
      <c r="W35" s="705">
        <f t="shared" si="14"/>
        <v>100</v>
      </c>
      <c r="X35" s="1354"/>
      <c r="Y35" s="369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2"/>
      <c r="Q36" s="1351" t="str">
        <f t="shared" si="11"/>
        <v>公共部分装修</v>
      </c>
      <c r="R36" s="704" t="s">
        <v>18</v>
      </c>
      <c r="S36" s="705">
        <f t="shared" si="12"/>
        <v>100</v>
      </c>
      <c r="T36" s="704" t="s">
        <v>18</v>
      </c>
      <c r="U36" s="705">
        <f t="shared" si="13"/>
        <v>100</v>
      </c>
      <c r="V36" s="704" t="s">
        <v>18</v>
      </c>
      <c r="W36" s="705">
        <f t="shared" si="14"/>
        <v>100</v>
      </c>
      <c r="X36" s="1354"/>
      <c r="Y36" s="369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2"/>
      <c r="Q37" s="1342" t="str">
        <f t="shared" si="11"/>
        <v>成新度</v>
      </c>
      <c r="R37" s="700" t="s">
        <v>18</v>
      </c>
      <c r="S37" s="701" t="e">
        <f t="shared" si="12"/>
        <v>#N/A</v>
      </c>
      <c r="T37" s="700" t="s">
        <v>18</v>
      </c>
      <c r="U37" s="701" t="e">
        <f t="shared" si="13"/>
        <v>#N/A</v>
      </c>
      <c r="V37" s="700" t="s">
        <v>18</v>
      </c>
      <c r="W37" s="701" t="e">
        <f t="shared" si="14"/>
        <v>#N/A</v>
      </c>
      <c r="X37" s="702"/>
      <c r="Y37" s="3694"/>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2" t="s">
        <v>1696</v>
      </c>
      <c r="Q38" s="1351" t="str">
        <f t="shared" si="11"/>
        <v>物业管理</v>
      </c>
      <c r="R38" s="704" t="s">
        <v>18</v>
      </c>
      <c r="S38" s="705">
        <f t="shared" si="12"/>
        <v>100</v>
      </c>
      <c r="T38" s="704" t="s">
        <v>18</v>
      </c>
      <c r="U38" s="705">
        <f t="shared" si="13"/>
        <v>100</v>
      </c>
      <c r="V38" s="704" t="s">
        <v>18</v>
      </c>
      <c r="W38" s="705">
        <f t="shared" si="14"/>
        <v>100</v>
      </c>
      <c r="X38" s="1354"/>
      <c r="Y38" s="369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2"/>
      <c r="Q39" s="1351" t="str">
        <f t="shared" si="11"/>
        <v>市政基础设施</v>
      </c>
      <c r="R39" s="704" t="s">
        <v>18</v>
      </c>
      <c r="S39" s="705">
        <f t="shared" si="12"/>
        <v>100</v>
      </c>
      <c r="T39" s="704" t="s">
        <v>18</v>
      </c>
      <c r="U39" s="705">
        <f t="shared" si="13"/>
        <v>100</v>
      </c>
      <c r="V39" s="704" t="s">
        <v>18</v>
      </c>
      <c r="W39" s="705">
        <f t="shared" si="14"/>
        <v>100</v>
      </c>
      <c r="X39" s="1354"/>
      <c r="Y39" s="369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2"/>
      <c r="Q40" s="1351" t="str">
        <f t="shared" si="11"/>
        <v>房型</v>
      </c>
      <c r="R40" s="704" t="s">
        <v>18</v>
      </c>
      <c r="S40" s="705">
        <f t="shared" si="12"/>
        <v>100</v>
      </c>
      <c r="T40" s="704" t="s">
        <v>18</v>
      </c>
      <c r="U40" s="705">
        <f t="shared" si="13"/>
        <v>100</v>
      </c>
      <c r="V40" s="704" t="s">
        <v>18</v>
      </c>
      <c r="W40" s="705">
        <f t="shared" si="14"/>
        <v>100</v>
      </c>
      <c r="X40" s="1354"/>
      <c r="Y40" s="369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2"/>
      <c r="Q41" s="706" t="str">
        <f t="shared" si="11"/>
        <v>单套/主力户型建筑面积</v>
      </c>
      <c r="R41" s="707" t="s">
        <v>18</v>
      </c>
      <c r="S41" s="708">
        <f t="shared" si="12"/>
        <v>100</v>
      </c>
      <c r="T41" s="707" t="s">
        <v>18</v>
      </c>
      <c r="U41" s="708">
        <f t="shared" si="13"/>
        <v>100</v>
      </c>
      <c r="V41" s="707" t="s">
        <v>18</v>
      </c>
      <c r="W41" s="708">
        <f t="shared" si="14"/>
        <v>100</v>
      </c>
      <c r="X41" s="709"/>
      <c r="Y41" s="3694"/>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2"/>
      <c r="Q42" s="1351" t="str">
        <f t="shared" si="11"/>
        <v>内部装修</v>
      </c>
      <c r="R42" s="704" t="s">
        <v>18</v>
      </c>
      <c r="S42" s="705">
        <f t="shared" si="12"/>
        <v>100</v>
      </c>
      <c r="T42" s="704" t="s">
        <v>18</v>
      </c>
      <c r="U42" s="705">
        <f t="shared" si="13"/>
        <v>100</v>
      </c>
      <c r="V42" s="704" t="s">
        <v>18</v>
      </c>
      <c r="W42" s="705">
        <f t="shared" si="14"/>
        <v>100</v>
      </c>
      <c r="X42" s="1354"/>
      <c r="Y42" s="369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2"/>
      <c r="Q43" s="1351" t="str">
        <f t="shared" si="11"/>
        <v>内部装修维护情况</v>
      </c>
      <c r="R43" s="704" t="s">
        <v>18</v>
      </c>
      <c r="S43" s="705">
        <f t="shared" si="12"/>
        <v>100</v>
      </c>
      <c r="T43" s="704" t="s">
        <v>18</v>
      </c>
      <c r="U43" s="705">
        <f t="shared" si="13"/>
        <v>100</v>
      </c>
      <c r="V43" s="704" t="s">
        <v>18</v>
      </c>
      <c r="W43" s="705">
        <f t="shared" si="14"/>
        <v>100</v>
      </c>
      <c r="X43" s="1354"/>
      <c r="Y43" s="369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2"/>
      <c r="Q44" s="1342">
        <f t="shared" si="11"/>
        <v>111</v>
      </c>
      <c r="R44" s="700" t="s">
        <v>18</v>
      </c>
      <c r="S44" s="701">
        <f t="shared" si="12"/>
        <v>100</v>
      </c>
      <c r="T44" s="700" t="s">
        <v>18</v>
      </c>
      <c r="U44" s="701">
        <f t="shared" si="13"/>
        <v>100</v>
      </c>
      <c r="V44" s="700" t="s">
        <v>18</v>
      </c>
      <c r="W44" s="701">
        <f t="shared" si="14"/>
        <v>100</v>
      </c>
      <c r="X44" s="702"/>
      <c r="Y44" s="369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2"/>
      <c r="Q45" s="1351">
        <f t="shared" si="11"/>
        <v>111</v>
      </c>
      <c r="R45" s="704" t="s">
        <v>18</v>
      </c>
      <c r="S45" s="705">
        <f t="shared" si="12"/>
        <v>100</v>
      </c>
      <c r="T45" s="704" t="s">
        <v>18</v>
      </c>
      <c r="U45" s="705">
        <f t="shared" si="13"/>
        <v>100</v>
      </c>
      <c r="V45" s="704" t="s">
        <v>18</v>
      </c>
      <c r="W45" s="705">
        <f t="shared" si="14"/>
        <v>100</v>
      </c>
      <c r="X45" s="1354"/>
      <c r="Y45" s="369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3"/>
      <c r="Q46" s="1351">
        <f t="shared" si="11"/>
        <v>111</v>
      </c>
      <c r="R46" s="704" t="s">
        <v>17</v>
      </c>
      <c r="S46" s="705">
        <f t="shared" si="12"/>
        <v>100</v>
      </c>
      <c r="T46" s="704" t="s">
        <v>17</v>
      </c>
      <c r="U46" s="705">
        <f t="shared" si="13"/>
        <v>100</v>
      </c>
      <c r="V46" s="704" t="s">
        <v>17</v>
      </c>
      <c r="W46" s="705">
        <f t="shared" si="14"/>
        <v>100</v>
      </c>
      <c r="X46" s="1354"/>
      <c r="Y46" s="369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96" t="str">
        <f>A47</f>
        <v>成交单价（元/平方米）</v>
      </c>
      <c r="Q47" s="3696"/>
      <c r="R47" s="3697">
        <f>E47</f>
        <v>0</v>
      </c>
      <c r="S47" s="3697"/>
      <c r="T47" s="3697">
        <f>G47</f>
        <v>0</v>
      </c>
      <c r="U47" s="3697"/>
      <c r="V47" s="3697">
        <f>I47</f>
        <v>0</v>
      </c>
      <c r="W47" s="3697"/>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估价对象为北京市房地产，为所有。根据《国有土地使用证》[]，估价对象（分摊）出让国有建设用地使用权面积为0平方米，建筑面积为145.19平方米。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估价对象为北京市房地产,属开发建设的，该项目尚在开发建设中。根据《国有土地使用证》[]，估价对象（分摊）出让国有建设用地使用权面积为0平方米，规划建筑面积为145.19平方米。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145.19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741" t="s">
        <v>1775</v>
      </c>
      <c r="Q4" s="3742"/>
      <c r="R4" s="3736" t="s">
        <v>1771</v>
      </c>
      <c r="S4" s="3737"/>
      <c r="T4" s="3736" t="s">
        <v>1772</v>
      </c>
      <c r="U4" s="3737"/>
      <c r="V4" s="3745" t="s">
        <v>1773</v>
      </c>
      <c r="W4" s="3745"/>
      <c r="X4" s="1957"/>
      <c r="Y4" s="3736" t="s">
        <v>1775</v>
      </c>
      <c r="Z4" s="3737"/>
      <c r="AA4" s="3735" t="s">
        <v>1771</v>
      </c>
      <c r="AB4" s="3735" t="s">
        <v>1772</v>
      </c>
      <c r="AC4" s="3738" t="s">
        <v>1773</v>
      </c>
    </row>
    <row r="5" spans="1:29" ht="15">
      <c r="A5" s="358"/>
      <c r="B5" s="359"/>
      <c r="C5" s="3734" t="s">
        <v>1673</v>
      </c>
      <c r="D5" s="3668"/>
      <c r="E5" s="3733" t="s">
        <v>1674</v>
      </c>
      <c r="F5" s="3666"/>
      <c r="G5" s="3734" t="s">
        <v>1675</v>
      </c>
      <c r="H5" s="3668"/>
      <c r="I5" s="3734" t="s">
        <v>1676</v>
      </c>
      <c r="J5" s="3668"/>
      <c r="K5" s="559"/>
      <c r="L5" s="2714"/>
      <c r="M5" s="2715"/>
      <c r="N5" s="2715"/>
      <c r="O5" s="2715"/>
      <c r="P5" s="3743"/>
      <c r="Q5" s="3681"/>
      <c r="R5" s="3663"/>
      <c r="S5" s="3664"/>
      <c r="T5" s="3663"/>
      <c r="U5" s="3664"/>
      <c r="V5" s="3658"/>
      <c r="W5" s="3658"/>
      <c r="X5" s="1354"/>
      <c r="Y5" s="3663"/>
      <c r="Z5" s="3664"/>
      <c r="AA5" s="3656"/>
      <c r="AB5" s="3656"/>
      <c r="AC5" s="3739"/>
    </row>
    <row r="6" spans="1:29" ht="15.75" thickBot="1">
      <c r="A6" s="360"/>
      <c r="B6" s="361"/>
      <c r="C6" s="3669" t="s">
        <v>1677</v>
      </c>
      <c r="D6" s="3670"/>
      <c r="E6" s="3671" t="s">
        <v>1677</v>
      </c>
      <c r="F6" s="3672"/>
      <c r="G6" s="3669" t="s">
        <v>1677</v>
      </c>
      <c r="H6" s="3670"/>
      <c r="I6" s="3669" t="s">
        <v>1677</v>
      </c>
      <c r="J6" s="3670"/>
      <c r="K6" s="559" t="s">
        <v>1678</v>
      </c>
      <c r="L6" s="2714"/>
      <c r="M6" s="2715"/>
      <c r="N6" s="2715"/>
      <c r="O6" s="2715"/>
      <c r="P6" s="3744"/>
      <c r="Q6" s="3683"/>
      <c r="R6" s="3663"/>
      <c r="S6" s="3664"/>
      <c r="T6" s="3684"/>
      <c r="U6" s="3685"/>
      <c r="V6" s="3658"/>
      <c r="W6" s="3658"/>
      <c r="X6" s="1354"/>
      <c r="Y6" s="3684"/>
      <c r="Z6" s="3685"/>
      <c r="AA6" s="3657"/>
      <c r="AB6" s="3657"/>
      <c r="AC6" s="3740"/>
    </row>
    <row r="7" spans="1:29" s="108" customFormat="1" ht="15.75" thickBot="1">
      <c r="A7" s="362" t="s">
        <v>1679</v>
      </c>
      <c r="B7" s="363"/>
      <c r="C7" s="364">
        <f>'数据-取费表'!B2</f>
        <v>45163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6" t="s">
        <v>1680</v>
      </c>
      <c r="Q7" s="3686"/>
      <c r="R7" s="700" t="s">
        <v>14</v>
      </c>
      <c r="S7" s="701">
        <f t="shared" ref="S7:S15" si="0">F7</f>
        <v>0</v>
      </c>
      <c r="T7" s="700" t="s">
        <v>14</v>
      </c>
      <c r="U7" s="701">
        <f t="shared" ref="U7:U15" si="1">H7</f>
        <v>0</v>
      </c>
      <c r="V7" s="700" t="s">
        <v>14</v>
      </c>
      <c r="W7" s="701">
        <f t="shared" ref="W7:W15" si="2">J7</f>
        <v>0</v>
      </c>
      <c r="X7" s="702"/>
      <c r="Y7" s="3659" t="s">
        <v>1680</v>
      </c>
      <c r="Z7" s="3660"/>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6" t="s">
        <v>1683</v>
      </c>
      <c r="Q8" s="3660"/>
      <c r="R8" s="700" t="s">
        <v>14</v>
      </c>
      <c r="S8" s="701">
        <f t="shared" si="0"/>
        <v>100</v>
      </c>
      <c r="T8" s="700" t="s">
        <v>14</v>
      </c>
      <c r="U8" s="701">
        <f t="shared" si="1"/>
        <v>100</v>
      </c>
      <c r="V8" s="700" t="s">
        <v>14</v>
      </c>
      <c r="W8" s="701">
        <f t="shared" si="2"/>
        <v>100</v>
      </c>
      <c r="X8" s="702"/>
      <c r="Y8" s="3659" t="s">
        <v>1683</v>
      </c>
      <c r="Z8" s="3660"/>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3"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3"/>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3"/>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3"/>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3"/>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73"/>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7" t="s">
        <v>1691</v>
      </c>
      <c r="Q15" s="1351" t="str">
        <f t="shared" si="6"/>
        <v>办公集聚程度</v>
      </c>
      <c r="R15" s="704" t="s">
        <v>14</v>
      </c>
      <c r="S15" s="705">
        <f t="shared" si="0"/>
        <v>100</v>
      </c>
      <c r="T15" s="704" t="s">
        <v>14</v>
      </c>
      <c r="U15" s="705">
        <f t="shared" si="1"/>
        <v>100</v>
      </c>
      <c r="V15" s="704" t="s">
        <v>14</v>
      </c>
      <c r="W15" s="705">
        <f t="shared" si="2"/>
        <v>100</v>
      </c>
      <c r="X15" s="1354"/>
      <c r="Y15" s="3689"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88"/>
      <c r="Q16" s="1351"/>
      <c r="R16" s="704"/>
      <c r="S16" s="705"/>
      <c r="T16" s="704"/>
      <c r="U16" s="705"/>
      <c r="V16" s="704"/>
      <c r="W16" s="705"/>
      <c r="X16" s="1354"/>
      <c r="Y16" s="3690"/>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8"/>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88"/>
      <c r="Q18" s="1351"/>
      <c r="R18" s="704"/>
      <c r="S18" s="705"/>
      <c r="T18" s="704"/>
      <c r="U18" s="705"/>
      <c r="V18" s="704"/>
      <c r="W18" s="705"/>
      <c r="X18" s="1354"/>
      <c r="Y18" s="3690"/>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8"/>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88"/>
      <c r="Q20" s="1351"/>
      <c r="R20" s="704"/>
      <c r="S20" s="705"/>
      <c r="T20" s="704"/>
      <c r="U20" s="705"/>
      <c r="V20" s="704"/>
      <c r="W20" s="705"/>
      <c r="X20" s="1354"/>
      <c r="Y20" s="3690"/>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88"/>
      <c r="Q22" s="1351"/>
      <c r="R22" s="704"/>
      <c r="S22" s="705"/>
      <c r="T22" s="704"/>
      <c r="U22" s="705"/>
      <c r="V22" s="704"/>
      <c r="W22" s="705"/>
      <c r="X22" s="1354"/>
      <c r="Y22" s="3690"/>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8"/>
      <c r="Q23" s="1351" t="str">
        <f>B23</f>
        <v>环境质量</v>
      </c>
      <c r="R23" s="704" t="s">
        <v>14</v>
      </c>
      <c r="S23" s="705">
        <f>F23</f>
        <v>100</v>
      </c>
      <c r="T23" s="704" t="s">
        <v>14</v>
      </c>
      <c r="U23" s="705">
        <f>H23</f>
        <v>100</v>
      </c>
      <c r="V23" s="704" t="s">
        <v>14</v>
      </c>
      <c r="W23" s="705">
        <f>J23</f>
        <v>100</v>
      </c>
      <c r="X23" s="1354"/>
      <c r="Y23" s="3690"/>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88"/>
      <c r="Q24" s="1351"/>
      <c r="R24" s="704"/>
      <c r="S24" s="705"/>
      <c r="T24" s="704"/>
      <c r="U24" s="705"/>
      <c r="V24" s="704"/>
      <c r="W24" s="705"/>
      <c r="X24" s="1354"/>
      <c r="Y24" s="3690"/>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8"/>
      <c r="Q25" s="1351" t="str">
        <f>B25</f>
        <v>毗邻道路的类型与等级</v>
      </c>
      <c r="R25" s="704" t="s">
        <v>14</v>
      </c>
      <c r="S25" s="705">
        <f>F25</f>
        <v>100</v>
      </c>
      <c r="T25" s="704" t="s">
        <v>14</v>
      </c>
      <c r="U25" s="705">
        <f>H25</f>
        <v>100</v>
      </c>
      <c r="V25" s="704" t="s">
        <v>14</v>
      </c>
      <c r="W25" s="705">
        <f>J25</f>
        <v>100</v>
      </c>
      <c r="X25" s="1354"/>
      <c r="Y25" s="3690"/>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88"/>
      <c r="Q26" s="1351"/>
      <c r="R26" s="704"/>
      <c r="S26" s="705"/>
      <c r="T26" s="704"/>
      <c r="U26" s="705"/>
      <c r="V26" s="704"/>
      <c r="W26" s="705"/>
      <c r="X26" s="1354"/>
      <c r="Y26" s="3690"/>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88"/>
      <c r="Q27" s="1351" t="str">
        <f t="shared" ref="Q27:Q47" si="11">B27</f>
        <v>楼层</v>
      </c>
      <c r="R27" s="704" t="s">
        <v>14</v>
      </c>
      <c r="S27" s="705">
        <f>F27</f>
        <v>100</v>
      </c>
      <c r="T27" s="704" t="s">
        <v>14</v>
      </c>
      <c r="U27" s="705">
        <f>H27</f>
        <v>100</v>
      </c>
      <c r="V27" s="704" t="s">
        <v>14</v>
      </c>
      <c r="W27" s="705">
        <f>J27</f>
        <v>100</v>
      </c>
      <c r="X27" s="1354"/>
      <c r="Y27" s="3690"/>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8"/>
      <c r="Q28" s="1342" t="str">
        <f t="shared" si="11"/>
        <v>朝向</v>
      </c>
      <c r="R28" s="700" t="s">
        <v>14</v>
      </c>
      <c r="S28" s="701">
        <f>F28</f>
        <v>100</v>
      </c>
      <c r="T28" s="700" t="s">
        <v>14</v>
      </c>
      <c r="U28" s="701">
        <f>H28</f>
        <v>100</v>
      </c>
      <c r="V28" s="700" t="s">
        <v>14</v>
      </c>
      <c r="W28" s="701">
        <f>J28</f>
        <v>100</v>
      </c>
      <c r="X28" s="702"/>
      <c r="Y28" s="369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8"/>
      <c r="Q29" s="1351">
        <f t="shared" si="11"/>
        <v>111</v>
      </c>
      <c r="R29" s="704" t="s">
        <v>14</v>
      </c>
      <c r="S29" s="705">
        <f t="shared" ref="S29:S47" si="12">F29</f>
        <v>100</v>
      </c>
      <c r="T29" s="704" t="s">
        <v>14</v>
      </c>
      <c r="U29" s="705">
        <f t="shared" ref="U29:U47" si="13">H29</f>
        <v>100</v>
      </c>
      <c r="V29" s="704" t="s">
        <v>14</v>
      </c>
      <c r="W29" s="705">
        <f t="shared" ref="W29:W47" si="14">J29</f>
        <v>100</v>
      </c>
      <c r="X29" s="1354"/>
      <c r="Y29" s="369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8"/>
      <c r="Q30" s="1351">
        <f t="shared" si="11"/>
        <v>111</v>
      </c>
      <c r="R30" s="704" t="s">
        <v>14</v>
      </c>
      <c r="S30" s="705">
        <f t="shared" si="12"/>
        <v>100</v>
      </c>
      <c r="T30" s="704" t="s">
        <v>14</v>
      </c>
      <c r="U30" s="705">
        <f t="shared" si="13"/>
        <v>100</v>
      </c>
      <c r="V30" s="704" t="s">
        <v>14</v>
      </c>
      <c r="W30" s="705">
        <f t="shared" si="14"/>
        <v>100</v>
      </c>
      <c r="X30" s="1354"/>
      <c r="Y30" s="369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8"/>
      <c r="Q31" s="1351">
        <f t="shared" si="11"/>
        <v>111</v>
      </c>
      <c r="R31" s="704" t="s">
        <v>14</v>
      </c>
      <c r="S31" s="705">
        <f t="shared" si="12"/>
        <v>100</v>
      </c>
      <c r="T31" s="704" t="s">
        <v>14</v>
      </c>
      <c r="U31" s="705">
        <f t="shared" si="13"/>
        <v>100</v>
      </c>
      <c r="V31" s="704" t="s">
        <v>14</v>
      </c>
      <c r="W31" s="705">
        <f t="shared" si="14"/>
        <v>100</v>
      </c>
      <c r="X31" s="1354"/>
      <c r="Y31" s="3690"/>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8"/>
      <c r="Q32" s="1351">
        <f t="shared" si="11"/>
        <v>111</v>
      </c>
      <c r="R32" s="704" t="s">
        <v>14</v>
      </c>
      <c r="S32" s="705">
        <f t="shared" si="12"/>
        <v>100</v>
      </c>
      <c r="T32" s="704" t="s">
        <v>14</v>
      </c>
      <c r="U32" s="705">
        <f t="shared" si="13"/>
        <v>100</v>
      </c>
      <c r="V32" s="704" t="s">
        <v>14</v>
      </c>
      <c r="W32" s="705">
        <f t="shared" si="14"/>
        <v>100</v>
      </c>
      <c r="X32" s="1354"/>
      <c r="Y32" s="3690"/>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1" t="s">
        <v>1696</v>
      </c>
      <c r="Q33" s="1351" t="str">
        <f t="shared" si="11"/>
        <v>建筑类型</v>
      </c>
      <c r="R33" s="704" t="s">
        <v>14</v>
      </c>
      <c r="S33" s="705">
        <f t="shared" si="12"/>
        <v>100</v>
      </c>
      <c r="T33" s="704" t="s">
        <v>14</v>
      </c>
      <c r="U33" s="705">
        <f t="shared" si="13"/>
        <v>100</v>
      </c>
      <c r="V33" s="704" t="s">
        <v>14</v>
      </c>
      <c r="W33" s="705">
        <f t="shared" si="14"/>
        <v>100</v>
      </c>
      <c r="X33" s="1354"/>
      <c r="Y33" s="3694"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2"/>
      <c r="Q34" s="706" t="str">
        <f t="shared" si="11"/>
        <v>项目建筑规模</v>
      </c>
      <c r="R34" s="707" t="s">
        <v>14</v>
      </c>
      <c r="S34" s="708" t="e">
        <f t="shared" si="12"/>
        <v>#N/A</v>
      </c>
      <c r="T34" s="707" t="s">
        <v>14</v>
      </c>
      <c r="U34" s="708" t="e">
        <f t="shared" si="13"/>
        <v>#N/A</v>
      </c>
      <c r="V34" s="707" t="s">
        <v>14</v>
      </c>
      <c r="W34" s="708" t="e">
        <f t="shared" si="14"/>
        <v>#N/A</v>
      </c>
      <c r="X34" s="709"/>
      <c r="Y34" s="3694"/>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2"/>
      <c r="Q35" s="1351" t="str">
        <f t="shared" si="11"/>
        <v>建筑结构</v>
      </c>
      <c r="R35" s="704" t="s">
        <v>14</v>
      </c>
      <c r="S35" s="705">
        <f t="shared" si="12"/>
        <v>100</v>
      </c>
      <c r="T35" s="704" t="s">
        <v>14</v>
      </c>
      <c r="U35" s="705">
        <f t="shared" si="13"/>
        <v>100</v>
      </c>
      <c r="V35" s="704" t="s">
        <v>14</v>
      </c>
      <c r="W35" s="705">
        <f t="shared" si="14"/>
        <v>100</v>
      </c>
      <c r="X35" s="1354"/>
      <c r="Y35" s="3694"/>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2"/>
      <c r="Q36" s="1351" t="str">
        <f t="shared" si="11"/>
        <v>公共部分装修</v>
      </c>
      <c r="R36" s="704" t="s">
        <v>14</v>
      </c>
      <c r="S36" s="705">
        <f t="shared" si="12"/>
        <v>100</v>
      </c>
      <c r="T36" s="704" t="s">
        <v>14</v>
      </c>
      <c r="U36" s="705">
        <f t="shared" si="13"/>
        <v>100</v>
      </c>
      <c r="V36" s="704" t="s">
        <v>14</v>
      </c>
      <c r="W36" s="705">
        <f t="shared" si="14"/>
        <v>100</v>
      </c>
      <c r="X36" s="1354"/>
      <c r="Y36" s="3694"/>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2"/>
      <c r="Q37" s="1351" t="str">
        <f t="shared" si="11"/>
        <v>成新度</v>
      </c>
      <c r="R37" s="704" t="s">
        <v>14</v>
      </c>
      <c r="S37" s="705" t="e">
        <f t="shared" si="12"/>
        <v>#N/A</v>
      </c>
      <c r="T37" s="704" t="s">
        <v>14</v>
      </c>
      <c r="U37" s="705" t="e">
        <f t="shared" si="13"/>
        <v>#N/A</v>
      </c>
      <c r="V37" s="704" t="s">
        <v>14</v>
      </c>
      <c r="W37" s="705" t="e">
        <f t="shared" si="14"/>
        <v>#N/A</v>
      </c>
      <c r="X37" s="1354"/>
      <c r="Y37" s="3694"/>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2"/>
      <c r="Q38" s="1342" t="str">
        <f t="shared" si="11"/>
        <v>写字楼等级</v>
      </c>
      <c r="R38" s="700" t="s">
        <v>14</v>
      </c>
      <c r="S38" s="701">
        <f t="shared" si="12"/>
        <v>100</v>
      </c>
      <c r="T38" s="700" t="s">
        <v>14</v>
      </c>
      <c r="U38" s="701">
        <f t="shared" si="13"/>
        <v>100</v>
      </c>
      <c r="V38" s="700" t="s">
        <v>14</v>
      </c>
      <c r="W38" s="701">
        <f t="shared" si="14"/>
        <v>100</v>
      </c>
      <c r="X38" s="702"/>
      <c r="Y38" s="3694"/>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2" t="s">
        <v>1696</v>
      </c>
      <c r="Q39" s="1351" t="str">
        <f t="shared" si="11"/>
        <v>物业管理</v>
      </c>
      <c r="R39" s="704" t="s">
        <v>14</v>
      </c>
      <c r="S39" s="705">
        <f t="shared" si="12"/>
        <v>100</v>
      </c>
      <c r="T39" s="704" t="s">
        <v>14</v>
      </c>
      <c r="U39" s="705">
        <f t="shared" si="13"/>
        <v>100</v>
      </c>
      <c r="V39" s="704" t="s">
        <v>14</v>
      </c>
      <c r="W39" s="705">
        <f t="shared" si="14"/>
        <v>100</v>
      </c>
      <c r="X39" s="1354"/>
      <c r="Y39" s="3694"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2"/>
      <c r="Q40" s="1351" t="str">
        <f t="shared" si="11"/>
        <v>市政基础设施</v>
      </c>
      <c r="R40" s="704" t="s">
        <v>14</v>
      </c>
      <c r="S40" s="705">
        <f t="shared" si="12"/>
        <v>100</v>
      </c>
      <c r="T40" s="704" t="s">
        <v>14</v>
      </c>
      <c r="U40" s="705">
        <f t="shared" si="13"/>
        <v>100</v>
      </c>
      <c r="V40" s="704" t="s">
        <v>14</v>
      </c>
      <c r="W40" s="705">
        <f t="shared" si="14"/>
        <v>100</v>
      </c>
      <c r="X40" s="1354"/>
      <c r="Y40" s="369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2"/>
      <c r="Q41" s="1351" t="str">
        <f t="shared" si="11"/>
        <v>层高</v>
      </c>
      <c r="R41" s="704" t="s">
        <v>14</v>
      </c>
      <c r="S41" s="705">
        <f t="shared" si="12"/>
        <v>100</v>
      </c>
      <c r="T41" s="704" t="s">
        <v>14</v>
      </c>
      <c r="U41" s="705">
        <f t="shared" si="13"/>
        <v>100</v>
      </c>
      <c r="V41" s="704" t="s">
        <v>14</v>
      </c>
      <c r="W41" s="705">
        <f t="shared" si="14"/>
        <v>100</v>
      </c>
      <c r="X41" s="1354"/>
      <c r="Y41" s="369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2"/>
      <c r="Q42" s="706" t="str">
        <f t="shared" si="11"/>
        <v>单套建筑面积</v>
      </c>
      <c r="R42" s="707" t="s">
        <v>14</v>
      </c>
      <c r="S42" s="708">
        <f t="shared" si="12"/>
        <v>100</v>
      </c>
      <c r="T42" s="707" t="s">
        <v>14</v>
      </c>
      <c r="U42" s="708">
        <f t="shared" si="13"/>
        <v>100</v>
      </c>
      <c r="V42" s="707" t="s">
        <v>14</v>
      </c>
      <c r="W42" s="708">
        <f t="shared" si="14"/>
        <v>100</v>
      </c>
      <c r="X42" s="709"/>
      <c r="Y42" s="3694"/>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2"/>
      <c r="Q43" s="1351" t="str">
        <f t="shared" si="11"/>
        <v>内部装修</v>
      </c>
      <c r="R43" s="704" t="s">
        <v>14</v>
      </c>
      <c r="S43" s="705">
        <f t="shared" si="12"/>
        <v>100</v>
      </c>
      <c r="T43" s="704" t="s">
        <v>14</v>
      </c>
      <c r="U43" s="705">
        <f t="shared" si="13"/>
        <v>100</v>
      </c>
      <c r="V43" s="704" t="s">
        <v>14</v>
      </c>
      <c r="W43" s="705">
        <f t="shared" si="14"/>
        <v>100</v>
      </c>
      <c r="X43" s="1354"/>
      <c r="Y43" s="3694"/>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2"/>
      <c r="Q44" s="1351" t="str">
        <f t="shared" si="11"/>
        <v>内部装修维护情况</v>
      </c>
      <c r="R44" s="704" t="s">
        <v>14</v>
      </c>
      <c r="S44" s="705">
        <f t="shared" si="12"/>
        <v>100</v>
      </c>
      <c r="T44" s="704" t="s">
        <v>14</v>
      </c>
      <c r="U44" s="705">
        <f t="shared" si="13"/>
        <v>100</v>
      </c>
      <c r="V44" s="704" t="s">
        <v>14</v>
      </c>
      <c r="W44" s="705">
        <f t="shared" si="14"/>
        <v>100</v>
      </c>
      <c r="X44" s="1354"/>
      <c r="Y44" s="3694"/>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2"/>
      <c r="Q45" s="1342">
        <f t="shared" si="11"/>
        <v>111</v>
      </c>
      <c r="R45" s="700" t="s">
        <v>14</v>
      </c>
      <c r="S45" s="701">
        <f t="shared" si="12"/>
        <v>100</v>
      </c>
      <c r="T45" s="700" t="s">
        <v>14</v>
      </c>
      <c r="U45" s="701">
        <f t="shared" si="13"/>
        <v>100</v>
      </c>
      <c r="V45" s="700" t="s">
        <v>14</v>
      </c>
      <c r="W45" s="701">
        <f t="shared" si="14"/>
        <v>100</v>
      </c>
      <c r="X45" s="702"/>
      <c r="Y45" s="3694"/>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2"/>
      <c r="Q46" s="1351">
        <f t="shared" si="11"/>
        <v>111</v>
      </c>
      <c r="R46" s="704" t="s">
        <v>14</v>
      </c>
      <c r="S46" s="705">
        <f t="shared" si="12"/>
        <v>100</v>
      </c>
      <c r="T46" s="704" t="s">
        <v>14</v>
      </c>
      <c r="U46" s="705">
        <f t="shared" si="13"/>
        <v>100</v>
      </c>
      <c r="V46" s="704" t="s">
        <v>14</v>
      </c>
      <c r="W46" s="705">
        <f t="shared" si="14"/>
        <v>100</v>
      </c>
      <c r="X46" s="1354"/>
      <c r="Y46" s="369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3"/>
      <c r="Q47" s="1351">
        <f t="shared" si="11"/>
        <v>111</v>
      </c>
      <c r="R47" s="704" t="s">
        <v>14</v>
      </c>
      <c r="S47" s="705">
        <f t="shared" si="12"/>
        <v>100</v>
      </c>
      <c r="T47" s="704" t="s">
        <v>14</v>
      </c>
      <c r="U47" s="705">
        <f t="shared" si="13"/>
        <v>100</v>
      </c>
      <c r="V47" s="704" t="s">
        <v>14</v>
      </c>
      <c r="W47" s="705">
        <f t="shared" si="14"/>
        <v>100</v>
      </c>
      <c r="X47" s="1354"/>
      <c r="Y47" s="3695"/>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73" t="str">
        <f>A48</f>
        <v>成交单价（元/平方米）</v>
      </c>
      <c r="Q48" s="3696"/>
      <c r="R48" s="3697">
        <f>E48</f>
        <v>0</v>
      </c>
      <c r="S48" s="3697"/>
      <c r="T48" s="3697">
        <f>G48</f>
        <v>0</v>
      </c>
      <c r="U48" s="3697"/>
      <c r="V48" s="3697">
        <f>I48</f>
        <v>0</v>
      </c>
      <c r="W48" s="3697"/>
      <c r="X48" s="397"/>
      <c r="Y48" s="711"/>
      <c r="Z48" s="397"/>
      <c r="AA48" s="397"/>
      <c r="AB48" s="397"/>
      <c r="AC48" s="577"/>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73"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145.19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912"/>
      <c r="M4" s="913"/>
      <c r="N4" s="913"/>
      <c r="O4" s="913"/>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29" ht="15">
      <c r="A5" s="358"/>
      <c r="B5" s="359"/>
      <c r="C5" s="3734" t="s">
        <v>1673</v>
      </c>
      <c r="D5" s="3668"/>
      <c r="E5" s="3733" t="s">
        <v>1674</v>
      </c>
      <c r="F5" s="3666"/>
      <c r="G5" s="3734" t="s">
        <v>1675</v>
      </c>
      <c r="H5" s="3668"/>
      <c r="I5" s="3734" t="s">
        <v>1676</v>
      </c>
      <c r="J5" s="3668"/>
      <c r="K5" s="559"/>
      <c r="L5" s="912"/>
      <c r="M5" s="913"/>
      <c r="N5" s="913"/>
      <c r="O5" s="913"/>
      <c r="P5" s="3680"/>
      <c r="Q5" s="3681"/>
      <c r="R5" s="3663"/>
      <c r="S5" s="3664"/>
      <c r="T5" s="3663"/>
      <c r="U5" s="3664"/>
      <c r="V5" s="3658"/>
      <c r="W5" s="3658"/>
      <c r="X5" s="1354"/>
      <c r="Y5" s="3663"/>
      <c r="Z5" s="3664"/>
      <c r="AA5" s="3656"/>
      <c r="AB5" s="3656"/>
      <c r="AC5" s="3656"/>
    </row>
    <row r="6" spans="1:29" ht="15.75" thickBot="1">
      <c r="A6" s="360"/>
      <c r="B6" s="361"/>
      <c r="C6" s="3669" t="s">
        <v>1677</v>
      </c>
      <c r="D6" s="3670"/>
      <c r="E6" s="3671" t="s">
        <v>1677</v>
      </c>
      <c r="F6" s="3672"/>
      <c r="G6" s="3669" t="s">
        <v>1677</v>
      </c>
      <c r="H6" s="3670"/>
      <c r="I6" s="3669" t="s">
        <v>1677</v>
      </c>
      <c r="J6" s="3670"/>
      <c r="K6" s="559" t="s">
        <v>1678</v>
      </c>
      <c r="L6" s="912"/>
      <c r="M6" s="913"/>
      <c r="N6" s="913"/>
      <c r="O6" s="913"/>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45163</v>
      </c>
      <c r="D7" s="365">
        <v>100</v>
      </c>
      <c r="E7" s="366"/>
      <c r="F7" s="367">
        <f>SUMIF(52:52,YEAR(E7)&amp;"-"&amp;MONTH(E7),53:53)</f>
        <v>0</v>
      </c>
      <c r="G7" s="366"/>
      <c r="H7" s="365">
        <f>SUMIF(52:52,YEAR(G7)&amp;"-"&amp;MONTH(G7),53:53)</f>
        <v>0</v>
      </c>
      <c r="I7" s="366"/>
      <c r="J7" s="365">
        <f>SUMIF(52:52,YEAR(I7)&amp;"-"&amp;MONTH(I7),53:53)</f>
        <v>0</v>
      </c>
      <c r="K7" s="560"/>
      <c r="L7" s="914"/>
      <c r="M7" s="915"/>
      <c r="N7" s="915"/>
      <c r="O7" s="915"/>
      <c r="P7" s="3659" t="s">
        <v>1680</v>
      </c>
      <c r="Q7" s="3686"/>
      <c r="R7" s="700" t="s">
        <v>14</v>
      </c>
      <c r="S7" s="701">
        <f t="shared" ref="S7:S15" si="0">F7</f>
        <v>0</v>
      </c>
      <c r="T7" s="700" t="s">
        <v>14</v>
      </c>
      <c r="U7" s="701">
        <f t="shared" ref="U7:U15" si="1">H7</f>
        <v>0</v>
      </c>
      <c r="V7" s="700" t="s">
        <v>14</v>
      </c>
      <c r="W7" s="701">
        <f t="shared" ref="W7:W15" si="2">J7</f>
        <v>0</v>
      </c>
      <c r="X7" s="702"/>
      <c r="Y7" s="3659" t="s">
        <v>1680</v>
      </c>
      <c r="Z7" s="3660"/>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9" t="s">
        <v>1683</v>
      </c>
      <c r="Q8" s="3660"/>
      <c r="R8" s="700" t="s">
        <v>14</v>
      </c>
      <c r="S8" s="701">
        <f t="shared" si="0"/>
        <v>100</v>
      </c>
      <c r="T8" s="700" t="s">
        <v>14</v>
      </c>
      <c r="U8" s="701">
        <f t="shared" si="1"/>
        <v>100</v>
      </c>
      <c r="V8" s="700" t="s">
        <v>14</v>
      </c>
      <c r="W8" s="701">
        <f t="shared" si="2"/>
        <v>100</v>
      </c>
      <c r="X8" s="702"/>
      <c r="Y8" s="3659" t="s">
        <v>1683</v>
      </c>
      <c r="Z8" s="3660"/>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6"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9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6"/>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9" t="s">
        <v>1691</v>
      </c>
      <c r="Q15" s="1351" t="str">
        <f t="shared" si="6"/>
        <v>产业集聚程度</v>
      </c>
      <c r="R15" s="704" t="s">
        <v>14</v>
      </c>
      <c r="S15" s="705">
        <f t="shared" si="0"/>
        <v>100</v>
      </c>
      <c r="T15" s="704" t="s">
        <v>14</v>
      </c>
      <c r="U15" s="705">
        <f t="shared" si="1"/>
        <v>100</v>
      </c>
      <c r="V15" s="704" t="s">
        <v>14</v>
      </c>
      <c r="W15" s="705">
        <f t="shared" si="2"/>
        <v>100</v>
      </c>
      <c r="X15" s="1354"/>
      <c r="Y15" s="368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0"/>
      <c r="Q16" s="1351"/>
      <c r="R16" s="704"/>
      <c r="S16" s="705"/>
      <c r="T16" s="704"/>
      <c r="U16" s="705"/>
      <c r="V16" s="704"/>
      <c r="W16" s="705"/>
      <c r="X16" s="1354"/>
      <c r="Y16" s="3690"/>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0"/>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0"/>
      <c r="Q18" s="1351"/>
      <c r="R18" s="704"/>
      <c r="S18" s="705"/>
      <c r="T18" s="704"/>
      <c r="U18" s="705"/>
      <c r="V18" s="704"/>
      <c r="W18" s="705"/>
      <c r="X18" s="1354"/>
      <c r="Y18" s="3690"/>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0"/>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0"/>
      <c r="Q20" s="1351"/>
      <c r="R20" s="704"/>
      <c r="S20" s="705"/>
      <c r="T20" s="704"/>
      <c r="U20" s="705"/>
      <c r="V20" s="704"/>
      <c r="W20" s="705"/>
      <c r="X20" s="1354"/>
      <c r="Y20" s="3690"/>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0"/>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0"/>
      <c r="Q22" s="1351"/>
      <c r="R22" s="704"/>
      <c r="S22" s="705"/>
      <c r="T22" s="704"/>
      <c r="U22" s="705"/>
      <c r="V22" s="704"/>
      <c r="W22" s="705"/>
      <c r="X22" s="1354"/>
      <c r="Y22" s="3690"/>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0"/>
      <c r="Q23" s="1351" t="str">
        <f>B23</f>
        <v>环境质量</v>
      </c>
      <c r="R23" s="704" t="s">
        <v>14</v>
      </c>
      <c r="S23" s="705">
        <f>F23</f>
        <v>100</v>
      </c>
      <c r="T23" s="704" t="s">
        <v>14</v>
      </c>
      <c r="U23" s="705">
        <f>H23</f>
        <v>100</v>
      </c>
      <c r="V23" s="704" t="s">
        <v>14</v>
      </c>
      <c r="W23" s="705">
        <f>J23</f>
        <v>100</v>
      </c>
      <c r="X23" s="1354"/>
      <c r="Y23" s="369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0"/>
      <c r="Q24" s="1351"/>
      <c r="R24" s="704"/>
      <c r="S24" s="705"/>
      <c r="T24" s="704"/>
      <c r="U24" s="705"/>
      <c r="V24" s="704"/>
      <c r="W24" s="705"/>
      <c r="X24" s="1354"/>
      <c r="Y24" s="369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0"/>
      <c r="Q25" s="1351">
        <f>B25</f>
        <v>111</v>
      </c>
      <c r="R25" s="704" t="s">
        <v>14</v>
      </c>
      <c r="S25" s="705">
        <f>F25</f>
        <v>100</v>
      </c>
      <c r="T25" s="704" t="s">
        <v>14</v>
      </c>
      <c r="U25" s="705">
        <f>H25</f>
        <v>100</v>
      </c>
      <c r="V25" s="704" t="s">
        <v>14</v>
      </c>
      <c r="W25" s="705">
        <f>J25</f>
        <v>100</v>
      </c>
      <c r="X25" s="1354"/>
      <c r="Y25" s="369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0"/>
      <c r="Q26" s="1351">
        <f t="shared" ref="Q26:Q40" si="11">B26</f>
        <v>111</v>
      </c>
      <c r="R26" s="704" t="s">
        <v>14</v>
      </c>
      <c r="S26" s="705">
        <f>F26</f>
        <v>100</v>
      </c>
      <c r="T26" s="704" t="s">
        <v>14</v>
      </c>
      <c r="U26" s="705">
        <f>H26</f>
        <v>100</v>
      </c>
      <c r="V26" s="704" t="s">
        <v>14</v>
      </c>
      <c r="W26" s="705">
        <f>J26</f>
        <v>100</v>
      </c>
      <c r="X26" s="1354"/>
      <c r="Y26" s="369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0"/>
      <c r="Q27" s="1342">
        <f t="shared" si="11"/>
        <v>111</v>
      </c>
      <c r="R27" s="700" t="s">
        <v>14</v>
      </c>
      <c r="S27" s="701">
        <f>F27</f>
        <v>100</v>
      </c>
      <c r="T27" s="700" t="s">
        <v>14</v>
      </c>
      <c r="U27" s="701">
        <f>H27</f>
        <v>100</v>
      </c>
      <c r="V27" s="700" t="s">
        <v>14</v>
      </c>
      <c r="W27" s="701">
        <f>J27</f>
        <v>100</v>
      </c>
      <c r="X27" s="702"/>
      <c r="Y27" s="369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0"/>
      <c r="Q28" s="1351">
        <f t="shared" si="11"/>
        <v>111</v>
      </c>
      <c r="R28" s="704" t="s">
        <v>14</v>
      </c>
      <c r="S28" s="705">
        <f t="shared" ref="S28:S40" si="12">F28</f>
        <v>100</v>
      </c>
      <c r="T28" s="704" t="s">
        <v>14</v>
      </c>
      <c r="U28" s="705">
        <f t="shared" ref="U28:U40" si="13">H28</f>
        <v>100</v>
      </c>
      <c r="V28" s="704" t="s">
        <v>14</v>
      </c>
      <c r="W28" s="705">
        <f t="shared" ref="W28:W40" si="14">J28</f>
        <v>100</v>
      </c>
      <c r="X28" s="1354"/>
      <c r="Y28" s="369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0" t="s">
        <v>1696</v>
      </c>
      <c r="Q29" s="1351" t="str">
        <f t="shared" si="11"/>
        <v>建筑类型</v>
      </c>
      <c r="R29" s="704" t="s">
        <v>14</v>
      </c>
      <c r="S29" s="705">
        <f t="shared" si="12"/>
        <v>100</v>
      </c>
      <c r="T29" s="704" t="s">
        <v>14</v>
      </c>
      <c r="U29" s="705">
        <f t="shared" si="13"/>
        <v>100</v>
      </c>
      <c r="V29" s="704" t="s">
        <v>14</v>
      </c>
      <c r="W29" s="705">
        <f t="shared" si="14"/>
        <v>100</v>
      </c>
      <c r="X29" s="1354"/>
      <c r="Y29" s="369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4"/>
      <c r="Q30" s="706" t="str">
        <f t="shared" si="11"/>
        <v>项目建筑规模</v>
      </c>
      <c r="R30" s="707" t="s">
        <v>14</v>
      </c>
      <c r="S30" s="708" t="e">
        <f t="shared" si="12"/>
        <v>#N/A</v>
      </c>
      <c r="T30" s="707" t="s">
        <v>14</v>
      </c>
      <c r="U30" s="708" t="e">
        <f t="shared" si="13"/>
        <v>#N/A</v>
      </c>
      <c r="V30" s="707" t="s">
        <v>14</v>
      </c>
      <c r="W30" s="708" t="e">
        <f t="shared" si="14"/>
        <v>#N/A</v>
      </c>
      <c r="X30" s="709"/>
      <c r="Y30" s="3694"/>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4"/>
      <c r="Q31" s="1351" t="str">
        <f t="shared" si="11"/>
        <v>建筑结构</v>
      </c>
      <c r="R31" s="704" t="s">
        <v>14</v>
      </c>
      <c r="S31" s="705">
        <f t="shared" si="12"/>
        <v>100</v>
      </c>
      <c r="T31" s="704" t="s">
        <v>14</v>
      </c>
      <c r="U31" s="705">
        <f t="shared" si="13"/>
        <v>100</v>
      </c>
      <c r="V31" s="704" t="s">
        <v>14</v>
      </c>
      <c r="W31" s="705">
        <f t="shared" si="14"/>
        <v>100</v>
      </c>
      <c r="X31" s="1354"/>
      <c r="Y31" s="369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4"/>
      <c r="Q32" s="1351" t="str">
        <f t="shared" si="11"/>
        <v>公共部分装修</v>
      </c>
      <c r="R32" s="704" t="s">
        <v>14</v>
      </c>
      <c r="S32" s="705">
        <f t="shared" si="12"/>
        <v>100</v>
      </c>
      <c r="T32" s="704" t="s">
        <v>14</v>
      </c>
      <c r="U32" s="705">
        <f t="shared" si="13"/>
        <v>100</v>
      </c>
      <c r="V32" s="704" t="s">
        <v>14</v>
      </c>
      <c r="W32" s="705">
        <f t="shared" si="14"/>
        <v>100</v>
      </c>
      <c r="X32" s="1354"/>
      <c r="Y32" s="369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4"/>
      <c r="Q33" s="1351" t="str">
        <f t="shared" si="11"/>
        <v>成新度</v>
      </c>
      <c r="R33" s="704" t="s">
        <v>14</v>
      </c>
      <c r="S33" s="705" t="e">
        <f t="shared" si="12"/>
        <v>#N/A</v>
      </c>
      <c r="T33" s="704" t="s">
        <v>14</v>
      </c>
      <c r="U33" s="705" t="e">
        <f t="shared" si="13"/>
        <v>#N/A</v>
      </c>
      <c r="V33" s="704" t="s">
        <v>14</v>
      </c>
      <c r="W33" s="705" t="e">
        <f t="shared" si="14"/>
        <v>#N/A</v>
      </c>
      <c r="X33" s="1354"/>
      <c r="Y33" s="369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4"/>
      <c r="Q34" s="1342" t="str">
        <f t="shared" si="11"/>
        <v>物业管理</v>
      </c>
      <c r="R34" s="700" t="s">
        <v>14</v>
      </c>
      <c r="S34" s="701">
        <f t="shared" si="12"/>
        <v>100</v>
      </c>
      <c r="T34" s="700" t="s">
        <v>14</v>
      </c>
      <c r="U34" s="701">
        <f t="shared" si="13"/>
        <v>100</v>
      </c>
      <c r="V34" s="700" t="s">
        <v>14</v>
      </c>
      <c r="W34" s="701">
        <f t="shared" si="14"/>
        <v>100</v>
      </c>
      <c r="X34" s="702"/>
      <c r="Y34" s="369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4" t="s">
        <v>1696</v>
      </c>
      <c r="Q35" s="1351" t="str">
        <f t="shared" si="11"/>
        <v>市政基础设施</v>
      </c>
      <c r="R35" s="704" t="s">
        <v>14</v>
      </c>
      <c r="S35" s="705">
        <f t="shared" si="12"/>
        <v>100</v>
      </c>
      <c r="T35" s="704" t="s">
        <v>14</v>
      </c>
      <c r="U35" s="705">
        <f t="shared" si="13"/>
        <v>100</v>
      </c>
      <c r="V35" s="704" t="s">
        <v>14</v>
      </c>
      <c r="W35" s="705">
        <f t="shared" si="14"/>
        <v>100</v>
      </c>
      <c r="X35" s="1354"/>
      <c r="Y35" s="369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4"/>
      <c r="Q36" s="1351" t="str">
        <f t="shared" si="11"/>
        <v>内部装修</v>
      </c>
      <c r="R36" s="704" t="s">
        <v>14</v>
      </c>
      <c r="S36" s="705">
        <f t="shared" si="12"/>
        <v>100</v>
      </c>
      <c r="T36" s="704" t="s">
        <v>14</v>
      </c>
      <c r="U36" s="705">
        <f t="shared" si="13"/>
        <v>100</v>
      </c>
      <c r="V36" s="704" t="s">
        <v>14</v>
      </c>
      <c r="W36" s="705">
        <f t="shared" si="14"/>
        <v>100</v>
      </c>
      <c r="X36" s="1354"/>
      <c r="Y36" s="369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4"/>
      <c r="Q37" s="1351" t="str">
        <f t="shared" si="11"/>
        <v>内部装修状况</v>
      </c>
      <c r="R37" s="704" t="s">
        <v>14</v>
      </c>
      <c r="S37" s="705">
        <f t="shared" si="12"/>
        <v>100</v>
      </c>
      <c r="T37" s="704" t="s">
        <v>14</v>
      </c>
      <c r="U37" s="705">
        <f t="shared" si="13"/>
        <v>100</v>
      </c>
      <c r="V37" s="704" t="s">
        <v>14</v>
      </c>
      <c r="W37" s="705">
        <f t="shared" si="14"/>
        <v>100</v>
      </c>
      <c r="X37" s="1354"/>
      <c r="Y37" s="369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4"/>
      <c r="Q38" s="706">
        <f t="shared" si="11"/>
        <v>111</v>
      </c>
      <c r="R38" s="707" t="s">
        <v>14</v>
      </c>
      <c r="S38" s="708">
        <f t="shared" si="12"/>
        <v>100</v>
      </c>
      <c r="T38" s="707" t="s">
        <v>14</v>
      </c>
      <c r="U38" s="708">
        <f t="shared" si="13"/>
        <v>100</v>
      </c>
      <c r="V38" s="707" t="s">
        <v>14</v>
      </c>
      <c r="W38" s="708">
        <f t="shared" si="14"/>
        <v>100</v>
      </c>
      <c r="X38" s="709"/>
      <c r="Y38" s="369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4"/>
      <c r="Q39" s="1351">
        <f t="shared" si="11"/>
        <v>111</v>
      </c>
      <c r="R39" s="704" t="s">
        <v>14</v>
      </c>
      <c r="S39" s="705">
        <f t="shared" si="12"/>
        <v>100</v>
      </c>
      <c r="T39" s="704" t="s">
        <v>14</v>
      </c>
      <c r="U39" s="705">
        <f t="shared" si="13"/>
        <v>100</v>
      </c>
      <c r="V39" s="704" t="s">
        <v>14</v>
      </c>
      <c r="W39" s="705">
        <f t="shared" si="14"/>
        <v>100</v>
      </c>
      <c r="X39" s="1354"/>
      <c r="Y39" s="369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5"/>
      <c r="Q40" s="1351">
        <f t="shared" si="11"/>
        <v>111</v>
      </c>
      <c r="R40" s="704" t="s">
        <v>14</v>
      </c>
      <c r="S40" s="705">
        <f t="shared" si="12"/>
        <v>100</v>
      </c>
      <c r="T40" s="704" t="s">
        <v>14</v>
      </c>
      <c r="U40" s="705">
        <f t="shared" si="13"/>
        <v>100</v>
      </c>
      <c r="V40" s="704" t="s">
        <v>14</v>
      </c>
      <c r="W40" s="705">
        <f t="shared" si="14"/>
        <v>100</v>
      </c>
      <c r="X40" s="1354"/>
      <c r="Y40" s="369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6" t="str">
        <f>A41</f>
        <v>成交单价（元/平方米）</v>
      </c>
      <c r="Q41" s="3696"/>
      <c r="R41" s="3697">
        <f>E41</f>
        <v>0</v>
      </c>
      <c r="S41" s="3697"/>
      <c r="T41" s="3697">
        <f>G41</f>
        <v>0</v>
      </c>
      <c r="U41" s="3697"/>
      <c r="V41" s="3697">
        <f>I41</f>
        <v>0</v>
      </c>
      <c r="W41" s="3697"/>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29" ht="15">
      <c r="A5" s="358"/>
      <c r="B5" s="359"/>
      <c r="C5" s="3734" t="s">
        <v>1673</v>
      </c>
      <c r="D5" s="3668"/>
      <c r="E5" s="3733" t="s">
        <v>1674</v>
      </c>
      <c r="F5" s="3666"/>
      <c r="G5" s="3734" t="s">
        <v>1675</v>
      </c>
      <c r="H5" s="3668"/>
      <c r="I5" s="3734" t="s">
        <v>1676</v>
      </c>
      <c r="J5" s="3668"/>
      <c r="K5" s="559"/>
      <c r="L5" s="2714"/>
      <c r="M5" s="2715"/>
      <c r="N5" s="2715"/>
      <c r="O5" s="2715"/>
      <c r="P5" s="3680"/>
      <c r="Q5" s="3681"/>
      <c r="R5" s="3663"/>
      <c r="S5" s="3664"/>
      <c r="T5" s="3663"/>
      <c r="U5" s="3664"/>
      <c r="V5" s="3658"/>
      <c r="W5" s="3658"/>
      <c r="X5" s="1354"/>
      <c r="Y5" s="3663"/>
      <c r="Z5" s="3664"/>
      <c r="AA5" s="3656"/>
      <c r="AB5" s="3656"/>
      <c r="AC5" s="3656"/>
    </row>
    <row r="6" spans="1:29" ht="15.75" thickBot="1">
      <c r="A6" s="360"/>
      <c r="B6" s="361"/>
      <c r="C6" s="3669" t="s">
        <v>1677</v>
      </c>
      <c r="D6" s="3670"/>
      <c r="E6" s="3671" t="s">
        <v>1677</v>
      </c>
      <c r="F6" s="3672"/>
      <c r="G6" s="3669" t="s">
        <v>1677</v>
      </c>
      <c r="H6" s="3670"/>
      <c r="I6" s="3669" t="s">
        <v>1677</v>
      </c>
      <c r="J6" s="3670"/>
      <c r="K6" s="559" t="s">
        <v>1678</v>
      </c>
      <c r="L6" s="2714"/>
      <c r="M6" s="2715"/>
      <c r="N6" s="2715"/>
      <c r="O6" s="2715"/>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45163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9" t="s">
        <v>1680</v>
      </c>
      <c r="Q7" s="3686"/>
      <c r="R7" s="700" t="s">
        <v>14</v>
      </c>
      <c r="S7" s="701">
        <f t="shared" ref="S7:S14" si="0">F7</f>
        <v>0</v>
      </c>
      <c r="T7" s="700" t="s">
        <v>14</v>
      </c>
      <c r="U7" s="701">
        <f t="shared" ref="U7:U14" si="1">H7</f>
        <v>0</v>
      </c>
      <c r="V7" s="700" t="s">
        <v>14</v>
      </c>
      <c r="W7" s="701">
        <f t="shared" ref="W7:W14" si="2">J7</f>
        <v>0</v>
      </c>
      <c r="X7" s="702"/>
      <c r="Y7" s="3659" t="s">
        <v>1680</v>
      </c>
      <c r="Z7" s="3660"/>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9" t="s">
        <v>1683</v>
      </c>
      <c r="Q8" s="3660"/>
      <c r="R8" s="700" t="s">
        <v>14</v>
      </c>
      <c r="S8" s="701">
        <f t="shared" si="0"/>
        <v>100</v>
      </c>
      <c r="T8" s="700" t="s">
        <v>14</v>
      </c>
      <c r="U8" s="701">
        <f t="shared" si="1"/>
        <v>100</v>
      </c>
      <c r="V8" s="700" t="s">
        <v>14</v>
      </c>
      <c r="W8" s="701">
        <f t="shared" si="2"/>
        <v>100</v>
      </c>
      <c r="X8" s="702"/>
      <c r="Y8" s="3659" t="s">
        <v>1683</v>
      </c>
      <c r="Z8" s="3660"/>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2" t="str">
        <f t="shared" ref="Q9:Q14" si="6">B9</f>
        <v>用途</v>
      </c>
      <c r="R9" s="700" t="s">
        <v>14</v>
      </c>
      <c r="S9" s="701">
        <f t="shared" si="0"/>
        <v>100</v>
      </c>
      <c r="T9" s="700" t="s">
        <v>14</v>
      </c>
      <c r="U9" s="701">
        <f t="shared" si="1"/>
        <v>100</v>
      </c>
      <c r="V9" s="700" t="s">
        <v>14</v>
      </c>
      <c r="W9" s="701">
        <f t="shared" si="2"/>
        <v>100</v>
      </c>
      <c r="X9" s="702"/>
      <c r="Y9" s="3628"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2">
        <f t="shared" si="6"/>
        <v>111</v>
      </c>
      <c r="R11" s="700" t="s">
        <v>14</v>
      </c>
      <c r="S11" s="701">
        <f t="shared" si="0"/>
        <v>100</v>
      </c>
      <c r="T11" s="700" t="s">
        <v>14</v>
      </c>
      <c r="U11" s="701">
        <f t="shared" si="1"/>
        <v>100</v>
      </c>
      <c r="V11" s="700" t="s">
        <v>14</v>
      </c>
      <c r="W11" s="701">
        <f t="shared" si="2"/>
        <v>100</v>
      </c>
      <c r="X11" s="702"/>
      <c r="Y11" s="362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9" t="s">
        <v>1691</v>
      </c>
      <c r="Q14" s="1351" t="str">
        <f t="shared" si="6"/>
        <v>交通便捷度</v>
      </c>
      <c r="R14" s="704" t="s">
        <v>14</v>
      </c>
      <c r="S14" s="705">
        <f t="shared" si="0"/>
        <v>100</v>
      </c>
      <c r="T14" s="704" t="s">
        <v>14</v>
      </c>
      <c r="U14" s="705">
        <f t="shared" si="1"/>
        <v>100</v>
      </c>
      <c r="V14" s="704" t="s">
        <v>14</v>
      </c>
      <c r="W14" s="705">
        <f t="shared" si="2"/>
        <v>100</v>
      </c>
      <c r="X14" s="1354"/>
      <c r="Y14" s="3689"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90"/>
      <c r="Q15" s="1351"/>
      <c r="R15" s="704"/>
      <c r="S15" s="705"/>
      <c r="T15" s="704"/>
      <c r="U15" s="705"/>
      <c r="V15" s="704"/>
      <c r="W15" s="705"/>
      <c r="X15" s="1354"/>
      <c r="Y15" s="3690"/>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0"/>
      <c r="Q16" s="1351" t="str">
        <f>B16</f>
        <v>公共配套设施</v>
      </c>
      <c r="R16" s="704" t="s">
        <v>14</v>
      </c>
      <c r="S16" s="705">
        <f>F16</f>
        <v>100</v>
      </c>
      <c r="T16" s="704" t="s">
        <v>14</v>
      </c>
      <c r="U16" s="705">
        <f>H16</f>
        <v>100</v>
      </c>
      <c r="V16" s="704" t="s">
        <v>14</v>
      </c>
      <c r="W16" s="705">
        <f>J16</f>
        <v>100</v>
      </c>
      <c r="X16" s="1354"/>
      <c r="Y16" s="3690"/>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90"/>
      <c r="Q17" s="1351"/>
      <c r="R17" s="704"/>
      <c r="S17" s="705"/>
      <c r="T17" s="704"/>
      <c r="U17" s="705"/>
      <c r="V17" s="704"/>
      <c r="W17" s="705"/>
      <c r="X17" s="1354"/>
      <c r="Y17" s="3690"/>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0"/>
      <c r="Q18" s="1351" t="str">
        <f>B18</f>
        <v>基础设施水平</v>
      </c>
      <c r="R18" s="704" t="s">
        <v>14</v>
      </c>
      <c r="S18" s="705">
        <f>F18</f>
        <v>100</v>
      </c>
      <c r="T18" s="704" t="s">
        <v>14</v>
      </c>
      <c r="U18" s="705">
        <f>H18</f>
        <v>100</v>
      </c>
      <c r="V18" s="704" t="s">
        <v>14</v>
      </c>
      <c r="W18" s="705">
        <f>J18</f>
        <v>100</v>
      </c>
      <c r="X18" s="1354"/>
      <c r="Y18" s="3690"/>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90"/>
      <c r="Q19" s="1351"/>
      <c r="R19" s="704"/>
      <c r="S19" s="705"/>
      <c r="T19" s="704"/>
      <c r="U19" s="705"/>
      <c r="V19" s="704"/>
      <c r="W19" s="705"/>
      <c r="X19" s="1354"/>
      <c r="Y19" s="3690"/>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0"/>
      <c r="Q20" s="1351" t="str">
        <f>B20</f>
        <v>自然及人文环境</v>
      </c>
      <c r="R20" s="704" t="s">
        <v>14</v>
      </c>
      <c r="S20" s="705">
        <f>F20</f>
        <v>100</v>
      </c>
      <c r="T20" s="704" t="s">
        <v>14</v>
      </c>
      <c r="U20" s="705">
        <f>H20</f>
        <v>100</v>
      </c>
      <c r="V20" s="704" t="s">
        <v>14</v>
      </c>
      <c r="W20" s="705">
        <f>J20</f>
        <v>100</v>
      </c>
      <c r="X20" s="1354"/>
      <c r="Y20" s="3690"/>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90"/>
      <c r="Q21" s="1351"/>
      <c r="R21" s="704"/>
      <c r="S21" s="705"/>
      <c r="T21" s="704"/>
      <c r="U21" s="705"/>
      <c r="V21" s="704"/>
      <c r="W21" s="705"/>
      <c r="X21" s="1354"/>
      <c r="Y21" s="3690"/>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0"/>
      <c r="Q22" s="1351" t="str">
        <f>B22</f>
        <v>楼层</v>
      </c>
      <c r="R22" s="704" t="s">
        <v>14</v>
      </c>
      <c r="S22" s="705">
        <f>F22</f>
        <v>100</v>
      </c>
      <c r="T22" s="704" t="s">
        <v>14</v>
      </c>
      <c r="U22" s="705">
        <f>H22</f>
        <v>100</v>
      </c>
      <c r="V22" s="704" t="s">
        <v>14</v>
      </c>
      <c r="W22" s="705">
        <f>J22</f>
        <v>100</v>
      </c>
      <c r="X22" s="1354"/>
      <c r="Y22" s="3690"/>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0"/>
      <c r="Q23" s="1351">
        <f>B23</f>
        <v>111</v>
      </c>
      <c r="R23" s="704" t="s">
        <v>14</v>
      </c>
      <c r="S23" s="705">
        <f>F23</f>
        <v>100</v>
      </c>
      <c r="T23" s="704" t="s">
        <v>14</v>
      </c>
      <c r="U23" s="705">
        <f>H23</f>
        <v>100</v>
      </c>
      <c r="V23" s="704" t="s">
        <v>14</v>
      </c>
      <c r="W23" s="705">
        <f>J23</f>
        <v>100</v>
      </c>
      <c r="X23" s="1354"/>
      <c r="Y23" s="3690"/>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0"/>
      <c r="Q24" s="1351">
        <f t="shared" ref="Q24:Q36" si="11">B24</f>
        <v>111</v>
      </c>
      <c r="R24" s="704" t="s">
        <v>14</v>
      </c>
      <c r="S24" s="705">
        <f>F24</f>
        <v>100</v>
      </c>
      <c r="T24" s="704" t="s">
        <v>14</v>
      </c>
      <c r="U24" s="705">
        <f>H24</f>
        <v>100</v>
      </c>
      <c r="V24" s="704" t="s">
        <v>14</v>
      </c>
      <c r="W24" s="705">
        <f>J24</f>
        <v>100</v>
      </c>
      <c r="X24" s="1354"/>
      <c r="Y24" s="3690"/>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90"/>
      <c r="Q25" s="1342">
        <f t="shared" si="11"/>
        <v>111</v>
      </c>
      <c r="R25" s="700" t="s">
        <v>14</v>
      </c>
      <c r="S25" s="701">
        <f>F25</f>
        <v>100</v>
      </c>
      <c r="T25" s="700" t="s">
        <v>14</v>
      </c>
      <c r="U25" s="701">
        <f>H25</f>
        <v>100</v>
      </c>
      <c r="V25" s="700" t="s">
        <v>14</v>
      </c>
      <c r="W25" s="701">
        <f>J25</f>
        <v>100</v>
      </c>
      <c r="X25" s="702"/>
      <c r="Y25" s="3690"/>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4"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94"/>
      <c r="Q27" s="706" t="str">
        <f t="shared" si="11"/>
        <v>项目停车位配比</v>
      </c>
      <c r="R27" s="707" t="s">
        <v>14</v>
      </c>
      <c r="S27" s="708">
        <f t="shared" si="12"/>
        <v>100</v>
      </c>
      <c r="T27" s="707" t="s">
        <v>14</v>
      </c>
      <c r="U27" s="708">
        <f t="shared" si="13"/>
        <v>100</v>
      </c>
      <c r="V27" s="707" t="s">
        <v>14</v>
      </c>
      <c r="W27" s="708">
        <f t="shared" si="14"/>
        <v>100</v>
      </c>
      <c r="X27" s="709"/>
      <c r="Y27" s="3694"/>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4"/>
      <c r="Q28" s="1351" t="str">
        <f t="shared" si="11"/>
        <v>公共部分装修</v>
      </c>
      <c r="R28" s="704" t="s">
        <v>14</v>
      </c>
      <c r="S28" s="705">
        <f t="shared" si="12"/>
        <v>100</v>
      </c>
      <c r="T28" s="704" t="s">
        <v>14</v>
      </c>
      <c r="U28" s="705">
        <f t="shared" si="13"/>
        <v>100</v>
      </c>
      <c r="V28" s="704" t="s">
        <v>14</v>
      </c>
      <c r="W28" s="705">
        <f t="shared" si="14"/>
        <v>100</v>
      </c>
      <c r="X28" s="1354"/>
      <c r="Y28" s="3694"/>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4"/>
      <c r="Q29" s="1351" t="str">
        <f t="shared" si="11"/>
        <v>成新率</v>
      </c>
      <c r="R29" s="704" t="s">
        <v>14</v>
      </c>
      <c r="S29" s="705" t="e">
        <f t="shared" si="12"/>
        <v>#N/A</v>
      </c>
      <c r="T29" s="704" t="s">
        <v>14</v>
      </c>
      <c r="U29" s="705" t="e">
        <f t="shared" si="13"/>
        <v>#N/A</v>
      </c>
      <c r="V29" s="704" t="s">
        <v>14</v>
      </c>
      <c r="W29" s="705" t="e">
        <f t="shared" si="14"/>
        <v>#N/A</v>
      </c>
      <c r="X29" s="1354"/>
      <c r="Y29" s="3694"/>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94"/>
      <c r="Q30" s="1351" t="str">
        <f t="shared" si="11"/>
        <v>物业等级</v>
      </c>
      <c r="R30" s="704" t="s">
        <v>14</v>
      </c>
      <c r="S30" s="705">
        <f t="shared" si="12"/>
        <v>100</v>
      </c>
      <c r="T30" s="704" t="s">
        <v>14</v>
      </c>
      <c r="U30" s="705">
        <f t="shared" si="13"/>
        <v>100</v>
      </c>
      <c r="V30" s="704" t="s">
        <v>14</v>
      </c>
      <c r="W30" s="705">
        <f t="shared" si="14"/>
        <v>100</v>
      </c>
      <c r="X30" s="1354"/>
      <c r="Y30" s="3694"/>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4"/>
      <c r="Q31" s="1342" t="str">
        <f t="shared" si="11"/>
        <v>停车位面积</v>
      </c>
      <c r="R31" s="700" t="s">
        <v>14</v>
      </c>
      <c r="S31" s="701" t="e">
        <f t="shared" si="12"/>
        <v>#N/A</v>
      </c>
      <c r="T31" s="700" t="s">
        <v>14</v>
      </c>
      <c r="U31" s="701" t="e">
        <f t="shared" si="13"/>
        <v>#N/A</v>
      </c>
      <c r="V31" s="700" t="s">
        <v>14</v>
      </c>
      <c r="W31" s="701" t="e">
        <f t="shared" si="14"/>
        <v>#N/A</v>
      </c>
      <c r="X31" s="702"/>
      <c r="Y31" s="3694"/>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4" t="s">
        <v>1696</v>
      </c>
      <c r="Q32" s="1351" t="str">
        <f t="shared" si="11"/>
        <v>车位类型</v>
      </c>
      <c r="R32" s="704" t="s">
        <v>14</v>
      </c>
      <c r="S32" s="705">
        <f t="shared" si="12"/>
        <v>100</v>
      </c>
      <c r="T32" s="704" t="s">
        <v>14</v>
      </c>
      <c r="U32" s="705">
        <f t="shared" si="13"/>
        <v>100</v>
      </c>
      <c r="V32" s="704" t="s">
        <v>14</v>
      </c>
      <c r="W32" s="705">
        <f t="shared" si="14"/>
        <v>100</v>
      </c>
      <c r="X32" s="1354"/>
      <c r="Y32" s="3694"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4"/>
      <c r="Q33" s="1351" t="str">
        <f t="shared" si="11"/>
        <v>是否直接入户</v>
      </c>
      <c r="R33" s="704" t="s">
        <v>14</v>
      </c>
      <c r="S33" s="705">
        <f t="shared" si="12"/>
        <v>100</v>
      </c>
      <c r="T33" s="704" t="s">
        <v>14</v>
      </c>
      <c r="U33" s="705">
        <f t="shared" si="13"/>
        <v>100</v>
      </c>
      <c r="V33" s="704" t="s">
        <v>14</v>
      </c>
      <c r="W33" s="705">
        <f t="shared" si="14"/>
        <v>100</v>
      </c>
      <c r="X33" s="1354"/>
      <c r="Y33" s="3694"/>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4"/>
      <c r="Q34" s="1351">
        <f t="shared" si="11"/>
        <v>111</v>
      </c>
      <c r="R34" s="704" t="s">
        <v>14</v>
      </c>
      <c r="S34" s="705">
        <f t="shared" si="12"/>
        <v>100</v>
      </c>
      <c r="T34" s="704" t="s">
        <v>14</v>
      </c>
      <c r="U34" s="705">
        <f t="shared" si="13"/>
        <v>100</v>
      </c>
      <c r="V34" s="704" t="s">
        <v>14</v>
      </c>
      <c r="W34" s="705">
        <f t="shared" si="14"/>
        <v>100</v>
      </c>
      <c r="X34" s="1354"/>
      <c r="Y34" s="3694"/>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4"/>
      <c r="Q35" s="706">
        <f t="shared" si="11"/>
        <v>111</v>
      </c>
      <c r="R35" s="707" t="s">
        <v>14</v>
      </c>
      <c r="S35" s="708">
        <f t="shared" si="12"/>
        <v>100</v>
      </c>
      <c r="T35" s="707" t="s">
        <v>14</v>
      </c>
      <c r="U35" s="708">
        <f t="shared" si="13"/>
        <v>100</v>
      </c>
      <c r="V35" s="707" t="s">
        <v>14</v>
      </c>
      <c r="W35" s="708">
        <f t="shared" si="14"/>
        <v>100</v>
      </c>
      <c r="X35" s="709"/>
      <c r="Y35" s="3694"/>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4"/>
      <c r="Q36" s="1351">
        <f t="shared" si="11"/>
        <v>111</v>
      </c>
      <c r="R36" s="704" t="s">
        <v>14</v>
      </c>
      <c r="S36" s="705">
        <f t="shared" si="12"/>
        <v>100</v>
      </c>
      <c r="T36" s="704" t="s">
        <v>14</v>
      </c>
      <c r="U36" s="705">
        <f t="shared" si="13"/>
        <v>100</v>
      </c>
      <c r="V36" s="704" t="s">
        <v>14</v>
      </c>
      <c r="W36" s="705">
        <f t="shared" si="14"/>
        <v>100</v>
      </c>
      <c r="X36" s="1354"/>
      <c r="Y36" s="3694"/>
      <c r="Z36" s="1355">
        <f t="shared" si="15"/>
        <v>111</v>
      </c>
      <c r="AA36" s="1352">
        <f t="shared" si="3"/>
        <v>1</v>
      </c>
      <c r="AB36" s="1352">
        <f t="shared" si="4"/>
        <v>1</v>
      </c>
      <c r="AC36" s="1352">
        <f t="shared" si="5"/>
        <v>1</v>
      </c>
    </row>
    <row r="37" spans="1:29" ht="15">
      <c r="A37" s="430" t="s">
        <v>1844</v>
      </c>
      <c r="B37" s="1972" t="s">
        <v>3348</v>
      </c>
      <c r="C37" s="1153" t="s">
        <v>0</v>
      </c>
      <c r="D37" s="1154"/>
      <c r="E37" s="1155"/>
      <c r="F37" s="1156"/>
      <c r="G37" s="1157"/>
      <c r="H37" s="1158"/>
      <c r="I37" s="1155"/>
      <c r="J37" s="1158"/>
      <c r="K37" s="567"/>
      <c r="L37" s="2723"/>
      <c r="M37" s="2724"/>
      <c r="N37" s="2715"/>
      <c r="O37" s="2724"/>
      <c r="P37" s="3696" t="str">
        <f>A37</f>
        <v>成交单价</v>
      </c>
      <c r="Q37" s="3696"/>
      <c r="R37" s="3697">
        <f>E37</f>
        <v>0</v>
      </c>
      <c r="S37" s="3697"/>
      <c r="T37" s="3697">
        <f>G37</f>
        <v>0</v>
      </c>
      <c r="U37" s="3697"/>
      <c r="V37" s="3697">
        <f>I37</f>
        <v>0</v>
      </c>
      <c r="W37" s="3697"/>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98" t="str">
        <f>A39</f>
        <v>估价对象XX用房的比较价值（楼面单价，元/平方米）</v>
      </c>
      <c r="Q39" s="3699"/>
      <c r="R39" s="3751" t="e">
        <f>IF(F1="售价",ROUND(IF(D38="简单平均",AVERAGE(R38:W38),R38*F38+T38*H38+V38*J38),0),ROUND(IF(D38="简单平均",AVERAGE(R38:V38),R38*F38+T38*H38+V38*J38),1))</f>
        <v>#DIV/0!</v>
      </c>
      <c r="S39" s="3751"/>
      <c r="T39" s="3751"/>
      <c r="U39" s="3751"/>
      <c r="V39" s="3751"/>
      <c r="W39" s="3751"/>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29" ht="15">
      <c r="A5" s="358"/>
      <c r="B5" s="359"/>
      <c r="C5" s="3734" t="s">
        <v>1673</v>
      </c>
      <c r="D5" s="3668"/>
      <c r="E5" s="3733" t="s">
        <v>1674</v>
      </c>
      <c r="F5" s="3666"/>
      <c r="G5" s="3734" t="s">
        <v>1675</v>
      </c>
      <c r="H5" s="3668"/>
      <c r="I5" s="3734" t="s">
        <v>1676</v>
      </c>
      <c r="J5" s="3668"/>
      <c r="K5" s="559"/>
      <c r="L5" s="2714"/>
      <c r="M5" s="2715"/>
      <c r="N5" s="2715"/>
      <c r="O5" s="2715"/>
      <c r="P5" s="3680"/>
      <c r="Q5" s="3681"/>
      <c r="R5" s="3663"/>
      <c r="S5" s="3664"/>
      <c r="T5" s="3663"/>
      <c r="U5" s="3664"/>
      <c r="V5" s="3658"/>
      <c r="W5" s="3658"/>
      <c r="X5" s="1354"/>
      <c r="Y5" s="3663"/>
      <c r="Z5" s="3664"/>
      <c r="AA5" s="3656"/>
      <c r="AB5" s="3656"/>
      <c r="AC5" s="3656"/>
    </row>
    <row r="6" spans="1:29" ht="15.75" thickBot="1">
      <c r="A6" s="360"/>
      <c r="B6" s="361"/>
      <c r="C6" s="3669" t="s">
        <v>1677</v>
      </c>
      <c r="D6" s="3670"/>
      <c r="E6" s="3671" t="s">
        <v>1677</v>
      </c>
      <c r="F6" s="3672"/>
      <c r="G6" s="3669" t="s">
        <v>1677</v>
      </c>
      <c r="H6" s="3670"/>
      <c r="I6" s="3669" t="s">
        <v>1677</v>
      </c>
      <c r="J6" s="3670"/>
      <c r="K6" s="559" t="s">
        <v>1678</v>
      </c>
      <c r="L6" s="2714"/>
      <c r="M6" s="2715"/>
      <c r="N6" s="2715"/>
      <c r="O6" s="2715"/>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45163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9" t="s">
        <v>1680</v>
      </c>
      <c r="Q7" s="3686"/>
      <c r="R7" s="700" t="s">
        <v>14</v>
      </c>
      <c r="S7" s="701">
        <f t="shared" ref="S7:S14" si="0">F7</f>
        <v>0</v>
      </c>
      <c r="T7" s="700" t="s">
        <v>14</v>
      </c>
      <c r="U7" s="701">
        <f t="shared" ref="U7:U14" si="1">H7</f>
        <v>0</v>
      </c>
      <c r="V7" s="700" t="s">
        <v>14</v>
      </c>
      <c r="W7" s="701">
        <f t="shared" ref="W7:W14" si="2">J7</f>
        <v>0</v>
      </c>
      <c r="X7" s="702"/>
      <c r="Y7" s="3659" t="s">
        <v>1680</v>
      </c>
      <c r="Z7" s="3660"/>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9" t="s">
        <v>1683</v>
      </c>
      <c r="Q8" s="3660"/>
      <c r="R8" s="700" t="s">
        <v>14</v>
      </c>
      <c r="S8" s="701">
        <f t="shared" si="0"/>
        <v>100</v>
      </c>
      <c r="T8" s="700" t="s">
        <v>14</v>
      </c>
      <c r="U8" s="701">
        <f t="shared" si="1"/>
        <v>100</v>
      </c>
      <c r="V8" s="700" t="s">
        <v>14</v>
      </c>
      <c r="W8" s="701">
        <f t="shared" si="2"/>
        <v>100</v>
      </c>
      <c r="X8" s="702"/>
      <c r="Y8" s="3659" t="s">
        <v>1683</v>
      </c>
      <c r="Z8" s="3660"/>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2" t="str">
        <f t="shared" ref="Q9:Q14" si="6">B9</f>
        <v>用途</v>
      </c>
      <c r="R9" s="700" t="s">
        <v>14</v>
      </c>
      <c r="S9" s="701">
        <f t="shared" si="0"/>
        <v>100</v>
      </c>
      <c r="T9" s="700" t="s">
        <v>14</v>
      </c>
      <c r="U9" s="701">
        <f t="shared" si="1"/>
        <v>100</v>
      </c>
      <c r="V9" s="700" t="s">
        <v>14</v>
      </c>
      <c r="W9" s="701">
        <f t="shared" si="2"/>
        <v>100</v>
      </c>
      <c r="X9" s="702"/>
      <c r="Y9" s="3628"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2">
        <f t="shared" si="6"/>
        <v>111</v>
      </c>
      <c r="R11" s="700" t="s">
        <v>14</v>
      </c>
      <c r="S11" s="701">
        <f t="shared" si="0"/>
        <v>100</v>
      </c>
      <c r="T11" s="700" t="s">
        <v>14</v>
      </c>
      <c r="U11" s="701">
        <f t="shared" si="1"/>
        <v>100</v>
      </c>
      <c r="V11" s="700" t="s">
        <v>14</v>
      </c>
      <c r="W11" s="701">
        <f t="shared" si="2"/>
        <v>100</v>
      </c>
      <c r="X11" s="702"/>
      <c r="Y11" s="362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9" t="s">
        <v>1691</v>
      </c>
      <c r="Q14" s="1351" t="str">
        <f t="shared" si="6"/>
        <v>交通便捷度</v>
      </c>
      <c r="R14" s="704" t="s">
        <v>14</v>
      </c>
      <c r="S14" s="705">
        <f t="shared" si="0"/>
        <v>100</v>
      </c>
      <c r="T14" s="704" t="s">
        <v>14</v>
      </c>
      <c r="U14" s="705">
        <f t="shared" si="1"/>
        <v>100</v>
      </c>
      <c r="V14" s="704" t="s">
        <v>14</v>
      </c>
      <c r="W14" s="705">
        <f t="shared" si="2"/>
        <v>100</v>
      </c>
      <c r="X14" s="1354"/>
      <c r="Y14" s="368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0"/>
      <c r="Q15" s="1351"/>
      <c r="R15" s="704"/>
      <c r="S15" s="705"/>
      <c r="T15" s="704"/>
      <c r="U15" s="705"/>
      <c r="V15" s="704"/>
      <c r="W15" s="705"/>
      <c r="X15" s="1354"/>
      <c r="Y15" s="3690"/>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0"/>
      <c r="Q16" s="1351" t="str">
        <f>B16</f>
        <v>公共配套设施</v>
      </c>
      <c r="R16" s="704" t="s">
        <v>14</v>
      </c>
      <c r="S16" s="705">
        <f>F16</f>
        <v>100</v>
      </c>
      <c r="T16" s="704" t="s">
        <v>14</v>
      </c>
      <c r="U16" s="705">
        <f>H16</f>
        <v>100</v>
      </c>
      <c r="V16" s="704" t="s">
        <v>14</v>
      </c>
      <c r="W16" s="705">
        <f>J16</f>
        <v>100</v>
      </c>
      <c r="X16" s="1354"/>
      <c r="Y16" s="369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0"/>
      <c r="Q17" s="1351"/>
      <c r="R17" s="704"/>
      <c r="S17" s="705"/>
      <c r="T17" s="704"/>
      <c r="U17" s="705"/>
      <c r="V17" s="704"/>
      <c r="W17" s="705"/>
      <c r="X17" s="1354"/>
      <c r="Y17" s="3690"/>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0"/>
      <c r="Q18" s="1351" t="str">
        <f>B18</f>
        <v>基础设施水平</v>
      </c>
      <c r="R18" s="704" t="s">
        <v>14</v>
      </c>
      <c r="S18" s="705">
        <f>F18</f>
        <v>100</v>
      </c>
      <c r="T18" s="704" t="s">
        <v>14</v>
      </c>
      <c r="U18" s="705">
        <f>H18</f>
        <v>100</v>
      </c>
      <c r="V18" s="704" t="s">
        <v>14</v>
      </c>
      <c r="W18" s="705">
        <f>J18</f>
        <v>100</v>
      </c>
      <c r="X18" s="1354"/>
      <c r="Y18" s="369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0"/>
      <c r="Q19" s="1351"/>
      <c r="R19" s="704"/>
      <c r="S19" s="705"/>
      <c r="T19" s="704"/>
      <c r="U19" s="705"/>
      <c r="V19" s="704"/>
      <c r="W19" s="705"/>
      <c r="X19" s="1354"/>
      <c r="Y19" s="3690"/>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0"/>
      <c r="Q20" s="1351" t="str">
        <f>B20</f>
        <v>自然及人文环境</v>
      </c>
      <c r="R20" s="704" t="s">
        <v>14</v>
      </c>
      <c r="S20" s="705">
        <f>F20</f>
        <v>100</v>
      </c>
      <c r="T20" s="704" t="s">
        <v>14</v>
      </c>
      <c r="U20" s="705">
        <f>H20</f>
        <v>100</v>
      </c>
      <c r="V20" s="704" t="s">
        <v>14</v>
      </c>
      <c r="W20" s="705">
        <f>J20</f>
        <v>100</v>
      </c>
      <c r="X20" s="1354"/>
      <c r="Y20" s="369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0"/>
      <c r="Q21" s="1351"/>
      <c r="R21" s="704"/>
      <c r="S21" s="705"/>
      <c r="T21" s="704"/>
      <c r="U21" s="705"/>
      <c r="V21" s="704"/>
      <c r="W21" s="705"/>
      <c r="X21" s="1354"/>
      <c r="Y21" s="369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0"/>
      <c r="Q22" s="1351" t="str">
        <f>B22</f>
        <v>楼层</v>
      </c>
      <c r="R22" s="704" t="s">
        <v>14</v>
      </c>
      <c r="S22" s="705">
        <f>F22</f>
        <v>100</v>
      </c>
      <c r="T22" s="704" t="s">
        <v>14</v>
      </c>
      <c r="U22" s="705">
        <f>H22</f>
        <v>100</v>
      </c>
      <c r="V22" s="704" t="s">
        <v>14</v>
      </c>
      <c r="W22" s="705">
        <f>J22</f>
        <v>100</v>
      </c>
      <c r="X22" s="1354"/>
      <c r="Y22" s="369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0"/>
      <c r="Q23" s="1351">
        <f>B23</f>
        <v>111</v>
      </c>
      <c r="R23" s="704" t="s">
        <v>14</v>
      </c>
      <c r="S23" s="705">
        <f>F23</f>
        <v>100</v>
      </c>
      <c r="T23" s="704" t="s">
        <v>14</v>
      </c>
      <c r="U23" s="705">
        <f>H23</f>
        <v>100</v>
      </c>
      <c r="V23" s="704" t="s">
        <v>14</v>
      </c>
      <c r="W23" s="705">
        <f>J23</f>
        <v>100</v>
      </c>
      <c r="X23" s="1354"/>
      <c r="Y23" s="369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0"/>
      <c r="Q24" s="1351">
        <f t="shared" ref="Q24:Q34" si="11">B24</f>
        <v>111</v>
      </c>
      <c r="R24" s="704" t="s">
        <v>14</v>
      </c>
      <c r="S24" s="705">
        <f>F24</f>
        <v>100</v>
      </c>
      <c r="T24" s="704" t="s">
        <v>14</v>
      </c>
      <c r="U24" s="705">
        <f>H24</f>
        <v>100</v>
      </c>
      <c r="V24" s="704" t="s">
        <v>14</v>
      </c>
      <c r="W24" s="705">
        <f>J24</f>
        <v>100</v>
      </c>
      <c r="X24" s="1354"/>
      <c r="Y24" s="3690"/>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90"/>
      <c r="Q25" s="1342">
        <f t="shared" si="11"/>
        <v>111</v>
      </c>
      <c r="R25" s="700" t="s">
        <v>14</v>
      </c>
      <c r="S25" s="701">
        <f>F25</f>
        <v>100</v>
      </c>
      <c r="T25" s="700" t="s">
        <v>14</v>
      </c>
      <c r="U25" s="701">
        <f>H25</f>
        <v>100</v>
      </c>
      <c r="V25" s="700" t="s">
        <v>14</v>
      </c>
      <c r="W25" s="701">
        <f>J25</f>
        <v>100</v>
      </c>
      <c r="X25" s="702"/>
      <c r="Y25" s="3690"/>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5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4"/>
      <c r="Q27" s="706" t="str">
        <f t="shared" si="11"/>
        <v>成新率</v>
      </c>
      <c r="R27" s="707" t="s">
        <v>14</v>
      </c>
      <c r="S27" s="708" t="e">
        <f t="shared" si="12"/>
        <v>#N/A</v>
      </c>
      <c r="T27" s="707" t="s">
        <v>14</v>
      </c>
      <c r="U27" s="708" t="e">
        <f t="shared" si="13"/>
        <v>#N/A</v>
      </c>
      <c r="V27" s="707" t="s">
        <v>14</v>
      </c>
      <c r="W27" s="708" t="e">
        <f t="shared" si="14"/>
        <v>#N/A</v>
      </c>
      <c r="X27" s="709"/>
      <c r="Y27" s="3694"/>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4"/>
      <c r="Q28" s="1351" t="str">
        <f t="shared" si="11"/>
        <v>物业等级</v>
      </c>
      <c r="R28" s="704" t="s">
        <v>14</v>
      </c>
      <c r="S28" s="705">
        <f t="shared" si="12"/>
        <v>100</v>
      </c>
      <c r="T28" s="704" t="s">
        <v>14</v>
      </c>
      <c r="U28" s="705">
        <f t="shared" si="13"/>
        <v>100</v>
      </c>
      <c r="V28" s="704" t="s">
        <v>14</v>
      </c>
      <c r="W28" s="705">
        <f t="shared" si="14"/>
        <v>100</v>
      </c>
      <c r="X28" s="1354"/>
      <c r="Y28" s="3694"/>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94"/>
      <c r="Q29" s="1351" t="str">
        <f t="shared" si="11"/>
        <v>有无电梯</v>
      </c>
      <c r="R29" s="704" t="s">
        <v>14</v>
      </c>
      <c r="S29" s="705">
        <f t="shared" si="12"/>
        <v>100</v>
      </c>
      <c r="T29" s="704" t="s">
        <v>14</v>
      </c>
      <c r="U29" s="705">
        <f t="shared" si="13"/>
        <v>100</v>
      </c>
      <c r="V29" s="704" t="s">
        <v>14</v>
      </c>
      <c r="W29" s="705">
        <f t="shared" si="14"/>
        <v>100</v>
      </c>
      <c r="X29" s="1354"/>
      <c r="Y29" s="369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4"/>
      <c r="Q30" s="1351" t="str">
        <f t="shared" si="11"/>
        <v>建筑面积</v>
      </c>
      <c r="R30" s="704" t="s">
        <v>14</v>
      </c>
      <c r="S30" s="705" t="e">
        <f t="shared" si="12"/>
        <v>#N/A</v>
      </c>
      <c r="T30" s="704" t="s">
        <v>14</v>
      </c>
      <c r="U30" s="705" t="e">
        <f t="shared" si="13"/>
        <v>#N/A</v>
      </c>
      <c r="V30" s="704" t="s">
        <v>14</v>
      </c>
      <c r="W30" s="705" t="e">
        <f t="shared" si="14"/>
        <v>#N/A</v>
      </c>
      <c r="X30" s="1354"/>
      <c r="Y30" s="3694"/>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94"/>
      <c r="Q31" s="1342" t="str">
        <f t="shared" si="11"/>
        <v>是否封闭</v>
      </c>
      <c r="R31" s="700" t="s">
        <v>14</v>
      </c>
      <c r="S31" s="701">
        <f t="shared" si="12"/>
        <v>100</v>
      </c>
      <c r="T31" s="700" t="s">
        <v>14</v>
      </c>
      <c r="U31" s="701">
        <f t="shared" si="13"/>
        <v>100</v>
      </c>
      <c r="V31" s="700" t="s">
        <v>14</v>
      </c>
      <c r="W31" s="701">
        <f t="shared" si="14"/>
        <v>100</v>
      </c>
      <c r="X31" s="702"/>
      <c r="Y31" s="369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4" t="s">
        <v>1696</v>
      </c>
      <c r="Q32" s="1351">
        <f t="shared" si="11"/>
        <v>111</v>
      </c>
      <c r="R32" s="704" t="s">
        <v>14</v>
      </c>
      <c r="S32" s="705">
        <f t="shared" si="12"/>
        <v>100</v>
      </c>
      <c r="T32" s="704" t="s">
        <v>14</v>
      </c>
      <c r="U32" s="705">
        <f t="shared" si="13"/>
        <v>100</v>
      </c>
      <c r="V32" s="704" t="s">
        <v>14</v>
      </c>
      <c r="W32" s="705">
        <f t="shared" si="14"/>
        <v>100</v>
      </c>
      <c r="X32" s="1354"/>
      <c r="Y32" s="369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4"/>
      <c r="Q33" s="1351">
        <f t="shared" si="11"/>
        <v>111</v>
      </c>
      <c r="R33" s="704" t="s">
        <v>14</v>
      </c>
      <c r="S33" s="705">
        <f t="shared" si="12"/>
        <v>100</v>
      </c>
      <c r="T33" s="704" t="s">
        <v>14</v>
      </c>
      <c r="U33" s="705">
        <f t="shared" si="13"/>
        <v>100</v>
      </c>
      <c r="V33" s="704" t="s">
        <v>14</v>
      </c>
      <c r="W33" s="705">
        <f t="shared" si="14"/>
        <v>100</v>
      </c>
      <c r="X33" s="1354"/>
      <c r="Y33" s="369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4"/>
      <c r="Q34" s="1351">
        <f t="shared" si="11"/>
        <v>111</v>
      </c>
      <c r="R34" s="704" t="s">
        <v>14</v>
      </c>
      <c r="S34" s="705">
        <f t="shared" si="12"/>
        <v>100</v>
      </c>
      <c r="T34" s="704" t="s">
        <v>14</v>
      </c>
      <c r="U34" s="705">
        <f t="shared" si="13"/>
        <v>100</v>
      </c>
      <c r="V34" s="704" t="s">
        <v>14</v>
      </c>
      <c r="W34" s="705">
        <f t="shared" si="14"/>
        <v>100</v>
      </c>
      <c r="X34" s="1354"/>
      <c r="Y34" s="369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96" t="str">
        <f>A35</f>
        <v>成交单价（元/平方米）</v>
      </c>
      <c r="Q35" s="3696"/>
      <c r="R35" s="3697">
        <f>E35</f>
        <v>0</v>
      </c>
      <c r="S35" s="3697"/>
      <c r="T35" s="3697">
        <f>G35</f>
        <v>0</v>
      </c>
      <c r="U35" s="3697"/>
      <c r="V35" s="3697">
        <f>I35</f>
        <v>0</v>
      </c>
      <c r="W35" s="3697"/>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98" t="str">
        <f>A37</f>
        <v>估价对象XX用房的比较价值（楼面单价，元/平方米）</v>
      </c>
      <c r="Q37" s="3699"/>
      <c r="R37" s="3751" t="e">
        <f>IF(F1="售价",ROUND(IF(D36="简单平均",AVERAGE(R36:W36),R36*F36+T36*H36+V36*J36),0),ROUND(IF(D36="简单平均",AVERAGE(R36:V36),R36*F36+T36*H36+V36*J36),1))</f>
        <v>#DIV/0!</v>
      </c>
      <c r="S37" s="3751"/>
      <c r="T37" s="3751"/>
      <c r="U37" s="3751"/>
      <c r="V37" s="3751"/>
      <c r="W37" s="3751"/>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30" ht="15">
      <c r="A5" s="358"/>
      <c r="B5" s="359"/>
      <c r="C5" s="3734" t="s">
        <v>1673</v>
      </c>
      <c r="D5" s="3668"/>
      <c r="E5" s="3733" t="s">
        <v>1674</v>
      </c>
      <c r="F5" s="3666"/>
      <c r="G5" s="3734" t="s">
        <v>1675</v>
      </c>
      <c r="H5" s="3668"/>
      <c r="I5" s="3734" t="s">
        <v>1676</v>
      </c>
      <c r="J5" s="3668"/>
      <c r="K5" s="559"/>
      <c r="L5" s="2714"/>
      <c r="M5" s="2715"/>
      <c r="N5" s="2715"/>
      <c r="O5" s="2715"/>
      <c r="P5" s="3680"/>
      <c r="Q5" s="3681"/>
      <c r="R5" s="3663"/>
      <c r="S5" s="3664"/>
      <c r="T5" s="3663"/>
      <c r="U5" s="3664"/>
      <c r="V5" s="3658"/>
      <c r="W5" s="3658"/>
      <c r="X5" s="1354"/>
      <c r="Y5" s="3663"/>
      <c r="Z5" s="3664"/>
      <c r="AA5" s="3656"/>
      <c r="AB5" s="3656"/>
      <c r="AC5" s="3656"/>
    </row>
    <row r="6" spans="1:30" ht="15.75" thickBot="1">
      <c r="A6" s="360"/>
      <c r="B6" s="361"/>
      <c r="C6" s="3669" t="s">
        <v>1677</v>
      </c>
      <c r="D6" s="3670"/>
      <c r="E6" s="3671" t="s">
        <v>1677</v>
      </c>
      <c r="F6" s="3672"/>
      <c r="G6" s="3669" t="s">
        <v>1677</v>
      </c>
      <c r="H6" s="3670"/>
      <c r="I6" s="3669" t="s">
        <v>1677</v>
      </c>
      <c r="J6" s="3670"/>
      <c r="K6" s="559" t="s">
        <v>1678</v>
      </c>
      <c r="L6" s="2714"/>
      <c r="M6" s="2715"/>
      <c r="N6" s="2715"/>
      <c r="O6" s="2715"/>
      <c r="P6" s="3682"/>
      <c r="Q6" s="3683"/>
      <c r="R6" s="3663"/>
      <c r="S6" s="3664"/>
      <c r="T6" s="3684"/>
      <c r="U6" s="3685"/>
      <c r="V6" s="3658"/>
      <c r="W6" s="3658"/>
      <c r="X6" s="1354"/>
      <c r="Y6" s="3684"/>
      <c r="Z6" s="3685"/>
      <c r="AA6" s="3657"/>
      <c r="AB6" s="3657"/>
      <c r="AC6" s="3657"/>
    </row>
    <row r="7" spans="1:30" s="108" customFormat="1" ht="15.75" thickBot="1">
      <c r="A7" s="362" t="s">
        <v>1679</v>
      </c>
      <c r="B7" s="363"/>
      <c r="C7" s="364">
        <f>'数据-取费表'!B2</f>
        <v>45163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9" t="s">
        <v>1680</v>
      </c>
      <c r="Q7" s="3686"/>
      <c r="R7" s="700" t="s">
        <v>14</v>
      </c>
      <c r="S7" s="701">
        <f t="shared" ref="S7:S15" si="0">F7</f>
        <v>0</v>
      </c>
      <c r="T7" s="700" t="s">
        <v>14</v>
      </c>
      <c r="U7" s="701">
        <f t="shared" ref="U7:U15" si="1">H7</f>
        <v>0</v>
      </c>
      <c r="V7" s="700" t="s">
        <v>14</v>
      </c>
      <c r="W7" s="701">
        <f t="shared" ref="W7:W15" si="2">J7</f>
        <v>0</v>
      </c>
      <c r="X7" s="702"/>
      <c r="Y7" s="3659" t="s">
        <v>1680</v>
      </c>
      <c r="Z7" s="3660"/>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9" t="s">
        <v>1683</v>
      </c>
      <c r="Q8" s="3660"/>
      <c r="R8" s="700" t="s">
        <v>14</v>
      </c>
      <c r="S8" s="701">
        <f t="shared" si="0"/>
        <v>0</v>
      </c>
      <c r="T8" s="700" t="s">
        <v>14</v>
      </c>
      <c r="U8" s="701">
        <f t="shared" si="1"/>
        <v>0</v>
      </c>
      <c r="V8" s="700" t="s">
        <v>14</v>
      </c>
      <c r="W8" s="701">
        <f t="shared" si="2"/>
        <v>0</v>
      </c>
      <c r="X8" s="702"/>
      <c r="Y8" s="3659" t="s">
        <v>1683</v>
      </c>
      <c r="Z8" s="3660"/>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6"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19"/>
      <c r="L10" s="2718"/>
      <c r="M10" s="2719"/>
      <c r="N10" s="2719"/>
      <c r="O10" s="2772"/>
      <c r="P10" s="3696"/>
      <c r="Q10" s="1342" t="str">
        <f t="shared" si="6"/>
        <v>土地使用年限（年）</v>
      </c>
      <c r="R10" s="700" t="s">
        <v>14</v>
      </c>
      <c r="S10" s="701">
        <f t="shared" si="0"/>
        <v>134</v>
      </c>
      <c r="T10" s="700" t="s">
        <v>14</v>
      </c>
      <c r="U10" s="701">
        <f t="shared" si="1"/>
        <v>134</v>
      </c>
      <c r="V10" s="700" t="s">
        <v>14</v>
      </c>
      <c r="W10" s="701">
        <f t="shared" si="2"/>
        <v>134</v>
      </c>
      <c r="X10" s="702"/>
      <c r="Y10" s="3628"/>
      <c r="Z10" s="52" t="str">
        <f t="shared" si="7"/>
        <v>土地使用年限（年）</v>
      </c>
      <c r="AA10" s="703">
        <f t="shared" si="3"/>
        <v>0.74626865671641796</v>
      </c>
      <c r="AB10" s="703">
        <f t="shared" si="4"/>
        <v>0.74626865671641796</v>
      </c>
      <c r="AC10" s="703">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96"/>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96"/>
      <c r="Q12" s="1342" t="str">
        <f t="shared" si="6"/>
        <v>配建</v>
      </c>
      <c r="R12" s="700" t="s">
        <v>14</v>
      </c>
      <c r="S12" s="701">
        <f t="shared" si="0"/>
        <v>100</v>
      </c>
      <c r="T12" s="700" t="s">
        <v>14</v>
      </c>
      <c r="U12" s="701">
        <f t="shared" si="1"/>
        <v>100</v>
      </c>
      <c r="V12" s="700" t="s">
        <v>14</v>
      </c>
      <c r="W12" s="701">
        <f t="shared" si="2"/>
        <v>100</v>
      </c>
      <c r="X12" s="702"/>
      <c r="Y12" s="362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96"/>
      <c r="Q14" s="1342">
        <f t="shared" si="6"/>
        <v>111</v>
      </c>
      <c r="R14" s="700" t="s">
        <v>14</v>
      </c>
      <c r="S14" s="701">
        <f t="shared" si="0"/>
        <v>100</v>
      </c>
      <c r="T14" s="700" t="s">
        <v>14</v>
      </c>
      <c r="U14" s="701">
        <f t="shared" si="1"/>
        <v>100</v>
      </c>
      <c r="V14" s="700" t="s">
        <v>14</v>
      </c>
      <c r="W14" s="701">
        <f t="shared" si="2"/>
        <v>100</v>
      </c>
      <c r="X14" s="702"/>
      <c r="Y14" s="3628"/>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9" t="s">
        <v>1691</v>
      </c>
      <c r="Q15" s="1351" t="str">
        <f t="shared" si="6"/>
        <v>居住社区成熟度</v>
      </c>
      <c r="R15" s="704" t="s">
        <v>14</v>
      </c>
      <c r="S15" s="705">
        <f t="shared" si="0"/>
        <v>100</v>
      </c>
      <c r="T15" s="704" t="s">
        <v>14</v>
      </c>
      <c r="U15" s="705">
        <f t="shared" si="1"/>
        <v>100</v>
      </c>
      <c r="V15" s="704" t="s">
        <v>14</v>
      </c>
      <c r="W15" s="705">
        <f t="shared" si="2"/>
        <v>100</v>
      </c>
      <c r="X15" s="1354"/>
      <c r="Y15" s="368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90"/>
      <c r="Q16" s="1351"/>
      <c r="R16" s="704"/>
      <c r="S16" s="705"/>
      <c r="T16" s="704"/>
      <c r="U16" s="705"/>
      <c r="V16" s="704"/>
      <c r="W16" s="705"/>
      <c r="X16" s="1354"/>
      <c r="Y16" s="3690"/>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90"/>
      <c r="Q17" s="1351" t="str">
        <f>B17</f>
        <v>商业繁华度</v>
      </c>
      <c r="R17" s="704" t="s">
        <v>14</v>
      </c>
      <c r="S17" s="705">
        <f>F17</f>
        <v>100</v>
      </c>
      <c r="T17" s="704" t="s">
        <v>14</v>
      </c>
      <c r="U17" s="705">
        <f>H17</f>
        <v>100</v>
      </c>
      <c r="V17" s="704" t="s">
        <v>14</v>
      </c>
      <c r="W17" s="705">
        <f>J17</f>
        <v>100</v>
      </c>
      <c r="X17" s="1354"/>
      <c r="Y17" s="369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90"/>
      <c r="Q18" s="1351"/>
      <c r="R18" s="704"/>
      <c r="S18" s="705"/>
      <c r="T18" s="704"/>
      <c r="U18" s="705"/>
      <c r="V18" s="704"/>
      <c r="W18" s="705"/>
      <c r="X18" s="1354"/>
      <c r="Y18" s="3690"/>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90"/>
      <c r="Q19" s="1351" t="str">
        <f>B19</f>
        <v>办公集聚程度</v>
      </c>
      <c r="R19" s="704" t="s">
        <v>14</v>
      </c>
      <c r="S19" s="705">
        <f>F19</f>
        <v>100</v>
      </c>
      <c r="T19" s="704" t="s">
        <v>14</v>
      </c>
      <c r="U19" s="705">
        <f>H19</f>
        <v>100</v>
      </c>
      <c r="V19" s="704" t="s">
        <v>14</v>
      </c>
      <c r="W19" s="705">
        <f>J19</f>
        <v>100</v>
      </c>
      <c r="X19" s="1354"/>
      <c r="Y19" s="369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90"/>
      <c r="Q20" s="1351"/>
      <c r="R20" s="704"/>
      <c r="S20" s="705"/>
      <c r="T20" s="704"/>
      <c r="U20" s="705"/>
      <c r="V20" s="704"/>
      <c r="W20" s="705"/>
      <c r="X20" s="1354"/>
      <c r="Y20" s="3690"/>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90"/>
      <c r="Q21" s="1351" t="str">
        <f>B21</f>
        <v>交通便捷度</v>
      </c>
      <c r="R21" s="704" t="s">
        <v>14</v>
      </c>
      <c r="S21" s="705">
        <f>F21</f>
        <v>100</v>
      </c>
      <c r="T21" s="704" t="s">
        <v>14</v>
      </c>
      <c r="U21" s="705">
        <f>H21</f>
        <v>100</v>
      </c>
      <c r="V21" s="704" t="s">
        <v>14</v>
      </c>
      <c r="W21" s="705">
        <f>J21</f>
        <v>100</v>
      </c>
      <c r="X21" s="1354"/>
      <c r="Y21" s="369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90"/>
      <c r="Q22" s="1351"/>
      <c r="R22" s="704"/>
      <c r="S22" s="705"/>
      <c r="T22" s="704"/>
      <c r="U22" s="705"/>
      <c r="V22" s="704"/>
      <c r="W22" s="705"/>
      <c r="X22" s="1354"/>
      <c r="Y22" s="3690"/>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90"/>
      <c r="Q23" s="1351" t="str">
        <f t="shared" ref="Q23:Q37" si="8">B23</f>
        <v>区域土地利用方向</v>
      </c>
      <c r="R23" s="704" t="s">
        <v>14</v>
      </c>
      <c r="S23" s="705">
        <f>F23</f>
        <v>100</v>
      </c>
      <c r="T23" s="704" t="s">
        <v>14</v>
      </c>
      <c r="U23" s="705">
        <f>H23</f>
        <v>100</v>
      </c>
      <c r="V23" s="704" t="s">
        <v>14</v>
      </c>
      <c r="W23" s="705">
        <f>J23</f>
        <v>100</v>
      </c>
      <c r="X23" s="1354"/>
      <c r="Y23" s="369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0"/>
      <c r="Q24" s="1351"/>
      <c r="R24" s="704"/>
      <c r="S24" s="705"/>
      <c r="T24" s="704"/>
      <c r="U24" s="705"/>
      <c r="V24" s="704"/>
      <c r="W24" s="705"/>
      <c r="X24" s="1354"/>
      <c r="Y24" s="3690"/>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90"/>
      <c r="Q25" s="1351" t="str">
        <f t="shared" si="8"/>
        <v>自然及人文环境状况</v>
      </c>
      <c r="R25" s="704" t="s">
        <v>14</v>
      </c>
      <c r="S25" s="705">
        <f>F25</f>
        <v>100</v>
      </c>
      <c r="T25" s="704" t="s">
        <v>14</v>
      </c>
      <c r="U25" s="705">
        <f>H25</f>
        <v>100</v>
      </c>
      <c r="V25" s="704" t="s">
        <v>14</v>
      </c>
      <c r="W25" s="705">
        <f>J25</f>
        <v>100</v>
      </c>
      <c r="X25" s="1354"/>
      <c r="Y25" s="369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90"/>
      <c r="Q26" s="1351"/>
      <c r="R26" s="704"/>
      <c r="S26" s="705"/>
      <c r="T26" s="704"/>
      <c r="U26" s="705"/>
      <c r="V26" s="704"/>
      <c r="W26" s="705"/>
      <c r="X26" s="1354"/>
      <c r="Y26" s="3690"/>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90"/>
      <c r="Q27" s="1342" t="str">
        <f t="shared" si="8"/>
        <v>公共配套设施</v>
      </c>
      <c r="R27" s="700" t="s">
        <v>14</v>
      </c>
      <c r="S27" s="701">
        <f>F27</f>
        <v>100</v>
      </c>
      <c r="T27" s="700" t="s">
        <v>14</v>
      </c>
      <c r="U27" s="701">
        <f>H27</f>
        <v>100</v>
      </c>
      <c r="V27" s="700" t="s">
        <v>14</v>
      </c>
      <c r="W27" s="701">
        <f>J27</f>
        <v>100</v>
      </c>
      <c r="X27" s="702"/>
      <c r="Y27" s="3690"/>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90"/>
      <c r="Q28" s="1342"/>
      <c r="R28" s="700"/>
      <c r="S28" s="701"/>
      <c r="T28" s="700"/>
      <c r="U28" s="701"/>
      <c r="V28" s="700"/>
      <c r="W28" s="701"/>
      <c r="X28" s="702"/>
      <c r="Y28" s="3690"/>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90"/>
      <c r="Q29" s="1342" t="str">
        <f t="shared" ref="Q29" si="9">B29</f>
        <v>基础设施水平</v>
      </c>
      <c r="R29" s="700" t="s">
        <v>14</v>
      </c>
      <c r="S29" s="701">
        <f>F29</f>
        <v>100</v>
      </c>
      <c r="T29" s="700" t="s">
        <v>14</v>
      </c>
      <c r="U29" s="701">
        <f>H29</f>
        <v>100</v>
      </c>
      <c r="V29" s="700" t="s">
        <v>14</v>
      </c>
      <c r="W29" s="701">
        <f>J29</f>
        <v>100</v>
      </c>
      <c r="X29" s="702"/>
      <c r="Y29" s="3690"/>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90"/>
      <c r="Q30" s="1342"/>
      <c r="R30" s="700"/>
      <c r="S30" s="701"/>
      <c r="T30" s="700"/>
      <c r="U30" s="701"/>
      <c r="V30" s="700"/>
      <c r="W30" s="701"/>
      <c r="X30" s="702"/>
      <c r="Y30" s="3690"/>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9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90"/>
      <c r="Q32" s="1351" t="str">
        <f t="shared" si="8"/>
        <v>毗邻道路的类型与等级</v>
      </c>
      <c r="R32" s="704" t="s">
        <v>14</v>
      </c>
      <c r="S32" s="705">
        <f t="shared" si="10"/>
        <v>100</v>
      </c>
      <c r="T32" s="704" t="s">
        <v>14</v>
      </c>
      <c r="U32" s="705">
        <f t="shared" si="11"/>
        <v>100</v>
      </c>
      <c r="V32" s="704" t="s">
        <v>14</v>
      </c>
      <c r="W32" s="705">
        <f t="shared" si="12"/>
        <v>100</v>
      </c>
      <c r="X32" s="1354"/>
      <c r="Y32" s="369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0"/>
      <c r="Q33" s="1351"/>
      <c r="R33" s="704"/>
      <c r="S33" s="705"/>
      <c r="T33" s="704"/>
      <c r="U33" s="705"/>
      <c r="V33" s="704"/>
      <c r="W33" s="705"/>
      <c r="X33" s="1354"/>
      <c r="Y33" s="3690"/>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90"/>
      <c r="Q34" s="1351" t="str">
        <f t="shared" si="8"/>
        <v>土地级别</v>
      </c>
      <c r="R34" s="704" t="s">
        <v>14</v>
      </c>
      <c r="S34" s="705">
        <f t="shared" si="10"/>
        <v>100</v>
      </c>
      <c r="T34" s="704" t="s">
        <v>14</v>
      </c>
      <c r="U34" s="705">
        <f t="shared" si="11"/>
        <v>100</v>
      </c>
      <c r="V34" s="704" t="s">
        <v>14</v>
      </c>
      <c r="W34" s="705">
        <f t="shared" si="12"/>
        <v>100</v>
      </c>
      <c r="X34" s="1354"/>
      <c r="Y34" s="3690"/>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90"/>
      <c r="Q35" s="1351">
        <f t="shared" si="8"/>
        <v>111</v>
      </c>
      <c r="R35" s="704" t="s">
        <v>14</v>
      </c>
      <c r="S35" s="705">
        <f t="shared" si="10"/>
        <v>100</v>
      </c>
      <c r="T35" s="704" t="s">
        <v>14</v>
      </c>
      <c r="U35" s="705">
        <f t="shared" si="11"/>
        <v>100</v>
      </c>
      <c r="V35" s="704" t="s">
        <v>14</v>
      </c>
      <c r="W35" s="705">
        <f t="shared" si="12"/>
        <v>100</v>
      </c>
      <c r="X35" s="1354"/>
      <c r="Y35" s="3690"/>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50" t="s">
        <v>1696</v>
      </c>
      <c r="Q36" s="1351">
        <f t="shared" si="8"/>
        <v>111</v>
      </c>
      <c r="R36" s="704" t="s">
        <v>14</v>
      </c>
      <c r="S36" s="705">
        <f t="shared" si="10"/>
        <v>100</v>
      </c>
      <c r="T36" s="704" t="s">
        <v>14</v>
      </c>
      <c r="U36" s="705">
        <f t="shared" si="11"/>
        <v>100</v>
      </c>
      <c r="V36" s="704" t="s">
        <v>14</v>
      </c>
      <c r="W36" s="705">
        <f t="shared" si="12"/>
        <v>100</v>
      </c>
      <c r="X36" s="1354"/>
      <c r="Y36" s="3694"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94"/>
      <c r="Q37" s="1351">
        <f t="shared" si="8"/>
        <v>111</v>
      </c>
      <c r="R37" s="707" t="s">
        <v>14</v>
      </c>
      <c r="S37" s="708">
        <f t="shared" si="10"/>
        <v>100</v>
      </c>
      <c r="T37" s="707" t="s">
        <v>14</v>
      </c>
      <c r="U37" s="708">
        <f t="shared" si="11"/>
        <v>100</v>
      </c>
      <c r="V37" s="707" t="s">
        <v>14</v>
      </c>
      <c r="W37" s="708">
        <f t="shared" si="12"/>
        <v>100</v>
      </c>
      <c r="X37" s="709"/>
      <c r="Y37" s="3694"/>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94"/>
      <c r="Q38" s="1351" t="str">
        <f>B38</f>
        <v>宗地面积</v>
      </c>
      <c r="R38" s="704" t="s">
        <v>14</v>
      </c>
      <c r="S38" s="705" t="e">
        <f t="shared" si="10"/>
        <v>#N/A</v>
      </c>
      <c r="T38" s="704" t="s">
        <v>14</v>
      </c>
      <c r="U38" s="705" t="e">
        <f t="shared" si="11"/>
        <v>#N/A</v>
      </c>
      <c r="V38" s="704" t="s">
        <v>14</v>
      </c>
      <c r="W38" s="705" t="e">
        <f t="shared" si="12"/>
        <v>#N/A</v>
      </c>
      <c r="X38" s="1354"/>
      <c r="Y38" s="369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4"/>
      <c r="Q39" s="1351" t="str">
        <f t="shared" ref="Q39:Q45" si="14">B39</f>
        <v>宗地形状</v>
      </c>
      <c r="R39" s="704" t="s">
        <v>14</v>
      </c>
      <c r="S39" s="705">
        <f t="shared" si="10"/>
        <v>100</v>
      </c>
      <c r="T39" s="704" t="s">
        <v>14</v>
      </c>
      <c r="U39" s="705">
        <f t="shared" si="11"/>
        <v>100</v>
      </c>
      <c r="V39" s="704" t="s">
        <v>14</v>
      </c>
      <c r="W39" s="705">
        <f t="shared" si="12"/>
        <v>100</v>
      </c>
      <c r="X39" s="1354"/>
      <c r="Y39" s="369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4"/>
      <c r="Q40" s="1351" t="str">
        <f t="shared" si="14"/>
        <v>临街宽度及深度</v>
      </c>
      <c r="R40" s="704" t="s">
        <v>14</v>
      </c>
      <c r="S40" s="705">
        <f t="shared" si="10"/>
        <v>100</v>
      </c>
      <c r="T40" s="704" t="s">
        <v>14</v>
      </c>
      <c r="U40" s="705">
        <f t="shared" si="11"/>
        <v>100</v>
      </c>
      <c r="V40" s="704" t="s">
        <v>14</v>
      </c>
      <c r="W40" s="705">
        <f t="shared" si="12"/>
        <v>100</v>
      </c>
      <c r="X40" s="1354"/>
      <c r="Y40" s="369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4"/>
      <c r="Q41" s="1351" t="str">
        <f t="shared" si="14"/>
        <v>宗地开发程度</v>
      </c>
      <c r="R41" s="700" t="s">
        <v>14</v>
      </c>
      <c r="S41" s="701">
        <f t="shared" si="10"/>
        <v>100</v>
      </c>
      <c r="T41" s="700" t="s">
        <v>14</v>
      </c>
      <c r="U41" s="701">
        <f t="shared" si="11"/>
        <v>100</v>
      </c>
      <c r="V41" s="700" t="s">
        <v>14</v>
      </c>
      <c r="W41" s="701">
        <f t="shared" si="12"/>
        <v>100</v>
      </c>
      <c r="X41" s="702"/>
      <c r="Y41" s="3694"/>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4" t="s">
        <v>1696</v>
      </c>
      <c r="Q42" s="1351" t="str">
        <f t="shared" si="14"/>
        <v>工程地质条件</v>
      </c>
      <c r="R42" s="704" t="s">
        <v>14</v>
      </c>
      <c r="S42" s="705">
        <f t="shared" si="10"/>
        <v>100</v>
      </c>
      <c r="T42" s="704" t="s">
        <v>14</v>
      </c>
      <c r="U42" s="705">
        <f t="shared" si="11"/>
        <v>100</v>
      </c>
      <c r="V42" s="704" t="s">
        <v>14</v>
      </c>
      <c r="W42" s="705">
        <f t="shared" si="12"/>
        <v>100</v>
      </c>
      <c r="X42" s="1354"/>
      <c r="Y42" s="3694"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94"/>
      <c r="Q43" s="1351">
        <f t="shared" si="14"/>
        <v>111</v>
      </c>
      <c r="R43" s="704" t="s">
        <v>14</v>
      </c>
      <c r="S43" s="705">
        <f t="shared" si="10"/>
        <v>100</v>
      </c>
      <c r="T43" s="704" t="s">
        <v>14</v>
      </c>
      <c r="U43" s="705">
        <f t="shared" si="11"/>
        <v>100</v>
      </c>
      <c r="V43" s="704" t="s">
        <v>14</v>
      </c>
      <c r="W43" s="705">
        <f t="shared" si="12"/>
        <v>100</v>
      </c>
      <c r="X43" s="1354"/>
      <c r="Y43" s="3694"/>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94"/>
      <c r="Q44" s="1351">
        <f t="shared" si="14"/>
        <v>111</v>
      </c>
      <c r="R44" s="704" t="s">
        <v>14</v>
      </c>
      <c r="S44" s="705">
        <f t="shared" si="10"/>
        <v>100</v>
      </c>
      <c r="T44" s="704" t="s">
        <v>14</v>
      </c>
      <c r="U44" s="705">
        <f t="shared" si="11"/>
        <v>100</v>
      </c>
      <c r="V44" s="704" t="s">
        <v>14</v>
      </c>
      <c r="W44" s="705">
        <f t="shared" si="12"/>
        <v>100</v>
      </c>
      <c r="X44" s="1354"/>
      <c r="Y44" s="3694"/>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94"/>
      <c r="Q45" s="1351">
        <f t="shared" si="14"/>
        <v>111</v>
      </c>
      <c r="R45" s="707" t="s">
        <v>14</v>
      </c>
      <c r="S45" s="708">
        <f t="shared" si="10"/>
        <v>100</v>
      </c>
      <c r="T45" s="707" t="s">
        <v>14</v>
      </c>
      <c r="U45" s="708">
        <f t="shared" si="11"/>
        <v>100</v>
      </c>
      <c r="V45" s="707" t="s">
        <v>14</v>
      </c>
      <c r="W45" s="708">
        <f t="shared" si="12"/>
        <v>100</v>
      </c>
      <c r="X45" s="709"/>
      <c r="Y45" s="3694"/>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96" t="str">
        <f>A46</f>
        <v>成交单价</v>
      </c>
      <c r="Q46" s="3696"/>
      <c r="R46" s="3658">
        <f>E46</f>
        <v>0</v>
      </c>
      <c r="S46" s="3658"/>
      <c r="T46" s="3658">
        <f>G46</f>
        <v>0</v>
      </c>
      <c r="U46" s="3658"/>
      <c r="V46" s="3658">
        <f>I46</f>
        <v>0</v>
      </c>
      <c r="W46" s="3658"/>
      <c r="X46" s="689"/>
      <c r="Y46" s="711"/>
      <c r="Z46" s="689"/>
      <c r="AA46" s="689"/>
      <c r="AB46" s="689"/>
      <c r="AC46" s="689"/>
    </row>
    <row r="47" spans="1:29" ht="15.75" thickBot="1">
      <c r="A47" s="437" t="s">
        <v>1793</v>
      </c>
      <c r="B47" s="630"/>
      <c r="C47" s="440" t="e">
        <f>R48</f>
        <v>#DIV/0!</v>
      </c>
      <c r="D47" s="2316" t="s">
        <v>2137</v>
      </c>
      <c r="E47" s="440" t="e">
        <f>R47</f>
        <v>#DIV/0!</v>
      </c>
      <c r="F47" s="2317"/>
      <c r="G47" s="439" t="e">
        <f>T47</f>
        <v>#DIV/0!</v>
      </c>
      <c r="H47" s="2317"/>
      <c r="I47" s="440" t="e">
        <f>V47</f>
        <v>#DIV/0!</v>
      </c>
      <c r="J47" s="2317"/>
      <c r="K47" s="2319">
        <f>F47+H47+J47</f>
        <v>0</v>
      </c>
      <c r="L47" s="2723"/>
      <c r="M47" s="2724"/>
      <c r="N47" s="2724"/>
      <c r="O47" s="2724"/>
      <c r="P47" s="3696" t="str">
        <f>A47</f>
        <v>比较价值（元/平方米）</v>
      </c>
      <c r="Q47" s="3696"/>
      <c r="R47" s="3752" t="e">
        <f>ROUND(PRODUCT(R46,AA7:AA45),0)</f>
        <v>#DIV/0!</v>
      </c>
      <c r="S47" s="3752"/>
      <c r="T47" s="3752" t="e">
        <f>ROUND(PRODUCT(T46,AB7:AB45),0)</f>
        <v>#DIV/0!</v>
      </c>
      <c r="U47" s="3752"/>
      <c r="V47" s="3752" t="e">
        <f>ROUND(PRODUCT(V46,AC7:AC45),0)</f>
        <v>#DIV/0!</v>
      </c>
      <c r="W47" s="3752"/>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98" t="str">
        <f>A48</f>
        <v>估价对象XX用房的比较价值（楼面单价，元/平方米）</v>
      </c>
      <c r="Q48" s="3699"/>
      <c r="R48" s="3753" t="e">
        <f>ROUND(IF(D47="简单平均",AVERAGE(R47:W47),R47*F47+T47*H47+V47*J47),0)</f>
        <v>#DIV/0!</v>
      </c>
      <c r="S48" s="3753"/>
      <c r="T48" s="3753"/>
      <c r="U48" s="3753"/>
      <c r="V48" s="3753"/>
      <c r="W48" s="3753"/>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4" t="s">
        <v>1887</v>
      </c>
      <c r="H55" s="375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145.19</v>
      </c>
      <c r="F56" s="885" t="e">
        <f t="shared" ref="F56:F64" si="15">ROUND(B56*E56/10000,0)</f>
        <v>#DIV/0!</v>
      </c>
      <c r="G56" s="3673"/>
      <c r="H56" s="369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六级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六级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六级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六级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145.19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29" ht="15">
      <c r="A5" s="358"/>
      <c r="B5" s="359"/>
      <c r="C5" s="3734" t="s">
        <v>1673</v>
      </c>
      <c r="D5" s="3668"/>
      <c r="E5" s="3733" t="s">
        <v>1674</v>
      </c>
      <c r="F5" s="3666"/>
      <c r="G5" s="3734" t="s">
        <v>1675</v>
      </c>
      <c r="H5" s="3668"/>
      <c r="I5" s="3734" t="s">
        <v>1676</v>
      </c>
      <c r="J5" s="3668"/>
      <c r="K5" s="559"/>
      <c r="L5" s="2714"/>
      <c r="M5" s="2715"/>
      <c r="N5" s="2715"/>
      <c r="O5" s="2715"/>
      <c r="P5" s="3680"/>
      <c r="Q5" s="3681"/>
      <c r="R5" s="3663"/>
      <c r="S5" s="3664"/>
      <c r="T5" s="3663"/>
      <c r="U5" s="3664"/>
      <c r="V5" s="3658"/>
      <c r="W5" s="3658"/>
      <c r="X5" s="1354"/>
      <c r="Y5" s="3663"/>
      <c r="Z5" s="3664"/>
      <c r="AA5" s="3656"/>
      <c r="AB5" s="3656"/>
      <c r="AC5" s="3656"/>
    </row>
    <row r="6" spans="1:29" ht="15.75" thickBot="1">
      <c r="A6" s="360"/>
      <c r="B6" s="361"/>
      <c r="C6" s="3755" t="s">
        <v>1919</v>
      </c>
      <c r="D6" s="3756"/>
      <c r="E6" s="3757" t="s">
        <v>1919</v>
      </c>
      <c r="F6" s="3758"/>
      <c r="G6" s="3755" t="s">
        <v>1919</v>
      </c>
      <c r="H6" s="3756"/>
      <c r="I6" s="3755" t="s">
        <v>1919</v>
      </c>
      <c r="J6" s="3756"/>
      <c r="K6" s="559" t="s">
        <v>1678</v>
      </c>
      <c r="L6" s="2714"/>
      <c r="M6" s="2715"/>
      <c r="N6" s="2715"/>
      <c r="O6" s="2715"/>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45163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9" t="s">
        <v>1680</v>
      </c>
      <c r="Q7" s="3686"/>
      <c r="R7" s="700" t="s">
        <v>14</v>
      </c>
      <c r="S7" s="701">
        <f t="shared" ref="S7:S15" si="0">F7</f>
        <v>0</v>
      </c>
      <c r="T7" s="700" t="s">
        <v>14</v>
      </c>
      <c r="U7" s="701">
        <f t="shared" ref="U7:U15" si="1">H7</f>
        <v>0</v>
      </c>
      <c r="V7" s="700" t="s">
        <v>14</v>
      </c>
      <c r="W7" s="701">
        <f t="shared" ref="W7:W15" si="2">J7</f>
        <v>0</v>
      </c>
      <c r="X7" s="702"/>
      <c r="Y7" s="3659" t="s">
        <v>1680</v>
      </c>
      <c r="Z7" s="3660"/>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9" t="s">
        <v>1683</v>
      </c>
      <c r="Q8" s="3660"/>
      <c r="R8" s="700" t="s">
        <v>14</v>
      </c>
      <c r="S8" s="701">
        <f t="shared" si="0"/>
        <v>0</v>
      </c>
      <c r="T8" s="700" t="s">
        <v>14</v>
      </c>
      <c r="U8" s="701">
        <f t="shared" si="1"/>
        <v>0</v>
      </c>
      <c r="V8" s="700" t="s">
        <v>14</v>
      </c>
      <c r="W8" s="701">
        <f t="shared" si="2"/>
        <v>0</v>
      </c>
      <c r="X8" s="702"/>
      <c r="Y8" s="3659" t="s">
        <v>1683</v>
      </c>
      <c r="Z8" s="3660"/>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6"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19"/>
      <c r="L10" s="2718"/>
      <c r="M10" s="2719"/>
      <c r="N10" s="2719"/>
      <c r="O10" s="2772"/>
      <c r="P10" s="3696"/>
      <c r="Q10" s="1342" t="str">
        <f t="shared" si="6"/>
        <v>土地使用年限（年）</v>
      </c>
      <c r="R10" s="700" t="s">
        <v>14</v>
      </c>
      <c r="S10" s="701">
        <f t="shared" si="0"/>
        <v>134</v>
      </c>
      <c r="T10" s="700" t="s">
        <v>14</v>
      </c>
      <c r="U10" s="701">
        <f t="shared" si="1"/>
        <v>134</v>
      </c>
      <c r="V10" s="700" t="s">
        <v>14</v>
      </c>
      <c r="W10" s="701">
        <f t="shared" si="2"/>
        <v>134</v>
      </c>
      <c r="X10" s="702"/>
      <c r="Y10" s="3628"/>
      <c r="Z10" s="52" t="str">
        <f t="shared" si="7"/>
        <v>土地使用年限（年）</v>
      </c>
      <c r="AA10" s="703">
        <f t="shared" si="3"/>
        <v>0.74626865671641796</v>
      </c>
      <c r="AB10" s="703">
        <f t="shared" si="4"/>
        <v>0.74626865671641796</v>
      </c>
      <c r="AC10" s="703">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96"/>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9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9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89" t="s">
        <v>1691</v>
      </c>
      <c r="Q15" s="1351" t="str">
        <f t="shared" si="6"/>
        <v>产业集聚程度</v>
      </c>
      <c r="R15" s="704" t="s">
        <v>14</v>
      </c>
      <c r="S15" s="705">
        <f t="shared" si="0"/>
        <v>100</v>
      </c>
      <c r="T15" s="704" t="s">
        <v>14</v>
      </c>
      <c r="U15" s="705">
        <f t="shared" si="1"/>
        <v>100</v>
      </c>
      <c r="V15" s="704" t="s">
        <v>14</v>
      </c>
      <c r="W15" s="705">
        <f t="shared" si="2"/>
        <v>100</v>
      </c>
      <c r="X15" s="1354"/>
      <c r="Y15" s="3689"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90"/>
      <c r="Q16" s="1351"/>
      <c r="R16" s="704"/>
      <c r="S16" s="705"/>
      <c r="T16" s="704"/>
      <c r="U16" s="705"/>
      <c r="V16" s="704"/>
      <c r="W16" s="705"/>
      <c r="X16" s="1354"/>
      <c r="Y16" s="3690"/>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90"/>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90"/>
      <c r="Q18" s="1351"/>
      <c r="R18" s="704"/>
      <c r="S18" s="705"/>
      <c r="T18" s="704"/>
      <c r="U18" s="705"/>
      <c r="V18" s="704"/>
      <c r="W18" s="705"/>
      <c r="X18" s="1354"/>
      <c r="Y18" s="3690"/>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90"/>
      <c r="Q19" s="1351" t="str">
        <f t="shared" ref="Q19:Q33" si="8">B19</f>
        <v>区域土地利用方向</v>
      </c>
      <c r="R19" s="704" t="s">
        <v>14</v>
      </c>
      <c r="S19" s="705">
        <f>F19</f>
        <v>100</v>
      </c>
      <c r="T19" s="704" t="s">
        <v>14</v>
      </c>
      <c r="U19" s="705">
        <f>H19</f>
        <v>100</v>
      </c>
      <c r="V19" s="704" t="s">
        <v>14</v>
      </c>
      <c r="W19" s="705">
        <f>J19</f>
        <v>100</v>
      </c>
      <c r="X19" s="1354"/>
      <c r="Y19" s="3690"/>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90"/>
      <c r="Q20" s="1351"/>
      <c r="R20" s="704"/>
      <c r="S20" s="705"/>
      <c r="T20" s="704"/>
      <c r="U20" s="705"/>
      <c r="V20" s="704"/>
      <c r="W20" s="705"/>
      <c r="X20" s="1354"/>
      <c r="Y20" s="3690"/>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90"/>
      <c r="Q21" s="1351" t="str">
        <f t="shared" si="8"/>
        <v>环境状况</v>
      </c>
      <c r="R21" s="704" t="s">
        <v>14</v>
      </c>
      <c r="S21" s="705">
        <f>F21</f>
        <v>100</v>
      </c>
      <c r="T21" s="704" t="s">
        <v>14</v>
      </c>
      <c r="U21" s="705">
        <f>H21</f>
        <v>100</v>
      </c>
      <c r="V21" s="704" t="s">
        <v>14</v>
      </c>
      <c r="W21" s="705">
        <f>J21</f>
        <v>100</v>
      </c>
      <c r="X21" s="1354"/>
      <c r="Y21" s="3690"/>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90"/>
      <c r="Q22" s="1351"/>
      <c r="R22" s="704"/>
      <c r="S22" s="705"/>
      <c r="T22" s="704"/>
      <c r="U22" s="705"/>
      <c r="V22" s="704"/>
      <c r="W22" s="705"/>
      <c r="X22" s="1354"/>
      <c r="Y22" s="3690"/>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90"/>
      <c r="Q23" s="1342" t="str">
        <f t="shared" si="8"/>
        <v>公共配套设施</v>
      </c>
      <c r="R23" s="700" t="s">
        <v>14</v>
      </c>
      <c r="S23" s="701">
        <f>F23</f>
        <v>100</v>
      </c>
      <c r="T23" s="700" t="s">
        <v>14</v>
      </c>
      <c r="U23" s="701">
        <f>H23</f>
        <v>100</v>
      </c>
      <c r="V23" s="700" t="s">
        <v>14</v>
      </c>
      <c r="W23" s="701">
        <f>J23</f>
        <v>100</v>
      </c>
      <c r="X23" s="702"/>
      <c r="Y23" s="3690"/>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90"/>
      <c r="Q24" s="1342"/>
      <c r="R24" s="700"/>
      <c r="S24" s="701"/>
      <c r="T24" s="700"/>
      <c r="U24" s="701"/>
      <c r="V24" s="700"/>
      <c r="W24" s="701"/>
      <c r="X24" s="702"/>
      <c r="Y24" s="3690"/>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90"/>
      <c r="Q25" s="1342" t="str">
        <f t="shared" ref="Q25" si="9">B25</f>
        <v>基础设施水平</v>
      </c>
      <c r="R25" s="700" t="s">
        <v>14</v>
      </c>
      <c r="S25" s="701">
        <f>F25</f>
        <v>100</v>
      </c>
      <c r="T25" s="700" t="s">
        <v>14</v>
      </c>
      <c r="U25" s="701">
        <f>H25</f>
        <v>100</v>
      </c>
      <c r="V25" s="700" t="s">
        <v>14</v>
      </c>
      <c r="W25" s="701">
        <f>J25</f>
        <v>100</v>
      </c>
      <c r="X25" s="702"/>
      <c r="Y25" s="3690"/>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90"/>
      <c r="Q26" s="1342"/>
      <c r="R26" s="700"/>
      <c r="S26" s="701"/>
      <c r="T26" s="700"/>
      <c r="U26" s="701"/>
      <c r="V26" s="700"/>
      <c r="W26" s="701"/>
      <c r="X26" s="702"/>
      <c r="Y26" s="3690"/>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9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0"/>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90"/>
      <c r="Q28" s="1351" t="str">
        <f t="shared" si="8"/>
        <v>毗邻道路的类型与等级</v>
      </c>
      <c r="R28" s="704" t="s">
        <v>14</v>
      </c>
      <c r="S28" s="705">
        <f t="shared" si="10"/>
        <v>100</v>
      </c>
      <c r="T28" s="704" t="s">
        <v>14</v>
      </c>
      <c r="U28" s="705">
        <f t="shared" si="11"/>
        <v>100</v>
      </c>
      <c r="V28" s="704" t="s">
        <v>14</v>
      </c>
      <c r="W28" s="705">
        <f t="shared" si="12"/>
        <v>100</v>
      </c>
      <c r="X28" s="1354"/>
      <c r="Y28" s="3690"/>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90"/>
      <c r="Q29" s="1351"/>
      <c r="R29" s="704"/>
      <c r="S29" s="705"/>
      <c r="T29" s="704"/>
      <c r="U29" s="705"/>
      <c r="V29" s="704"/>
      <c r="W29" s="705"/>
      <c r="X29" s="1354"/>
      <c r="Y29" s="3690"/>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90"/>
      <c r="Q30" s="1351" t="str">
        <f t="shared" si="8"/>
        <v>土地级别</v>
      </c>
      <c r="R30" s="704" t="s">
        <v>14</v>
      </c>
      <c r="S30" s="705">
        <f t="shared" si="10"/>
        <v>100</v>
      </c>
      <c r="T30" s="704" t="s">
        <v>14</v>
      </c>
      <c r="U30" s="705">
        <f t="shared" si="11"/>
        <v>100</v>
      </c>
      <c r="V30" s="704" t="s">
        <v>14</v>
      </c>
      <c r="W30" s="705">
        <f t="shared" si="12"/>
        <v>100</v>
      </c>
      <c r="X30" s="1354"/>
      <c r="Y30" s="3690"/>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0"/>
      <c r="Q31" s="1351">
        <f t="shared" si="8"/>
        <v>111</v>
      </c>
      <c r="R31" s="704" t="s">
        <v>14</v>
      </c>
      <c r="S31" s="705">
        <f t="shared" si="10"/>
        <v>100</v>
      </c>
      <c r="T31" s="704" t="s">
        <v>14</v>
      </c>
      <c r="U31" s="705">
        <f t="shared" si="11"/>
        <v>100</v>
      </c>
      <c r="V31" s="704" t="s">
        <v>14</v>
      </c>
      <c r="W31" s="705">
        <f t="shared" si="12"/>
        <v>100</v>
      </c>
      <c r="X31" s="1354"/>
      <c r="Y31" s="3690"/>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50" t="s">
        <v>1696</v>
      </c>
      <c r="Q32" s="1351">
        <f t="shared" si="8"/>
        <v>111</v>
      </c>
      <c r="R32" s="704" t="s">
        <v>14</v>
      </c>
      <c r="S32" s="705">
        <f t="shared" si="10"/>
        <v>100</v>
      </c>
      <c r="T32" s="704" t="s">
        <v>14</v>
      </c>
      <c r="U32" s="705">
        <f t="shared" si="11"/>
        <v>100</v>
      </c>
      <c r="V32" s="704" t="s">
        <v>14</v>
      </c>
      <c r="W32" s="705">
        <f t="shared" si="12"/>
        <v>100</v>
      </c>
      <c r="X32" s="1354"/>
      <c r="Y32" s="3694"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94"/>
      <c r="Q33" s="1351">
        <f t="shared" si="8"/>
        <v>111</v>
      </c>
      <c r="R33" s="707" t="s">
        <v>14</v>
      </c>
      <c r="S33" s="708">
        <f t="shared" si="10"/>
        <v>100</v>
      </c>
      <c r="T33" s="707" t="s">
        <v>14</v>
      </c>
      <c r="U33" s="708">
        <f t="shared" si="11"/>
        <v>100</v>
      </c>
      <c r="V33" s="707" t="s">
        <v>14</v>
      </c>
      <c r="W33" s="708">
        <f t="shared" si="12"/>
        <v>100</v>
      </c>
      <c r="X33" s="709"/>
      <c r="Y33" s="3694"/>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94"/>
      <c r="Q34" s="1351" t="str">
        <f>B34</f>
        <v>宗地面积</v>
      </c>
      <c r="R34" s="704" t="s">
        <v>14</v>
      </c>
      <c r="S34" s="705" t="e">
        <f t="shared" si="10"/>
        <v>#N/A</v>
      </c>
      <c r="T34" s="704" t="s">
        <v>14</v>
      </c>
      <c r="U34" s="705" t="e">
        <f t="shared" si="11"/>
        <v>#N/A</v>
      </c>
      <c r="V34" s="704" t="s">
        <v>14</v>
      </c>
      <c r="W34" s="705" t="e">
        <f t="shared" si="12"/>
        <v>#N/A</v>
      </c>
      <c r="X34" s="1354"/>
      <c r="Y34" s="369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4"/>
      <c r="Q35" s="1351" t="str">
        <f t="shared" ref="Q35:Q40" si="14">B35</f>
        <v>宗地形状</v>
      </c>
      <c r="R35" s="704" t="s">
        <v>14</v>
      </c>
      <c r="S35" s="705">
        <f t="shared" si="10"/>
        <v>100</v>
      </c>
      <c r="T35" s="704" t="s">
        <v>14</v>
      </c>
      <c r="U35" s="705">
        <f t="shared" si="11"/>
        <v>100</v>
      </c>
      <c r="V35" s="704" t="s">
        <v>14</v>
      </c>
      <c r="W35" s="705">
        <f t="shared" si="12"/>
        <v>100</v>
      </c>
      <c r="X35" s="1354"/>
      <c r="Y35" s="369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4"/>
      <c r="Q36" s="1351" t="str">
        <f t="shared" si="14"/>
        <v>宗地开发程度</v>
      </c>
      <c r="R36" s="700" t="s">
        <v>14</v>
      </c>
      <c r="S36" s="701">
        <f t="shared" si="10"/>
        <v>100</v>
      </c>
      <c r="T36" s="700" t="s">
        <v>14</v>
      </c>
      <c r="U36" s="701">
        <f t="shared" si="11"/>
        <v>100</v>
      </c>
      <c r="V36" s="700" t="s">
        <v>14</v>
      </c>
      <c r="W36" s="701">
        <f t="shared" si="12"/>
        <v>100</v>
      </c>
      <c r="X36" s="702"/>
      <c r="Y36" s="3694"/>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4" t="s">
        <v>1696</v>
      </c>
      <c r="Q37" s="1351" t="str">
        <f t="shared" si="14"/>
        <v>工程地质条件</v>
      </c>
      <c r="R37" s="704" t="s">
        <v>14</v>
      </c>
      <c r="S37" s="705">
        <f t="shared" si="10"/>
        <v>100</v>
      </c>
      <c r="T37" s="704" t="s">
        <v>14</v>
      </c>
      <c r="U37" s="705">
        <f t="shared" si="11"/>
        <v>100</v>
      </c>
      <c r="V37" s="704" t="s">
        <v>14</v>
      </c>
      <c r="W37" s="705">
        <f t="shared" si="12"/>
        <v>100</v>
      </c>
      <c r="X37" s="1354"/>
      <c r="Y37" s="3694"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94"/>
      <c r="Q38" s="1351">
        <f t="shared" si="14"/>
        <v>111</v>
      </c>
      <c r="R38" s="704" t="s">
        <v>14</v>
      </c>
      <c r="S38" s="705">
        <f t="shared" si="10"/>
        <v>100</v>
      </c>
      <c r="T38" s="704" t="s">
        <v>14</v>
      </c>
      <c r="U38" s="705">
        <f t="shared" si="11"/>
        <v>100</v>
      </c>
      <c r="V38" s="704" t="s">
        <v>14</v>
      </c>
      <c r="W38" s="705">
        <f t="shared" si="12"/>
        <v>100</v>
      </c>
      <c r="X38" s="1354"/>
      <c r="Y38" s="3694"/>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94"/>
      <c r="Q39" s="1351">
        <f t="shared" si="14"/>
        <v>111</v>
      </c>
      <c r="R39" s="704" t="s">
        <v>14</v>
      </c>
      <c r="S39" s="705">
        <f t="shared" si="10"/>
        <v>100</v>
      </c>
      <c r="T39" s="704" t="s">
        <v>14</v>
      </c>
      <c r="U39" s="705">
        <f t="shared" si="11"/>
        <v>100</v>
      </c>
      <c r="V39" s="704" t="s">
        <v>14</v>
      </c>
      <c r="W39" s="705">
        <f t="shared" si="12"/>
        <v>100</v>
      </c>
      <c r="X39" s="1354"/>
      <c r="Y39" s="3694"/>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94"/>
      <c r="Q40" s="1351">
        <f t="shared" si="14"/>
        <v>111</v>
      </c>
      <c r="R40" s="707" t="s">
        <v>14</v>
      </c>
      <c r="S40" s="708">
        <f t="shared" si="10"/>
        <v>100</v>
      </c>
      <c r="T40" s="707" t="s">
        <v>14</v>
      </c>
      <c r="U40" s="708">
        <f t="shared" si="11"/>
        <v>100</v>
      </c>
      <c r="V40" s="707" t="s">
        <v>14</v>
      </c>
      <c r="W40" s="708">
        <f t="shared" si="12"/>
        <v>100</v>
      </c>
      <c r="X40" s="709"/>
      <c r="Y40" s="3694"/>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96" t="str">
        <f>A41</f>
        <v>成交单价</v>
      </c>
      <c r="Q41" s="3696"/>
      <c r="R41" s="3658">
        <f>E41</f>
        <v>0</v>
      </c>
      <c r="S41" s="3658"/>
      <c r="T41" s="3658">
        <f>G41</f>
        <v>0</v>
      </c>
      <c r="U41" s="3658"/>
      <c r="V41" s="3658">
        <f>I41</f>
        <v>0</v>
      </c>
      <c r="W41" s="3658"/>
      <c r="X41" s="689"/>
      <c r="Y41" s="711"/>
      <c r="Z41" s="689"/>
      <c r="AA41" s="689"/>
      <c r="AB41" s="689"/>
      <c r="AC41" s="689"/>
    </row>
    <row r="42" spans="1:31" ht="15.75" thickBot="1">
      <c r="A42" s="437" t="s">
        <v>1793</v>
      </c>
      <c r="B42" s="630"/>
      <c r="C42" s="440" t="e">
        <f>R43</f>
        <v>#DIV/0!</v>
      </c>
      <c r="D42" s="2316" t="s">
        <v>2137</v>
      </c>
      <c r="E42" s="440" t="e">
        <f>R42</f>
        <v>#DIV/0!</v>
      </c>
      <c r="F42" s="2317"/>
      <c r="G42" s="439" t="e">
        <f>T42</f>
        <v>#DIV/0!</v>
      </c>
      <c r="H42" s="2317"/>
      <c r="I42" s="440" t="e">
        <f>V42</f>
        <v>#DIV/0!</v>
      </c>
      <c r="J42" s="2317"/>
      <c r="K42" s="2319">
        <f>F42+H42+J42</f>
        <v>0</v>
      </c>
      <c r="L42" s="2723"/>
      <c r="M42" s="2715"/>
      <c r="N42" s="2715"/>
      <c r="O42" s="2724"/>
      <c r="P42" s="3696" t="str">
        <f>A42</f>
        <v>比较价值（元/平方米）</v>
      </c>
      <c r="Q42" s="3696"/>
      <c r="R42" s="3752" t="e">
        <f>ROUND(PRODUCT(R41,AA7:AA40),0)</f>
        <v>#DIV/0!</v>
      </c>
      <c r="S42" s="3752"/>
      <c r="T42" s="3752" t="e">
        <f>ROUND(PRODUCT(T41,AB7:AB40),0)</f>
        <v>#DIV/0!</v>
      </c>
      <c r="U42" s="3752"/>
      <c r="V42" s="3752" t="e">
        <f>ROUND(PRODUCT(V41,AC7:AC40),0)</f>
        <v>#DIV/0!</v>
      </c>
      <c r="W42" s="3752"/>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98" t="str">
        <f>A43</f>
        <v>估价对象XX用房的比较价值（楼面单价，元/平方米）</v>
      </c>
      <c r="Q43" s="3699"/>
      <c r="R43" s="3753" t="e">
        <f>ROUND(IF(D42="简单平均",AVERAGE(R42:W42),R42*F42+T42*H42+V42*J42),0)</f>
        <v>#DIV/0!</v>
      </c>
      <c r="S43" s="3753"/>
      <c r="T43" s="3753"/>
      <c r="U43" s="3753"/>
      <c r="V43" s="3753"/>
      <c r="W43" s="3753"/>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4" t="s">
        <v>1887</v>
      </c>
      <c r="H50" s="3754"/>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145.19</v>
      </c>
      <c r="F51" s="638" t="e">
        <f t="shared" ref="F51:F60" si="15">ROUND(B51*E51/10000,0)</f>
        <v>#DIV/0!</v>
      </c>
      <c r="G51" s="3673"/>
      <c r="H51" s="369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六级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六级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六级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六级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I1" zoomScale="85" zoomScaleNormal="80" zoomScaleSheetLayoutView="85" workbookViewId="0">
      <selection activeCell="Q36" sqref="Q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0" width="12" style="1997"/>
    <col min="21" max="21" width="14.875" style="1997" bestFit="1" customWidth="1"/>
    <col min="22"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71.650000000000006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444</v>
      </c>
      <c r="C2" s="1998" t="s">
        <v>1935</v>
      </c>
      <c r="D2" s="1999" t="s">
        <v>1936</v>
      </c>
      <c r="E2" s="3421" t="s">
        <v>673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Ⅵ-兴1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11528</v>
      </c>
      <c r="U2" s="1212">
        <f>典型户型修正!B24</f>
        <v>145.19</v>
      </c>
      <c r="V2" s="3360">
        <f>ROUND(T2*U2/10000,0)</f>
        <v>167</v>
      </c>
      <c r="W2" s="1215"/>
      <c r="X2" s="1215"/>
      <c r="Y2" s="1215"/>
      <c r="Z2" s="1215"/>
      <c r="AA2" s="1215"/>
      <c r="AB2" s="1215"/>
      <c r="AC2" s="1216"/>
      <c r="AD2" s="1217"/>
      <c r="AE2" s="1217"/>
      <c r="AF2" s="1217"/>
      <c r="AG2" s="1217"/>
      <c r="AH2" s="1217"/>
      <c r="AI2" s="1217"/>
      <c r="AJ2" s="1218"/>
    </row>
    <row r="3" spans="1:36" ht="15.75">
      <c r="A3" s="203" t="s">
        <v>1940</v>
      </c>
      <c r="B3" s="204">
        <f>ROUND(B2*10000/D1,0)</f>
        <v>61968</v>
      </c>
      <c r="C3" s="1998" t="s">
        <v>1941</v>
      </c>
      <c r="D3" s="1999" t="s">
        <v>1942</v>
      </c>
      <c r="E3" s="3419" t="s">
        <v>2443</v>
      </c>
      <c r="F3" s="2003" t="s">
        <v>3375</v>
      </c>
      <c r="G3" s="751">
        <f>IF(F3="宗地容积率",'数据-汇总表'!I4,IF(F3="估价对象容积率",'数据-汇总表'!I6,'数据-汇总表'!I7))</f>
        <v>0</v>
      </c>
      <c r="H3" s="170" t="s">
        <v>1943</v>
      </c>
      <c r="I3" s="774">
        <v>3</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9087</v>
      </c>
      <c r="U3" s="1212">
        <f>典型户型修正!B25</f>
        <v>145.19</v>
      </c>
      <c r="V3" s="3360">
        <f t="shared" ref="V3:V16" si="1">ROUND(T3*U3/10000,0)</f>
        <v>132</v>
      </c>
      <c r="W3" s="1215"/>
      <c r="X3" s="1215"/>
      <c r="Y3" s="1215"/>
      <c r="Z3" s="1215"/>
      <c r="AA3" s="1215"/>
      <c r="AB3" s="1215"/>
      <c r="AC3" s="1216"/>
      <c r="AD3" s="1217"/>
      <c r="AE3" s="1217"/>
      <c r="AF3" s="1217"/>
      <c r="AG3" s="1217"/>
      <c r="AH3" s="1217"/>
      <c r="AI3" s="1217"/>
      <c r="AJ3" s="1218"/>
    </row>
    <row r="4" spans="1:36" ht="15.75">
      <c r="A4" s="3766"/>
      <c r="B4" s="3767"/>
      <c r="C4" s="3767"/>
      <c r="D4" s="3768"/>
      <c r="E4" s="3768"/>
      <c r="F4" s="3768"/>
      <c r="G4" s="3768"/>
      <c r="H4" s="3768"/>
      <c r="I4" s="3768"/>
      <c r="J4" s="376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7680</v>
      </c>
      <c r="U4" s="1212">
        <f>典型户型修正!B26</f>
        <v>145.19</v>
      </c>
      <c r="V4" s="3360">
        <f t="shared" si="1"/>
        <v>112</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11180</v>
      </c>
      <c r="D5" s="1338">
        <f>ROUND(C6*C17+C20,0)</f>
        <v>11180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6773</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11180</v>
      </c>
      <c r="D6" s="2016"/>
      <c r="E6" s="2017"/>
      <c r="F6" s="2017"/>
      <c r="G6" s="2018"/>
      <c r="H6" s="2018"/>
      <c r="I6" s="2018"/>
      <c r="J6" s="2019"/>
      <c r="K6" s="1383"/>
      <c r="L6" s="2002" t="s">
        <v>1951</v>
      </c>
      <c r="M6" s="863">
        <f>SUMPRODUCT((区片价!B127:B189=I2)*(区片价!C3:G3=E2)*(区片价!C127:G189))</f>
        <v>11180</v>
      </c>
      <c r="N6" s="865">
        <f>SUMPRODUCT((因素修正幅度!B127:B189=I2)*(因素修正幅度!C3:G3=E2)*(因素修正幅度!C127:G189))</f>
        <v>0.13</v>
      </c>
      <c r="O6" s="1118"/>
      <c r="P6" s="1118"/>
      <c r="Q6" s="1118"/>
      <c r="R6" s="1211">
        <v>5</v>
      </c>
      <c r="S6" s="3360">
        <f>ROUND(SUMPRODUCT((B106:B110=R6)*(C105:N105=G2)*(C106:N110)),4)</f>
        <v>0.84799999999999998</v>
      </c>
      <c r="T6" s="3360">
        <f t="shared" si="0"/>
        <v>6509</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六级</v>
      </c>
      <c r="Y7" s="1213" t="s">
        <v>1956</v>
      </c>
      <c r="Z7" s="1214">
        <f>G3</f>
        <v>0</v>
      </c>
      <c r="AA7" s="1215"/>
      <c r="AB7" s="1215"/>
      <c r="AC7" s="1216"/>
      <c r="AD7" s="1217"/>
      <c r="AE7" s="1217"/>
      <c r="AF7" s="1217"/>
      <c r="AG7" s="1217"/>
      <c r="AH7" s="1217"/>
      <c r="AI7" s="1217"/>
      <c r="AJ7" s="1218"/>
    </row>
    <row r="8" spans="1:36" ht="25.5">
      <c r="A8" s="3298"/>
      <c r="B8" s="170" t="s">
        <v>1957</v>
      </c>
      <c r="C8" s="2025" t="s">
        <v>3376</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3" t="s">
        <v>1960</v>
      </c>
      <c r="X8" s="376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65"/>
      <c r="X9" s="3361" t="s">
        <v>3263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1.05</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0" t="s">
        <v>3250</v>
      </c>
      <c r="B20" s="167" t="s">
        <v>1994</v>
      </c>
      <c r="C20" s="3324">
        <f>ROUND(IF(F21="与级别开发程度一致",0,(G21-E21)/C21),0)</f>
        <v>0</v>
      </c>
      <c r="D20" s="3340" t="s">
        <v>1998</v>
      </c>
      <c r="E20" s="3341"/>
      <c r="F20" s="3776" t="s">
        <v>1995</v>
      </c>
      <c r="G20" s="3777"/>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71"/>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3377</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2002</v>
      </c>
      <c r="E23" s="760">
        <v>44197</v>
      </c>
      <c r="F23" s="2053" t="s">
        <v>2003</v>
      </c>
      <c r="G23" s="761">
        <f>'数据-取费表'!B2</f>
        <v>45163</v>
      </c>
      <c r="H23" s="3342" t="s">
        <v>3251</v>
      </c>
      <c r="I23" s="3343" t="str">
        <f>IF(H23="季度增幅（自定义）",SUMIF(N25:N28,E2,O25:O28),"")</f>
        <v/>
      </c>
      <c r="J23" s="3445" t="s">
        <v>3474</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0.76500000000000001</v>
      </c>
      <c r="D24" s="2059" t="s">
        <v>2007</v>
      </c>
      <c r="E24" s="1334">
        <f>存贷款利率!E24/100</f>
        <v>4.3499999999999997E-2</v>
      </c>
      <c r="F24" s="2059" t="s">
        <v>1999</v>
      </c>
      <c r="G24" s="767">
        <f>SUMIF(M30:Q30,E2,M33:Q33)</f>
        <v>5.5E-2</v>
      </c>
      <c r="H24" s="2059" t="s">
        <v>2008</v>
      </c>
      <c r="I24" s="768">
        <f>SUMIF('数据-取费表'!C6:C15,E2,'数据-取费表'!F6:F15)/COUNTIF('数据-取费表'!C6:C15,E2)</f>
        <v>21</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3378</v>
      </c>
      <c r="C25" s="770">
        <f>IF(B25="容积率修正",IF(G3&lt;10,D26,J26),C27)</f>
        <v>1.0004999999999999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3252</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1.0004999999999999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1.0790999999999999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444</v>
      </c>
      <c r="D30" s="2082"/>
      <c r="E30" s="2045"/>
      <c r="F30" s="2083"/>
      <c r="G30" s="2045"/>
      <c r="H30" s="2045"/>
      <c r="I30" s="2045"/>
      <c r="J30" s="2084"/>
      <c r="K30" s="1118"/>
      <c r="L30" s="3350" t="s">
        <v>1936</v>
      </c>
      <c r="M30" s="3351" t="s">
        <v>1990</v>
      </c>
      <c r="N30" s="3351" t="s">
        <v>1991</v>
      </c>
      <c r="O30" s="3351" t="s">
        <v>1992</v>
      </c>
      <c r="P30" s="3351" t="s">
        <v>1993</v>
      </c>
      <c r="Q30" s="3354"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8</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7680</v>
      </c>
      <c r="D33" s="2097"/>
      <c r="E33" s="772">
        <f>ROUND(C33*D33/10000,0)</f>
        <v>0</v>
      </c>
      <c r="F33" s="3345" t="s">
        <v>3255</v>
      </c>
      <c r="G33" s="2098"/>
      <c r="H33" s="2098"/>
      <c r="I33" s="2098"/>
      <c r="J33" s="2099"/>
      <c r="K33" s="1118"/>
      <c r="L33" s="3348" t="s">
        <v>3258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3259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4"/>
      <c r="B37" s="2112" t="s">
        <v>2036</v>
      </c>
      <c r="C37" s="175">
        <f>ROUND(D5*C22*C23*C24*C28*F37,0)</f>
        <v>4605</v>
      </c>
      <c r="D37" s="2097">
        <v>71.650000000000006</v>
      </c>
      <c r="E37" s="171">
        <f>ROUND(C37*D37/10000,0)</f>
        <v>33</v>
      </c>
      <c r="F37" s="171">
        <f>SUMIF(修正!A57:A68,G2,修正!B57:B68)</f>
        <v>0.6</v>
      </c>
      <c r="G37" s="171">
        <f>ROUND(IF(E2="工业",C37*$M$42,C37*$M$41),0)</f>
        <v>1151</v>
      </c>
      <c r="H37" s="171">
        <f>D37</f>
        <v>71.650000000000006</v>
      </c>
      <c r="I37" s="171">
        <f>ROUND(G37*H37/10000,0)</f>
        <v>8</v>
      </c>
      <c r="J37" s="3011"/>
      <c r="K37" s="3358" t="s">
        <v>3261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5"/>
      <c r="B38" s="2040" t="s">
        <v>2037</v>
      </c>
      <c r="C38" s="175">
        <f>ROUND(D5*C22*C23*C24*C28*F38,0)</f>
        <v>2303</v>
      </c>
      <c r="D38" s="2097"/>
      <c r="E38" s="171">
        <f t="shared" ref="E38:E42" si="4">ROUND(C38*D38/10000,0)</f>
        <v>0</v>
      </c>
      <c r="F38" s="171">
        <f>SUMIF(修正!A57:A68,G2,修正!C57:C68)</f>
        <v>0.3</v>
      </c>
      <c r="G38" s="171">
        <f>ROUND(IF(E2="工业",C38*$M$42,C38*$M$41),0)</f>
        <v>576</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5"/>
      <c r="B39" s="2040" t="s">
        <v>3254</v>
      </c>
      <c r="C39" s="175">
        <f>ROUND(D5*C22*C23*C24*C28*F39,0)</f>
        <v>1919</v>
      </c>
      <c r="D39" s="2097"/>
      <c r="E39" s="171">
        <f t="shared" si="4"/>
        <v>0</v>
      </c>
      <c r="F39" s="171">
        <f>SUMIF(修正!A57:A68,G2,修正!D57:D68)</f>
        <v>0.25</v>
      </c>
      <c r="G39" s="171">
        <f>ROUND(IF(E2="工业",C39*$M$42,C39*$M$41),0)</f>
        <v>480</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1919</v>
      </c>
      <c r="D40" s="2097"/>
      <c r="E40" s="171">
        <f t="shared" si="4"/>
        <v>0</v>
      </c>
      <c r="F40" s="175">
        <f>SUMIF(修正!A57:A68,G2,修正!E57:E68)</f>
        <v>0.25</v>
      </c>
      <c r="G40" s="171">
        <f>ROUND(IF(E2="工业",C40*$M$42,C40*$M$41),0)</f>
        <v>480</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1819</v>
      </c>
      <c r="D41" s="2097"/>
      <c r="E41" s="171">
        <f t="shared" si="4"/>
        <v>0</v>
      </c>
      <c r="F41" s="175">
        <f>SUMIF(修正!A57:A68,G2,修正!F57:F68)</f>
        <v>0.25</v>
      </c>
      <c r="G41" s="171">
        <f>ROUND(IF(E2="工业",C41*$M$42,C41*$M$41),0)</f>
        <v>455</v>
      </c>
      <c r="H41" s="171">
        <f t="shared" si="5"/>
        <v>0</v>
      </c>
      <c r="I41" s="171">
        <f t="shared" si="6"/>
        <v>0</v>
      </c>
      <c r="J41" s="2113"/>
      <c r="L41" s="3359" t="s">
        <v>3262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1091</v>
      </c>
      <c r="D42" s="2102"/>
      <c r="E42" s="187">
        <f t="shared" si="4"/>
        <v>0</v>
      </c>
      <c r="F42" s="766">
        <f>SUMIF(修正!A57:A68,G2,修正!G57:G68)</f>
        <v>0.15</v>
      </c>
      <c r="G42" s="187">
        <f>ROUND(IF(E2="工业",C42*$M$42,C42*$M$41),0)</f>
        <v>273</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0.72499999999999998</v>
      </c>
      <c r="D44" s="171" t="s">
        <v>1999</v>
      </c>
      <c r="E44" s="2152">
        <f>G24</f>
        <v>5.5E-2</v>
      </c>
      <c r="F44" s="171" t="s">
        <v>2008</v>
      </c>
      <c r="G44" s="183">
        <f>项目基本情况!D15</f>
        <v>21</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1.0790999999999999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t="s">
        <v>3379</v>
      </c>
      <c r="D50" s="1064">
        <f t="shared" ref="D50:D58" si="7">SUMIF($J$49:$N$49,C50,J50:N50)</f>
        <v>1.95E-2</v>
      </c>
      <c r="E50" s="743">
        <f>ROUND(SUM(D50:D58),4)</f>
        <v>7.9100000000000004E-2</v>
      </c>
      <c r="F50" s="1813">
        <f>IF(E2="商业",SUMIF(L1:L12,G2,N1:N12),"——")</f>
        <v>0.13</v>
      </c>
      <c r="G50" s="1062">
        <f>H50</f>
        <v>1.95E-2</v>
      </c>
      <c r="H50" s="1065">
        <f t="shared" ref="H50:H58" si="8">IFERROR(ROUNDDOWN($F$50*I50/2,4),"——")</f>
        <v>1.95E-2</v>
      </c>
      <c r="I50" s="3366">
        <v>0.3</v>
      </c>
      <c r="J50" s="1063">
        <f t="shared" ref="J50:J58" si="9">K50+$G50</f>
        <v>3.9E-2</v>
      </c>
      <c r="K50" s="1063">
        <f t="shared" ref="K50:K58" si="10">$L50+$G50</f>
        <v>1.95E-2</v>
      </c>
      <c r="L50" s="1063">
        <v>0</v>
      </c>
      <c r="M50" s="1063">
        <f t="shared" ref="M50:N58" si="11">L50-$G50</f>
        <v>-1.95E-2</v>
      </c>
      <c r="N50" s="1063">
        <f t="shared" si="11"/>
        <v>-3.9E-2</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t="s">
        <v>3380</v>
      </c>
      <c r="D51" s="1064">
        <f t="shared" si="7"/>
        <v>2.86E-2</v>
      </c>
      <c r="E51" s="744"/>
      <c r="F51" s="1813"/>
      <c r="G51" s="1062">
        <f t="shared" ref="G51:G58" si="12">H51</f>
        <v>1.43E-2</v>
      </c>
      <c r="H51" s="1065">
        <f t="shared" si="8"/>
        <v>1.43E-2</v>
      </c>
      <c r="I51" s="3366">
        <v>0.22</v>
      </c>
      <c r="J51" s="1063">
        <f t="shared" si="9"/>
        <v>2.86E-2</v>
      </c>
      <c r="K51" s="1063">
        <f t="shared" si="10"/>
        <v>1.43E-2</v>
      </c>
      <c r="L51" s="1063">
        <v>0</v>
      </c>
      <c r="M51" s="1063">
        <f t="shared" si="11"/>
        <v>-1.43E-2</v>
      </c>
      <c r="N51" s="1063">
        <f t="shared" si="11"/>
        <v>-2.86E-2</v>
      </c>
      <c r="AA51" s="1119"/>
      <c r="AB51" s="1119"/>
      <c r="AC51" s="1119"/>
      <c r="AD51" s="1119"/>
      <c r="AE51" s="1119"/>
      <c r="AF51" s="1119"/>
      <c r="AG51" s="1119"/>
      <c r="AH51" s="1119"/>
      <c r="AI51" s="1119"/>
      <c r="AJ51" s="1119"/>
      <c r="AK51" s="1119"/>
    </row>
    <row r="52" spans="1:37" s="1118" customFormat="1" ht="36">
      <c r="A52" s="3368" t="s">
        <v>3264</v>
      </c>
      <c r="B52" s="2133">
        <f>估价对象房地状况!C19</f>
        <v>0</v>
      </c>
      <c r="C52" s="2043" t="s">
        <v>3379</v>
      </c>
      <c r="D52" s="1064">
        <f t="shared" si="7"/>
        <v>7.7999999999999996E-3</v>
      </c>
      <c r="E52" s="744"/>
      <c r="F52" s="1813"/>
      <c r="G52" s="1062">
        <f t="shared" si="12"/>
        <v>7.7999999999999996E-3</v>
      </c>
      <c r="H52" s="1065">
        <f t="shared" si="8"/>
        <v>7.7999999999999996E-3</v>
      </c>
      <c r="I52" s="3366">
        <v>0.12</v>
      </c>
      <c r="J52" s="1063">
        <f t="shared" si="9"/>
        <v>1.5599999999999999E-2</v>
      </c>
      <c r="K52" s="1063">
        <f t="shared" si="10"/>
        <v>7.7999999999999996E-3</v>
      </c>
      <c r="L52" s="1063">
        <v>0</v>
      </c>
      <c r="M52" s="1063">
        <f t="shared" si="11"/>
        <v>-7.7999999999999996E-3</v>
      </c>
      <c r="N52" s="1063">
        <f t="shared" si="11"/>
        <v>-1.5599999999999999E-2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3379</v>
      </c>
      <c r="D53" s="1064">
        <f t="shared" si="7"/>
        <v>3.2000000000000002E-3</v>
      </c>
      <c r="E53" s="744"/>
      <c r="F53" s="1813"/>
      <c r="G53" s="1062">
        <f t="shared" si="12"/>
        <v>3.2000000000000002E-3</v>
      </c>
      <c r="H53" s="1065">
        <f t="shared" si="8"/>
        <v>3.2000000000000002E-3</v>
      </c>
      <c r="I53" s="3366">
        <v>0.05</v>
      </c>
      <c r="J53" s="1063">
        <f t="shared" si="9"/>
        <v>6.4000000000000003E-3</v>
      </c>
      <c r="K53" s="1063">
        <f t="shared" si="10"/>
        <v>3.2000000000000002E-3</v>
      </c>
      <c r="L53" s="1063">
        <v>0</v>
      </c>
      <c r="M53" s="1063">
        <f t="shared" si="11"/>
        <v>-3.2000000000000002E-3</v>
      </c>
      <c r="N53" s="1063">
        <f t="shared" si="11"/>
        <v>-6.4000000000000003E-3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3379</v>
      </c>
      <c r="D54" s="1064">
        <f t="shared" si="7"/>
        <v>5.1999999999999998E-3</v>
      </c>
      <c r="E54" s="744"/>
      <c r="F54" s="1813"/>
      <c r="G54" s="1062">
        <f t="shared" si="12"/>
        <v>5.1999999999999998E-3</v>
      </c>
      <c r="H54" s="1065">
        <f t="shared" si="8"/>
        <v>5.1999999999999998E-3</v>
      </c>
      <c r="I54" s="3366">
        <v>0.08</v>
      </c>
      <c r="J54" s="1063">
        <f t="shared" si="9"/>
        <v>1.04E-2</v>
      </c>
      <c r="K54" s="1063">
        <f t="shared" si="10"/>
        <v>5.1999999999999998E-3</v>
      </c>
      <c r="L54" s="1063">
        <v>0</v>
      </c>
      <c r="M54" s="1063">
        <f t="shared" si="11"/>
        <v>-5.1999999999999998E-3</v>
      </c>
      <c r="N54" s="1063">
        <f t="shared" si="11"/>
        <v>-1.04E-2</v>
      </c>
      <c r="AA54" s="1119"/>
      <c r="AB54" s="1119"/>
      <c r="AC54" s="1119"/>
      <c r="AD54" s="1119"/>
      <c r="AE54" s="1119"/>
      <c r="AF54" s="1119"/>
      <c r="AG54" s="1119"/>
      <c r="AH54" s="1119"/>
      <c r="AI54" s="1119"/>
      <c r="AJ54" s="1119"/>
      <c r="AK54" s="1119"/>
    </row>
    <row r="55" spans="1:37" s="1118" customFormat="1" ht="24">
      <c r="A55" s="2129" t="s">
        <v>2057</v>
      </c>
      <c r="B55" s="2135" t="s">
        <v>2058</v>
      </c>
      <c r="C55" s="2043" t="s">
        <v>3379</v>
      </c>
      <c r="D55" s="1064">
        <f t="shared" si="7"/>
        <v>3.2000000000000002E-3</v>
      </c>
      <c r="E55" s="744"/>
      <c r="F55" s="1813"/>
      <c r="G55" s="1062">
        <f t="shared" si="12"/>
        <v>3.2000000000000002E-3</v>
      </c>
      <c r="H55" s="1065">
        <f t="shared" si="8"/>
        <v>3.2000000000000002E-3</v>
      </c>
      <c r="I55" s="3366">
        <v>0.05</v>
      </c>
      <c r="J55" s="1063">
        <f t="shared" si="9"/>
        <v>6.4000000000000003E-3</v>
      </c>
      <c r="K55" s="1063">
        <f t="shared" si="10"/>
        <v>3.2000000000000002E-3</v>
      </c>
      <c r="L55" s="1063">
        <v>0</v>
      </c>
      <c r="M55" s="1063">
        <f t="shared" si="11"/>
        <v>-3.2000000000000002E-3</v>
      </c>
      <c r="N55" s="1063">
        <f t="shared" si="11"/>
        <v>-6.4000000000000003E-3</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t="s">
        <v>3379</v>
      </c>
      <c r="D56" s="1064">
        <f t="shared" si="7"/>
        <v>3.2000000000000002E-3</v>
      </c>
      <c r="E56" s="744"/>
      <c r="F56" s="1813"/>
      <c r="G56" s="1062">
        <f t="shared" si="12"/>
        <v>3.2000000000000002E-3</v>
      </c>
      <c r="H56" s="1065">
        <f t="shared" si="8"/>
        <v>3.2000000000000002E-3</v>
      </c>
      <c r="I56" s="3366">
        <v>0.05</v>
      </c>
      <c r="J56" s="1063">
        <f t="shared" si="9"/>
        <v>6.4000000000000003E-3</v>
      </c>
      <c r="K56" s="1063">
        <f t="shared" si="10"/>
        <v>3.2000000000000002E-3</v>
      </c>
      <c r="L56" s="1063">
        <v>0</v>
      </c>
      <c r="M56" s="1063">
        <f t="shared" si="11"/>
        <v>-3.2000000000000002E-3</v>
      </c>
      <c r="N56" s="1063">
        <f t="shared" si="11"/>
        <v>-6.4000000000000003E-3</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t="s">
        <v>3379</v>
      </c>
      <c r="D57" s="1064">
        <f t="shared" si="7"/>
        <v>5.1999999999999998E-3</v>
      </c>
      <c r="E57" s="744"/>
      <c r="F57" s="1813"/>
      <c r="G57" s="1062">
        <f t="shared" si="12"/>
        <v>5.1999999999999998E-3</v>
      </c>
      <c r="H57" s="1065">
        <f t="shared" si="8"/>
        <v>5.1999999999999998E-3</v>
      </c>
      <c r="I57" s="3366">
        <v>0.08</v>
      </c>
      <c r="J57" s="1063">
        <f t="shared" si="9"/>
        <v>1.04E-2</v>
      </c>
      <c r="K57" s="1063">
        <f t="shared" si="10"/>
        <v>5.1999999999999998E-3</v>
      </c>
      <c r="L57" s="1063">
        <v>0</v>
      </c>
      <c r="M57" s="1063">
        <f t="shared" si="11"/>
        <v>-5.1999999999999998E-3</v>
      </c>
      <c r="N57" s="1063">
        <f t="shared" si="11"/>
        <v>-1.04E-2</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t="s">
        <v>3379</v>
      </c>
      <c r="D58" s="1064">
        <f t="shared" si="7"/>
        <v>3.2000000000000002E-3</v>
      </c>
      <c r="E58" s="745"/>
      <c r="F58" s="1813"/>
      <c r="G58" s="1062">
        <f t="shared" si="12"/>
        <v>3.2000000000000002E-3</v>
      </c>
      <c r="H58" s="1065">
        <f t="shared" si="8"/>
        <v>3.2000000000000002E-3</v>
      </c>
      <c r="I58" s="3367">
        <v>0.05</v>
      </c>
      <c r="J58" s="1063">
        <f t="shared" si="9"/>
        <v>6.4000000000000003E-3</v>
      </c>
      <c r="K58" s="1063">
        <f t="shared" si="10"/>
        <v>3.2000000000000002E-3</v>
      </c>
      <c r="L58" s="1063">
        <v>0</v>
      </c>
      <c r="M58" s="1063">
        <f t="shared" si="11"/>
        <v>-3.2000000000000002E-3</v>
      </c>
      <c r="N58" s="1063">
        <f t="shared" si="11"/>
        <v>-6.4000000000000003E-3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3264</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3266</v>
      </c>
      <c r="B92" s="3365"/>
      <c r="C92" s="3365" t="s">
        <v>3275</v>
      </c>
      <c r="D92" s="3365" t="s">
        <v>3276</v>
      </c>
      <c r="E92" s="3347" t="s">
        <v>3277</v>
      </c>
      <c r="F92" s="3380" t="s">
        <v>3278</v>
      </c>
      <c r="G92" s="3365" t="s">
        <v>3279</v>
      </c>
      <c r="H92" s="3387" t="s">
        <v>3282</v>
      </c>
      <c r="I92" s="3365" t="s">
        <v>3283</v>
      </c>
      <c r="J92" s="3388" t="s">
        <v>3284</v>
      </c>
      <c r="K92" s="3388" t="s">
        <v>3285</v>
      </c>
      <c r="L92" s="3388" t="s">
        <v>3286</v>
      </c>
      <c r="M92" s="3388" t="s">
        <v>3287</v>
      </c>
      <c r="N92" s="3388" t="s">
        <v>3288</v>
      </c>
    </row>
    <row r="93" spans="1:37" ht="24">
      <c r="A93" s="3368" t="s">
        <v>3267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3268</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3269</v>
      </c>
      <c r="B96" s="3384" t="s">
        <v>3280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3271</v>
      </c>
      <c r="B98" s="3385" t="s">
        <v>3281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3272</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3273</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3274</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2" t="s">
        <v>3289</v>
      </c>
      <c r="B103" s="3772"/>
      <c r="C103" s="3772"/>
      <c r="D103" s="3772"/>
      <c r="E103" s="3772"/>
      <c r="F103" s="3772"/>
      <c r="G103" s="3772"/>
      <c r="H103" s="3772"/>
      <c r="I103" s="3772"/>
      <c r="J103" s="3772"/>
      <c r="K103" s="3389"/>
      <c r="L103" s="3389"/>
      <c r="M103" s="3389"/>
      <c r="N103" s="3389"/>
    </row>
    <row r="104" spans="1:14">
      <c r="A104" s="3773" t="s">
        <v>3290</v>
      </c>
      <c r="B104" s="3773" t="s">
        <v>3291</v>
      </c>
      <c r="C104" s="3390" t="s">
        <v>3292</v>
      </c>
      <c r="D104" s="3391"/>
      <c r="E104" s="3391"/>
      <c r="F104" s="3391"/>
      <c r="G104" s="3391"/>
      <c r="H104" s="3391"/>
      <c r="I104" s="3391"/>
      <c r="J104" s="3392"/>
      <c r="K104" s="3393"/>
      <c r="L104" s="3393"/>
      <c r="M104" s="3393"/>
      <c r="N104" s="3393"/>
    </row>
    <row r="105" spans="1:14">
      <c r="A105" s="3773"/>
      <c r="B105" s="3773"/>
      <c r="C105" s="3394" t="s">
        <v>3293</v>
      </c>
      <c r="D105" s="3394" t="s">
        <v>3294</v>
      </c>
      <c r="E105" s="3394" t="s">
        <v>3295</v>
      </c>
      <c r="F105" s="3394" t="s">
        <v>3296</v>
      </c>
      <c r="G105" s="3394" t="s">
        <v>3297</v>
      </c>
      <c r="H105" s="3394" t="s">
        <v>3298</v>
      </c>
      <c r="I105" s="3394" t="s">
        <v>3299</v>
      </c>
      <c r="J105" s="3394" t="s">
        <v>3300</v>
      </c>
      <c r="K105" s="3394" t="s">
        <v>3301</v>
      </c>
      <c r="L105" s="3394" t="s">
        <v>3302</v>
      </c>
      <c r="M105" s="3394" t="s">
        <v>3303</v>
      </c>
      <c r="N105" s="3394" t="s">
        <v>3304</v>
      </c>
    </row>
    <row r="106" spans="1:14">
      <c r="A106" s="3759" t="s">
        <v>3305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0"/>
      <c r="B111" s="3394" t="s">
        <v>3263</v>
      </c>
      <c r="C111" s="3395">
        <f>$I$3</f>
        <v>3</v>
      </c>
      <c r="D111" s="3395">
        <f t="shared" ref="D111:M111" si="33">$I$3</f>
        <v>3</v>
      </c>
      <c r="E111" s="3395">
        <f t="shared" si="33"/>
        <v>3</v>
      </c>
      <c r="F111" s="3395">
        <f t="shared" si="33"/>
        <v>3</v>
      </c>
      <c r="G111" s="3395">
        <f t="shared" si="33"/>
        <v>3</v>
      </c>
      <c r="H111" s="3395">
        <f t="shared" si="33"/>
        <v>3</v>
      </c>
      <c r="I111" s="3395">
        <f t="shared" si="33"/>
        <v>3</v>
      </c>
      <c r="J111" s="3395">
        <f t="shared" si="33"/>
        <v>3</v>
      </c>
      <c r="K111" s="3395">
        <f t="shared" si="33"/>
        <v>3</v>
      </c>
      <c r="L111" s="3395">
        <f t="shared" si="33"/>
        <v>3</v>
      </c>
      <c r="M111" s="3395">
        <f t="shared" si="33"/>
        <v>3</v>
      </c>
      <c r="N111" s="3395">
        <f>$I$3</f>
        <v>3</v>
      </c>
    </row>
    <row r="112" spans="1:14">
      <c r="A112" s="3761"/>
      <c r="B112" s="3394">
        <v>6</v>
      </c>
      <c r="C112" s="3387">
        <f>(-0.5556*(C111^2)-0.2719*C111+8944)*(10^(-4))</f>
        <v>0.89381839000000007</v>
      </c>
      <c r="D112" s="3387">
        <f>(-0.5556*(D111^2)-0.2719*D111+8944)*(10^(-4))</f>
        <v>0.89381839000000007</v>
      </c>
      <c r="E112" s="3387">
        <f>(-0.7912*(E111^2)-11.3794*E111+8482)*(10^(-4))</f>
        <v>0.84407410000000005</v>
      </c>
      <c r="F112" s="3387">
        <f t="shared" ref="F112:I112" si="34">(-0.7912*(F111^2)-11.3794*F111+8482)*(10^(-4))</f>
        <v>0.84407410000000005</v>
      </c>
      <c r="G112" s="3387">
        <f t="shared" si="34"/>
        <v>0.84407410000000005</v>
      </c>
      <c r="H112" s="3387">
        <f t="shared" si="34"/>
        <v>0.84407410000000005</v>
      </c>
      <c r="I112" s="3387">
        <f t="shared" si="34"/>
        <v>0.84407410000000005</v>
      </c>
      <c r="J112" s="3387">
        <f>(-0.989*(J111^2)-63.78*J111+7771)*(10^(-4))</f>
        <v>0.75707590000000002</v>
      </c>
      <c r="K112" s="3387">
        <f t="shared" ref="K112:N112" si="35">(-0.989*(K111^2)-63.78*K111+7771)*(10^(-4))</f>
        <v>0.75707590000000002</v>
      </c>
      <c r="L112" s="3387">
        <f t="shared" si="35"/>
        <v>0.75707590000000002</v>
      </c>
      <c r="M112" s="3387">
        <f t="shared" si="35"/>
        <v>0.75707590000000002</v>
      </c>
      <c r="N112" s="3387">
        <f t="shared" si="35"/>
        <v>0.75707590000000002</v>
      </c>
    </row>
    <row r="113" spans="1:14">
      <c r="A113" s="3762" t="s">
        <v>3306</v>
      </c>
      <c r="B113" s="3762"/>
      <c r="C113" s="3762"/>
      <c r="D113" s="3762"/>
      <c r="E113" s="3762"/>
      <c r="F113" s="3762"/>
      <c r="G113" s="3762"/>
      <c r="H113" s="3762"/>
      <c r="I113" s="3762"/>
      <c r="J113" s="376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3307</v>
      </c>
      <c r="B116" s="3415">
        <f>G3</f>
        <v>0</v>
      </c>
      <c r="C116" s="3399" t="s">
        <v>3308</v>
      </c>
      <c r="D116" s="3400">
        <f>SUMPRODUCT((A118:A122=F116)*(B117:M117=H116)*B118:M122)</f>
        <v>0.94899999999999995</v>
      </c>
      <c r="E116" s="1999" t="s">
        <v>3309</v>
      </c>
      <c r="F116" s="3401" t="str">
        <f>E2</f>
        <v>商业</v>
      </c>
      <c r="G116" s="1999" t="s">
        <v>3310</v>
      </c>
      <c r="H116" s="3401" t="str">
        <f>G2</f>
        <v>六级</v>
      </c>
      <c r="I116" s="1999"/>
      <c r="J116" s="3402"/>
      <c r="K116" s="3402"/>
      <c r="L116" s="3402"/>
      <c r="M116" s="3402"/>
      <c r="N116" s="3397"/>
    </row>
    <row r="117" spans="1:14">
      <c r="A117" s="3403"/>
      <c r="B117" s="3404" t="s">
        <v>3311</v>
      </c>
      <c r="C117" s="3404" t="s">
        <v>3312</v>
      </c>
      <c r="D117" s="3404" t="s">
        <v>3313</v>
      </c>
      <c r="E117" s="3405" t="s">
        <v>3314</v>
      </c>
      <c r="F117" s="3405" t="s">
        <v>3315</v>
      </c>
      <c r="G117" s="3405" t="s">
        <v>3316</v>
      </c>
      <c r="H117" s="3406" t="s">
        <v>3317</v>
      </c>
      <c r="I117" s="3406" t="s">
        <v>3318</v>
      </c>
      <c r="J117" s="3407" t="s">
        <v>3319</v>
      </c>
      <c r="K117" s="3407" t="s">
        <v>3320</v>
      </c>
      <c r="L117" s="3407" t="s">
        <v>3321</v>
      </c>
      <c r="M117" s="3408" t="s">
        <v>3322</v>
      </c>
      <c r="N117" s="3397"/>
    </row>
    <row r="118" spans="1:14">
      <c r="A118" s="3409" t="s">
        <v>3323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6">I118</f>
        <v>0.84860000000000002</v>
      </c>
      <c r="K118" s="3387">
        <f t="shared" si="36"/>
        <v>0.84860000000000002</v>
      </c>
      <c r="L118" s="3387">
        <f t="shared" si="36"/>
        <v>0.84860000000000002</v>
      </c>
      <c r="M118" s="3410">
        <f t="shared" si="36"/>
        <v>0.84860000000000002</v>
      </c>
      <c r="N118" s="3397"/>
    </row>
    <row r="119" spans="1:14">
      <c r="A119" s="3409" t="s">
        <v>3324</v>
      </c>
      <c r="B119" s="3387">
        <f>ROUND(0.993-0.0112*B116,4)</f>
        <v>0.99299999999999999</v>
      </c>
      <c r="C119" s="3387">
        <f>B119</f>
        <v>0.99299999999999999</v>
      </c>
      <c r="D119" s="3387">
        <f>ROUND(0.9415-0.0142*B116,4)</f>
        <v>0.9415</v>
      </c>
      <c r="E119" s="3387">
        <f t="shared" ref="E119:H120" si="37">D119</f>
        <v>0.9415</v>
      </c>
      <c r="F119" s="3387">
        <f t="shared" si="37"/>
        <v>0.9415</v>
      </c>
      <c r="G119" s="3387">
        <f t="shared" si="37"/>
        <v>0.9415</v>
      </c>
      <c r="H119" s="3387">
        <f t="shared" si="37"/>
        <v>0.9415</v>
      </c>
      <c r="I119" s="3387">
        <f>ROUND(0.838-0.0182*B116,4)</f>
        <v>0.83799999999999997</v>
      </c>
      <c r="J119" s="3387">
        <f t="shared" si="36"/>
        <v>0.83799999999999997</v>
      </c>
      <c r="K119" s="3387">
        <f t="shared" si="36"/>
        <v>0.83799999999999997</v>
      </c>
      <c r="L119" s="3387">
        <f t="shared" si="36"/>
        <v>0.83799999999999997</v>
      </c>
      <c r="M119" s="3410">
        <f t="shared" si="36"/>
        <v>0.83799999999999997</v>
      </c>
      <c r="N119" s="3397"/>
    </row>
    <row r="120" spans="1:14">
      <c r="A120" s="3409" t="s">
        <v>3325</v>
      </c>
      <c r="B120" s="3387">
        <f>ROUND(0.9448-0.0115*B116,4)</f>
        <v>0.94479999999999997</v>
      </c>
      <c r="C120" s="3387">
        <f>B120</f>
        <v>0.94479999999999997</v>
      </c>
      <c r="D120" s="3387">
        <f>ROUND(0.937-0.0145*B116,4)</f>
        <v>0.93700000000000006</v>
      </c>
      <c r="E120" s="3387">
        <f t="shared" si="37"/>
        <v>0.93700000000000006</v>
      </c>
      <c r="F120" s="3387">
        <f t="shared" si="37"/>
        <v>0.93700000000000006</v>
      </c>
      <c r="G120" s="3387">
        <f t="shared" si="37"/>
        <v>0.93700000000000006</v>
      </c>
      <c r="H120" s="3387">
        <f t="shared" si="37"/>
        <v>0.93700000000000006</v>
      </c>
      <c r="I120" s="3387">
        <f>ROUND(0.7965-0.0185*B116,4)</f>
        <v>0.79649999999999999</v>
      </c>
      <c r="J120" s="3387">
        <f t="shared" si="36"/>
        <v>0.79649999999999999</v>
      </c>
      <c r="K120" s="3387">
        <f t="shared" si="36"/>
        <v>0.79649999999999999</v>
      </c>
      <c r="L120" s="3387">
        <f t="shared" si="36"/>
        <v>0.79649999999999999</v>
      </c>
      <c r="M120" s="3410">
        <f t="shared" si="36"/>
        <v>0.79649999999999999</v>
      </c>
      <c r="N120" s="3397"/>
    </row>
    <row r="121" spans="1:14" ht="13.5" thickBot="1">
      <c r="A121" s="3411" t="s">
        <v>3326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6"/>
        <v>0.59050000000000002</v>
      </c>
      <c r="K121" s="3412">
        <f t="shared" si="36"/>
        <v>0.59050000000000002</v>
      </c>
      <c r="L121" s="3412">
        <f t="shared" si="36"/>
        <v>0.59050000000000002</v>
      </c>
      <c r="M121" s="3413">
        <f t="shared" si="36"/>
        <v>0.59050000000000002</v>
      </c>
      <c r="N121" s="3397"/>
    </row>
    <row r="122" spans="1:14">
      <c r="A122" s="3414" t="s">
        <v>2606</v>
      </c>
      <c r="B122" s="3387">
        <f>ROUND(0.9404-0.0106*B116,4)</f>
        <v>0.94040000000000001</v>
      </c>
      <c r="C122" s="3387">
        <f>B122</f>
        <v>0.94040000000000001</v>
      </c>
      <c r="D122" s="3387">
        <f>ROUND(0.8955-0.0135*B116,4)</f>
        <v>0.89549999999999996</v>
      </c>
      <c r="E122" s="3387">
        <f t="shared" ref="E122:H122" si="38">D122</f>
        <v>0.89549999999999996</v>
      </c>
      <c r="F122" s="3387">
        <f t="shared" si="38"/>
        <v>0.89549999999999996</v>
      </c>
      <c r="G122" s="3387">
        <f t="shared" si="38"/>
        <v>0.89549999999999996</v>
      </c>
      <c r="H122" s="3387">
        <f t="shared" si="38"/>
        <v>0.89549999999999996</v>
      </c>
      <c r="I122" s="3387">
        <f>ROUND(0.7632-0.0166*B116,4)</f>
        <v>0.76319999999999999</v>
      </c>
      <c r="J122" s="3387">
        <f t="shared" si="36"/>
        <v>0.76319999999999999</v>
      </c>
      <c r="K122" s="3387">
        <f t="shared" si="36"/>
        <v>0.76319999999999999</v>
      </c>
      <c r="L122" s="3387">
        <f t="shared" si="36"/>
        <v>0.76319999999999999</v>
      </c>
      <c r="M122" s="3410">
        <f t="shared" si="36"/>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444</v>
      </c>
      <c r="C2" s="2144" t="s">
        <v>2074</v>
      </c>
      <c r="D2" s="2144" t="s">
        <v>2075</v>
      </c>
      <c r="E2" s="2611">
        <f ca="1">SUMIF(E6:E13,"&lt;&gt;#ref!",E6:E13)</f>
        <v>71.650000000000006</v>
      </c>
      <c r="F2" s="2792"/>
      <c r="G2" s="2792"/>
      <c r="H2" s="2792"/>
      <c r="I2" s="2792"/>
      <c r="J2" s="2792"/>
      <c r="K2" s="2792"/>
      <c r="L2" s="2792"/>
      <c r="M2" s="2792"/>
      <c r="N2" s="2792"/>
      <c r="O2" s="2792"/>
      <c r="P2" s="2792"/>
    </row>
    <row r="3" spans="1:16" ht="15.75">
      <c r="A3" s="2144" t="s">
        <v>2076</v>
      </c>
      <c r="B3" s="2601">
        <f ca="1">ROUND(B2*10000/E2,0)</f>
        <v>61968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444</v>
      </c>
      <c r="C6" s="2144" t="s">
        <v>2074</v>
      </c>
      <c r="D6" s="2792"/>
      <c r="E6" s="2611">
        <f ca="1">SUMIF(INDIRECT("'"&amp;A6&amp;"'"&amp;"!C:C"),"建筑面积",INDIRECT("'"&amp;A6&amp;"'"&amp;"!D:D"))</f>
        <v>71.650000000000006</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5" t="s">
        <v>2601</v>
      </c>
      <c r="B20" s="3778" t="s">
        <v>2622</v>
      </c>
      <c r="C20" s="3102" t="s">
        <v>2433</v>
      </c>
      <c r="D20" s="3103"/>
      <c r="E20" s="3104">
        <v>1</v>
      </c>
      <c r="F20" s="3105" t="s">
        <v>2434</v>
      </c>
      <c r="G20" s="3105"/>
    </row>
    <row r="21" spans="1:13" ht="19.5" customHeight="1">
      <c r="A21" s="3786"/>
      <c r="B21" s="3779"/>
      <c r="C21" s="3106" t="s">
        <v>2435</v>
      </c>
      <c r="D21" s="3107"/>
      <c r="E21" s="3108">
        <v>1</v>
      </c>
      <c r="F21" s="3105" t="s">
        <v>2436</v>
      </c>
      <c r="G21" s="3105"/>
    </row>
    <row r="22" spans="1:13" ht="19.5" customHeight="1">
      <c r="A22" s="3786"/>
      <c r="B22" s="3779"/>
      <c r="C22" s="3106" t="s">
        <v>2437</v>
      </c>
      <c r="D22" s="3107"/>
      <c r="E22" s="3108">
        <v>0.9</v>
      </c>
      <c r="F22" s="3105" t="s">
        <v>2438</v>
      </c>
      <c r="G22" s="3105"/>
    </row>
    <row r="23" spans="1:13" ht="19.5" customHeight="1">
      <c r="A23" s="3786"/>
      <c r="B23" s="3779"/>
      <c r="C23" s="3106" t="s">
        <v>2439</v>
      </c>
      <c r="D23" s="3107"/>
      <c r="E23" s="3108">
        <v>0.9</v>
      </c>
      <c r="F23" s="3105" t="s">
        <v>2440</v>
      </c>
      <c r="G23" s="3105"/>
    </row>
    <row r="24" spans="1:13" ht="19.5" customHeight="1">
      <c r="A24" s="3786"/>
      <c r="B24" s="3779"/>
      <c r="C24" s="3106" t="s">
        <v>2441</v>
      </c>
      <c r="D24" s="3107"/>
      <c r="E24" s="3108">
        <v>0.8</v>
      </c>
      <c r="F24" s="3105" t="s">
        <v>2442</v>
      </c>
      <c r="G24" s="3105"/>
    </row>
    <row r="25" spans="1:13" ht="19.5" customHeight="1" thickBot="1">
      <c r="A25" s="3787"/>
      <c r="B25" s="3780"/>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81" t="s">
        <v>2625</v>
      </c>
      <c r="B27" s="3778" t="s">
        <v>2606</v>
      </c>
      <c r="C27" s="3102" t="s">
        <v>2446</v>
      </c>
      <c r="D27" s="3103"/>
      <c r="E27" s="3104">
        <v>1</v>
      </c>
      <c r="F27" s="3105" t="s">
        <v>2447</v>
      </c>
      <c r="G27" s="3105"/>
    </row>
    <row r="28" spans="1:13" ht="19.5" customHeight="1">
      <c r="A28" s="3782"/>
      <c r="B28" s="3779"/>
      <c r="C28" s="3106" t="s">
        <v>2448</v>
      </c>
      <c r="D28" s="3107"/>
      <c r="E28" s="3108">
        <v>1</v>
      </c>
      <c r="F28" s="3105" t="s">
        <v>2449</v>
      </c>
      <c r="G28" s="3105"/>
    </row>
    <row r="29" spans="1:13" ht="19.5" customHeight="1">
      <c r="A29" s="3782"/>
      <c r="B29" s="3779"/>
      <c r="C29" s="3106" t="s">
        <v>2450</v>
      </c>
      <c r="D29" s="3107"/>
      <c r="E29" s="3108">
        <v>0.8</v>
      </c>
      <c r="F29" s="3105" t="s">
        <v>2451</v>
      </c>
      <c r="G29" s="3105"/>
    </row>
    <row r="30" spans="1:13" ht="19.5" customHeight="1">
      <c r="A30" s="3782"/>
      <c r="B30" s="3779"/>
      <c r="C30" s="3106" t="s">
        <v>2452</v>
      </c>
      <c r="D30" s="3107"/>
      <c r="E30" s="3108">
        <v>0.8</v>
      </c>
      <c r="F30" s="3105" t="s">
        <v>2453</v>
      </c>
      <c r="G30" s="3105"/>
    </row>
    <row r="31" spans="1:13" ht="19.5" customHeight="1">
      <c r="A31" s="3782"/>
      <c r="B31" s="3779"/>
      <c r="C31" s="3106" t="s">
        <v>2454</v>
      </c>
      <c r="D31" s="3107"/>
      <c r="E31" s="3108">
        <v>0.8</v>
      </c>
      <c r="F31" s="3105" t="s">
        <v>2455</v>
      </c>
      <c r="G31" s="3105"/>
    </row>
    <row r="32" spans="1:13" ht="19.5" customHeight="1">
      <c r="A32" s="3782"/>
      <c r="B32" s="3779"/>
      <c r="C32" s="3106" t="s">
        <v>2456</v>
      </c>
      <c r="D32" s="3107"/>
      <c r="E32" s="3108">
        <v>0.7</v>
      </c>
      <c r="F32" s="3105" t="s">
        <v>2457</v>
      </c>
      <c r="G32" s="3105"/>
    </row>
    <row r="33" spans="1:7" ht="19.5" customHeight="1">
      <c r="A33" s="3782"/>
      <c r="B33" s="3779"/>
      <c r="C33" s="3106" t="s">
        <v>2458</v>
      </c>
      <c r="D33" s="3107"/>
      <c r="E33" s="3108">
        <v>0.8</v>
      </c>
      <c r="F33" s="3105" t="s">
        <v>2459</v>
      </c>
      <c r="G33" s="3105"/>
    </row>
    <row r="34" spans="1:7" ht="19.5" customHeight="1">
      <c r="A34" s="3782"/>
      <c r="B34" s="3779"/>
      <c r="C34" s="3106" t="s">
        <v>2460</v>
      </c>
      <c r="D34" s="3107"/>
      <c r="E34" s="3108">
        <v>0.6</v>
      </c>
      <c r="F34" s="3105" t="s">
        <v>2461</v>
      </c>
      <c r="G34" s="3105"/>
    </row>
    <row r="35" spans="1:7" ht="19.5" customHeight="1">
      <c r="A35" s="3782"/>
      <c r="B35" s="3779"/>
      <c r="C35" s="3106" t="s">
        <v>2462</v>
      </c>
      <c r="D35" s="3107"/>
      <c r="E35" s="3108">
        <v>0.2</v>
      </c>
      <c r="F35" s="3105" t="s">
        <v>2463</v>
      </c>
      <c r="G35" s="3105"/>
    </row>
    <row r="36" spans="1:7" ht="19.5" customHeight="1">
      <c r="A36" s="3782"/>
      <c r="B36" s="3779"/>
      <c r="C36" s="3106" t="s">
        <v>2464</v>
      </c>
      <c r="D36" s="3107"/>
      <c r="E36" s="3108">
        <v>0.2</v>
      </c>
      <c r="F36" s="3105" t="s">
        <v>2465</v>
      </c>
      <c r="G36" s="3105"/>
    </row>
    <row r="37" spans="1:7" ht="19.5" customHeight="1">
      <c r="A37" s="3782"/>
      <c r="B37" s="3784" t="s">
        <v>2626</v>
      </c>
      <c r="C37" s="3106" t="s">
        <v>2466</v>
      </c>
      <c r="D37" s="3107"/>
      <c r="E37" s="3108">
        <v>0.6</v>
      </c>
      <c r="F37" s="3105" t="s">
        <v>2467</v>
      </c>
      <c r="G37" s="3105"/>
    </row>
    <row r="38" spans="1:7" ht="19.5" customHeight="1">
      <c r="A38" s="3782"/>
      <c r="B38" s="3779"/>
      <c r="C38" s="3106" t="s">
        <v>2468</v>
      </c>
      <c r="D38" s="3107"/>
      <c r="E38" s="3108">
        <v>0.6</v>
      </c>
      <c r="F38" s="3105" t="s">
        <v>2469</v>
      </c>
      <c r="G38" s="3105"/>
    </row>
    <row r="39" spans="1:7" ht="19.5" customHeight="1" thickBot="1">
      <c r="A39" s="3783"/>
      <c r="B39" s="3780"/>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5" t="s">
        <v>2604</v>
      </c>
      <c r="B41" s="3778" t="s">
        <v>2628</v>
      </c>
      <c r="C41" s="3102" t="s">
        <v>2473</v>
      </c>
      <c r="D41" s="3103"/>
      <c r="E41" s="3104">
        <v>1</v>
      </c>
      <c r="F41" s="3105" t="s">
        <v>2474</v>
      </c>
      <c r="G41" s="3105"/>
    </row>
    <row r="42" spans="1:7" ht="19.5" customHeight="1">
      <c r="A42" s="3786"/>
      <c r="B42" s="3779"/>
      <c r="C42" s="3106" t="s">
        <v>2475</v>
      </c>
      <c r="D42" s="3107"/>
      <c r="E42" s="3108">
        <v>1</v>
      </c>
      <c r="F42" s="3105" t="s">
        <v>2476</v>
      </c>
      <c r="G42" s="3105"/>
    </row>
    <row r="43" spans="1:7" ht="19.5" customHeight="1">
      <c r="A43" s="3786"/>
      <c r="B43" s="3788"/>
      <c r="C43" s="3106" t="s">
        <v>2477</v>
      </c>
      <c r="D43" s="3107"/>
      <c r="E43" s="3108">
        <v>1.5</v>
      </c>
      <c r="F43" s="3105" t="s">
        <v>2478</v>
      </c>
      <c r="G43" s="3105"/>
    </row>
    <row r="44" spans="1:7" ht="19.5" customHeight="1">
      <c r="A44" s="3786"/>
      <c r="B44" s="3117" t="s">
        <v>2629</v>
      </c>
      <c r="C44" s="3106" t="s">
        <v>2630</v>
      </c>
      <c r="D44" s="3107"/>
      <c r="E44" s="3108">
        <v>2</v>
      </c>
      <c r="F44" s="3105" t="s">
        <v>2479</v>
      </c>
      <c r="G44" s="3105"/>
    </row>
    <row r="45" spans="1:7" ht="19.5" customHeight="1">
      <c r="A45" s="3786"/>
      <c r="B45" s="3784" t="s">
        <v>2631</v>
      </c>
      <c r="C45" s="3106" t="s">
        <v>2480</v>
      </c>
      <c r="D45" s="3107"/>
      <c r="E45" s="3108">
        <v>1</v>
      </c>
      <c r="F45" s="3105" t="s">
        <v>2481</v>
      </c>
      <c r="G45" s="3105"/>
    </row>
    <row r="46" spans="1:7" ht="19.5" customHeight="1">
      <c r="A46" s="3786"/>
      <c r="B46" s="3779"/>
      <c r="C46" s="3106" t="s">
        <v>2482</v>
      </c>
      <c r="D46" s="3107"/>
      <c r="E46" s="3108">
        <v>1</v>
      </c>
      <c r="F46" s="3105" t="s">
        <v>2483</v>
      </c>
      <c r="G46" s="3105"/>
    </row>
    <row r="47" spans="1:7" ht="19.5" customHeight="1">
      <c r="A47" s="3786"/>
      <c r="B47" s="3779"/>
      <c r="C47" s="3106" t="s">
        <v>2484</v>
      </c>
      <c r="D47" s="3107"/>
      <c r="E47" s="3108">
        <v>1</v>
      </c>
      <c r="F47" s="3105" t="s">
        <v>2485</v>
      </c>
      <c r="G47" s="3105"/>
    </row>
    <row r="48" spans="1:7" ht="19.5" customHeight="1">
      <c r="A48" s="3786"/>
      <c r="B48" s="3779"/>
      <c r="C48" s="3106" t="s">
        <v>2486</v>
      </c>
      <c r="D48" s="3107"/>
      <c r="E48" s="3108">
        <v>1</v>
      </c>
      <c r="F48" s="3105" t="s">
        <v>2487</v>
      </c>
      <c r="G48" s="3105"/>
    </row>
    <row r="49" spans="1:7" ht="19.5" customHeight="1">
      <c r="A49" s="3786"/>
      <c r="B49" s="3779"/>
      <c r="C49" s="3106" t="s">
        <v>2488</v>
      </c>
      <c r="D49" s="3107"/>
      <c r="E49" s="3108">
        <v>1</v>
      </c>
      <c r="F49" s="3105" t="s">
        <v>2489</v>
      </c>
      <c r="G49" s="3105"/>
    </row>
    <row r="50" spans="1:7" ht="19.5" customHeight="1">
      <c r="A50" s="3786"/>
      <c r="B50" s="3779"/>
      <c r="C50" s="3106" t="s">
        <v>2490</v>
      </c>
      <c r="D50" s="3107"/>
      <c r="E50" s="3108">
        <v>1</v>
      </c>
      <c r="F50" s="3105" t="s">
        <v>2491</v>
      </c>
      <c r="G50" s="3105"/>
    </row>
    <row r="51" spans="1:7" ht="19.5" customHeight="1" thickBot="1">
      <c r="A51" s="3787"/>
      <c r="B51" s="3780"/>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84" t="s">
        <v>2645</v>
      </c>
      <c r="C73" s="3091" t="s">
        <v>2646</v>
      </c>
      <c r="D73" s="3091" t="s">
        <v>2647</v>
      </c>
      <c r="E73" s="3117">
        <v>0.2</v>
      </c>
      <c r="F73" s="3117">
        <v>25</v>
      </c>
    </row>
    <row r="74" spans="1:7" ht="24">
      <c r="A74" s="3117">
        <v>2</v>
      </c>
      <c r="B74" s="3779"/>
      <c r="C74" s="3091" t="s">
        <v>2648</v>
      </c>
      <c r="D74" s="3091" t="s">
        <v>2649</v>
      </c>
      <c r="E74" s="3117">
        <v>0.2</v>
      </c>
      <c r="F74" s="3117">
        <v>25</v>
      </c>
    </row>
    <row r="75" spans="1:7" ht="24">
      <c r="A75" s="3117">
        <v>3</v>
      </c>
      <c r="B75" s="3779"/>
      <c r="C75" s="3091" t="s">
        <v>2650</v>
      </c>
      <c r="D75" s="3091" t="s">
        <v>2651</v>
      </c>
      <c r="E75" s="3117">
        <v>0.2</v>
      </c>
      <c r="F75" s="3117">
        <v>25</v>
      </c>
    </row>
    <row r="76" spans="1:7" ht="13.5">
      <c r="A76" s="3117">
        <v>4</v>
      </c>
      <c r="B76" s="3779"/>
      <c r="C76" s="3091" t="s">
        <v>2652</v>
      </c>
      <c r="D76" s="3091" t="s">
        <v>2653</v>
      </c>
      <c r="E76" s="3117">
        <v>0.15</v>
      </c>
      <c r="F76" s="3117">
        <v>20</v>
      </c>
    </row>
    <row r="77" spans="1:7" ht="24">
      <c r="A77" s="3117">
        <v>5</v>
      </c>
      <c r="B77" s="3779"/>
      <c r="C77" s="3091" t="s">
        <v>2654</v>
      </c>
      <c r="D77" s="3091" t="s">
        <v>2655</v>
      </c>
      <c r="E77" s="3117">
        <v>0.15</v>
      </c>
      <c r="F77" s="3117">
        <v>20</v>
      </c>
    </row>
    <row r="78" spans="1:7" ht="24">
      <c r="A78" s="3117">
        <v>6</v>
      </c>
      <c r="B78" s="3779"/>
      <c r="C78" s="3091" t="s">
        <v>2656</v>
      </c>
      <c r="D78" s="3091" t="s">
        <v>2657</v>
      </c>
      <c r="E78" s="3117">
        <v>0.15</v>
      </c>
      <c r="F78" s="3117">
        <v>20</v>
      </c>
    </row>
    <row r="79" spans="1:7" ht="24">
      <c r="A79" s="3117">
        <v>7</v>
      </c>
      <c r="B79" s="3779"/>
      <c r="C79" s="3091" t="s">
        <v>2658</v>
      </c>
      <c r="D79" s="3091" t="s">
        <v>2659</v>
      </c>
      <c r="E79" s="3117">
        <v>0.15</v>
      </c>
      <c r="F79" s="3117">
        <v>20</v>
      </c>
    </row>
    <row r="80" spans="1:7" ht="24">
      <c r="A80" s="3117">
        <v>8</v>
      </c>
      <c r="B80" s="3779"/>
      <c r="C80" s="3091" t="s">
        <v>2660</v>
      </c>
      <c r="D80" s="3091" t="s">
        <v>2661</v>
      </c>
      <c r="E80" s="3117">
        <v>0.1</v>
      </c>
      <c r="F80" s="3117">
        <v>15</v>
      </c>
    </row>
    <row r="81" spans="1:6" ht="24">
      <c r="A81" s="3117">
        <v>9</v>
      </c>
      <c r="B81" s="3779"/>
      <c r="C81" s="3091" t="s">
        <v>2662</v>
      </c>
      <c r="D81" s="3091" t="s">
        <v>2663</v>
      </c>
      <c r="E81" s="3117">
        <v>0.1</v>
      </c>
      <c r="F81" s="3117">
        <v>15</v>
      </c>
    </row>
    <row r="82" spans="1:6" ht="24">
      <c r="A82" s="3117">
        <v>10</v>
      </c>
      <c r="B82" s="3779"/>
      <c r="C82" s="3091" t="s">
        <v>2664</v>
      </c>
      <c r="D82" s="3091" t="s">
        <v>2665</v>
      </c>
      <c r="E82" s="3117">
        <v>0.1</v>
      </c>
      <c r="F82" s="3117">
        <v>15</v>
      </c>
    </row>
    <row r="83" spans="1:6" ht="24">
      <c r="A83" s="3117">
        <v>11</v>
      </c>
      <c r="B83" s="3779"/>
      <c r="C83" s="3091" t="s">
        <v>2666</v>
      </c>
      <c r="D83" s="3091" t="s">
        <v>2667</v>
      </c>
      <c r="E83" s="3117">
        <v>0.1</v>
      </c>
      <c r="F83" s="3117">
        <v>15</v>
      </c>
    </row>
    <row r="84" spans="1:6" ht="24">
      <c r="A84" s="3117">
        <v>12</v>
      </c>
      <c r="B84" s="3779"/>
      <c r="C84" s="3091" t="s">
        <v>2668</v>
      </c>
      <c r="D84" s="3091" t="s">
        <v>2669</v>
      </c>
      <c r="E84" s="3117">
        <v>0.1</v>
      </c>
      <c r="F84" s="3117">
        <v>15</v>
      </c>
    </row>
    <row r="85" spans="1:6" ht="13.5">
      <c r="A85" s="3117">
        <v>13</v>
      </c>
      <c r="B85" s="3779"/>
      <c r="C85" s="3091" t="s">
        <v>2670</v>
      </c>
      <c r="D85" s="3091" t="s">
        <v>2671</v>
      </c>
      <c r="E85" s="3117">
        <v>0.1</v>
      </c>
      <c r="F85" s="3117">
        <v>15</v>
      </c>
    </row>
    <row r="86" spans="1:6" ht="13.5">
      <c r="A86" s="3117">
        <v>14</v>
      </c>
      <c r="B86" s="3779"/>
      <c r="C86" s="3091" t="s">
        <v>2672</v>
      </c>
      <c r="D86" s="3091" t="s">
        <v>2673</v>
      </c>
      <c r="E86" s="3117">
        <v>0.1</v>
      </c>
      <c r="F86" s="3117">
        <v>15</v>
      </c>
    </row>
    <row r="87" spans="1:6" ht="13.5">
      <c r="A87" s="3117">
        <v>15</v>
      </c>
      <c r="B87" s="3779"/>
      <c r="C87" s="3091" t="s">
        <v>2674</v>
      </c>
      <c r="D87" s="3091" t="s">
        <v>2675</v>
      </c>
      <c r="E87" s="3117">
        <v>0.1</v>
      </c>
      <c r="F87" s="3117">
        <v>15</v>
      </c>
    </row>
    <row r="88" spans="1:6" ht="24">
      <c r="A88" s="3117">
        <v>16</v>
      </c>
      <c r="B88" s="3779"/>
      <c r="C88" s="3091" t="s">
        <v>2676</v>
      </c>
      <c r="D88" s="3091" t="s">
        <v>2677</v>
      </c>
      <c r="E88" s="3117">
        <v>0.1</v>
      </c>
      <c r="F88" s="3117">
        <v>15</v>
      </c>
    </row>
    <row r="89" spans="1:6" ht="24">
      <c r="A89" s="3117">
        <v>17</v>
      </c>
      <c r="B89" s="3788"/>
      <c r="C89" s="3091" t="s">
        <v>2678</v>
      </c>
      <c r="D89" s="3091" t="s">
        <v>2679</v>
      </c>
      <c r="E89" s="3117">
        <v>0.1</v>
      </c>
      <c r="F89" s="3117">
        <v>15</v>
      </c>
    </row>
    <row r="90" spans="1:6" ht="13.5">
      <c r="A90" s="3117">
        <v>18</v>
      </c>
      <c r="B90" s="3784" t="s">
        <v>2680</v>
      </c>
      <c r="C90" s="3091" t="s">
        <v>2681</v>
      </c>
      <c r="D90" s="3091" t="s">
        <v>2682</v>
      </c>
      <c r="E90" s="3117">
        <v>0.2</v>
      </c>
      <c r="F90" s="3117">
        <v>25</v>
      </c>
    </row>
    <row r="91" spans="1:6" ht="24">
      <c r="A91" s="3117">
        <v>19</v>
      </c>
      <c r="B91" s="3779"/>
      <c r="C91" s="3091" t="s">
        <v>2683</v>
      </c>
      <c r="D91" s="3091" t="s">
        <v>2684</v>
      </c>
      <c r="E91" s="3117">
        <v>0.2</v>
      </c>
      <c r="F91" s="3117">
        <v>25</v>
      </c>
    </row>
    <row r="92" spans="1:6" ht="13.5">
      <c r="A92" s="3117">
        <v>20</v>
      </c>
      <c r="B92" s="3779"/>
      <c r="C92" s="3091" t="s">
        <v>2685</v>
      </c>
      <c r="D92" s="3091" t="s">
        <v>2686</v>
      </c>
      <c r="E92" s="3117">
        <v>0.15</v>
      </c>
      <c r="F92" s="3117">
        <v>20</v>
      </c>
    </row>
    <row r="93" spans="1:6" ht="13.5">
      <c r="A93" s="3117">
        <v>21</v>
      </c>
      <c r="B93" s="3779"/>
      <c r="C93" s="3091" t="s">
        <v>2687</v>
      </c>
      <c r="D93" s="3091" t="s">
        <v>2688</v>
      </c>
      <c r="E93" s="3117">
        <v>0.15</v>
      </c>
      <c r="F93" s="3117">
        <v>20</v>
      </c>
    </row>
    <row r="94" spans="1:6" ht="13.5">
      <c r="A94" s="3117">
        <v>22</v>
      </c>
      <c r="B94" s="3779"/>
      <c r="C94" s="3091" t="s">
        <v>2689</v>
      </c>
      <c r="D94" s="3091" t="s">
        <v>2690</v>
      </c>
      <c r="E94" s="3117">
        <v>0.15</v>
      </c>
      <c r="F94" s="3117">
        <v>20</v>
      </c>
    </row>
    <row r="95" spans="1:6" ht="36">
      <c r="A95" s="3117">
        <v>23</v>
      </c>
      <c r="B95" s="3779"/>
      <c r="C95" s="3091" t="s">
        <v>2691</v>
      </c>
      <c r="D95" s="3091" t="s">
        <v>2692</v>
      </c>
      <c r="E95" s="3117">
        <v>0.15</v>
      </c>
      <c r="F95" s="3117">
        <v>20</v>
      </c>
    </row>
    <row r="96" spans="1:6" ht="13.5">
      <c r="A96" s="3117">
        <v>24</v>
      </c>
      <c r="B96" s="3779"/>
      <c r="C96" s="3091" t="s">
        <v>2693</v>
      </c>
      <c r="D96" s="3091" t="s">
        <v>2694</v>
      </c>
      <c r="E96" s="3117">
        <v>0.1</v>
      </c>
      <c r="F96" s="3117">
        <v>15</v>
      </c>
    </row>
    <row r="97" spans="1:6" ht="13.5">
      <c r="A97" s="3117">
        <v>25</v>
      </c>
      <c r="B97" s="3779"/>
      <c r="C97" s="3091" t="s">
        <v>2695</v>
      </c>
      <c r="D97" s="3091" t="s">
        <v>2696</v>
      </c>
      <c r="E97" s="3117">
        <v>0.1</v>
      </c>
      <c r="F97" s="3117">
        <v>15</v>
      </c>
    </row>
    <row r="98" spans="1:6" ht="24">
      <c r="A98" s="3117">
        <v>26</v>
      </c>
      <c r="B98" s="3779"/>
      <c r="C98" s="3091" t="s">
        <v>2697</v>
      </c>
      <c r="D98" s="3091" t="s">
        <v>2698</v>
      </c>
      <c r="E98" s="3117">
        <v>0.1</v>
      </c>
      <c r="F98" s="3117">
        <v>15</v>
      </c>
    </row>
    <row r="99" spans="1:6" ht="24">
      <c r="A99" s="3117">
        <v>27</v>
      </c>
      <c r="B99" s="3779"/>
      <c r="C99" s="3091" t="s">
        <v>2699</v>
      </c>
      <c r="D99" s="3091" t="s">
        <v>2700</v>
      </c>
      <c r="E99" s="3117">
        <v>0.1</v>
      </c>
      <c r="F99" s="3117">
        <v>15</v>
      </c>
    </row>
    <row r="100" spans="1:6" ht="13.5">
      <c r="A100" s="3117">
        <v>28</v>
      </c>
      <c r="B100" s="3779"/>
      <c r="C100" s="3091" t="s">
        <v>2701</v>
      </c>
      <c r="D100" s="3091" t="s">
        <v>2702</v>
      </c>
      <c r="E100" s="3117">
        <v>0.1</v>
      </c>
      <c r="F100" s="3117">
        <v>15</v>
      </c>
    </row>
    <row r="101" spans="1:6" ht="13.5">
      <c r="A101" s="3117">
        <v>29</v>
      </c>
      <c r="B101" s="3779"/>
      <c r="C101" s="3091" t="s">
        <v>2703</v>
      </c>
      <c r="D101" s="3091" t="s">
        <v>2704</v>
      </c>
      <c r="E101" s="3117">
        <v>0.1</v>
      </c>
      <c r="F101" s="3117">
        <v>15</v>
      </c>
    </row>
    <row r="102" spans="1:6" ht="13.5">
      <c r="A102" s="3117">
        <v>30</v>
      </c>
      <c r="B102" s="3779"/>
      <c r="C102" s="3091" t="s">
        <v>2705</v>
      </c>
      <c r="D102" s="3091" t="s">
        <v>2706</v>
      </c>
      <c r="E102" s="3117">
        <v>0.1</v>
      </c>
      <c r="F102" s="3117">
        <v>15</v>
      </c>
    </row>
    <row r="103" spans="1:6" ht="24">
      <c r="A103" s="3117">
        <v>31</v>
      </c>
      <c r="B103" s="3779"/>
      <c r="C103" s="3091" t="s">
        <v>2707</v>
      </c>
      <c r="D103" s="3091" t="s">
        <v>2708</v>
      </c>
      <c r="E103" s="3117">
        <v>0.1</v>
      </c>
      <c r="F103" s="3117">
        <v>15</v>
      </c>
    </row>
    <row r="104" spans="1:6" ht="24">
      <c r="A104" s="3117">
        <v>32</v>
      </c>
      <c r="B104" s="3779"/>
      <c r="C104" s="3091" t="s">
        <v>2709</v>
      </c>
      <c r="D104" s="3091" t="s">
        <v>2710</v>
      </c>
      <c r="E104" s="3117">
        <v>0.1</v>
      </c>
      <c r="F104" s="3117">
        <v>15</v>
      </c>
    </row>
    <row r="105" spans="1:6" ht="24">
      <c r="A105" s="3117">
        <v>33</v>
      </c>
      <c r="B105" s="3779"/>
      <c r="C105" s="3091" t="s">
        <v>2711</v>
      </c>
      <c r="D105" s="3091" t="s">
        <v>2712</v>
      </c>
      <c r="E105" s="3117">
        <v>0.1</v>
      </c>
      <c r="F105" s="3117">
        <v>15</v>
      </c>
    </row>
    <row r="106" spans="1:6" ht="24">
      <c r="A106" s="3117">
        <v>34</v>
      </c>
      <c r="B106" s="3788"/>
      <c r="C106" s="3091" t="s">
        <v>2713</v>
      </c>
      <c r="D106" s="3091" t="s">
        <v>2714</v>
      </c>
      <c r="E106" s="3117">
        <v>0.1</v>
      </c>
      <c r="F106" s="3117">
        <v>15</v>
      </c>
    </row>
    <row r="107" spans="1:6" ht="24">
      <c r="A107" s="3117">
        <v>35</v>
      </c>
      <c r="B107" s="3784" t="s">
        <v>2715</v>
      </c>
      <c r="C107" s="3117" t="s">
        <v>2716</v>
      </c>
      <c r="D107" s="3091" t="s">
        <v>2717</v>
      </c>
      <c r="E107" s="3117">
        <v>0.15</v>
      </c>
      <c r="F107" s="3117">
        <v>20</v>
      </c>
    </row>
    <row r="108" spans="1:6" ht="13.5">
      <c r="A108" s="3117">
        <v>36</v>
      </c>
      <c r="B108" s="3779"/>
      <c r="C108" s="3117" t="s">
        <v>2718</v>
      </c>
      <c r="D108" s="3091" t="s">
        <v>2719</v>
      </c>
      <c r="E108" s="3117">
        <v>0.15</v>
      </c>
      <c r="F108" s="3117">
        <v>20</v>
      </c>
    </row>
    <row r="109" spans="1:6" ht="13.5">
      <c r="A109" s="3117">
        <v>37</v>
      </c>
      <c r="B109" s="3779"/>
      <c r="C109" s="3117" t="s">
        <v>2720</v>
      </c>
      <c r="D109" s="3091" t="s">
        <v>2721</v>
      </c>
      <c r="E109" s="3117">
        <v>0.15</v>
      </c>
      <c r="F109" s="3117">
        <v>20</v>
      </c>
    </row>
    <row r="110" spans="1:6" ht="13.5">
      <c r="A110" s="3117">
        <v>38</v>
      </c>
      <c r="B110" s="3779"/>
      <c r="C110" s="3117" t="s">
        <v>2722</v>
      </c>
      <c r="D110" s="3091" t="s">
        <v>2723</v>
      </c>
      <c r="E110" s="3117">
        <v>0.1</v>
      </c>
      <c r="F110" s="3117">
        <v>15</v>
      </c>
    </row>
    <row r="111" spans="1:6" ht="24">
      <c r="A111" s="3117">
        <v>39</v>
      </c>
      <c r="B111" s="3779"/>
      <c r="C111" s="3117" t="s">
        <v>2724</v>
      </c>
      <c r="D111" s="3091" t="s">
        <v>2725</v>
      </c>
      <c r="E111" s="3117">
        <v>0.1</v>
      </c>
      <c r="F111" s="3117">
        <v>15</v>
      </c>
    </row>
    <row r="112" spans="1:6" ht="24">
      <c r="A112" s="3117">
        <v>40</v>
      </c>
      <c r="B112" s="3788"/>
      <c r="C112" s="3117" t="s">
        <v>2726</v>
      </c>
      <c r="D112" s="3091" t="s">
        <v>2727</v>
      </c>
      <c r="E112" s="3117">
        <v>0.1</v>
      </c>
      <c r="F112" s="3117">
        <v>15</v>
      </c>
    </row>
    <row r="113" spans="1:6" ht="13.5">
      <c r="A113" s="3117">
        <v>41</v>
      </c>
      <c r="B113" s="3789" t="s">
        <v>2728</v>
      </c>
      <c r="C113" s="3117" t="s">
        <v>2729</v>
      </c>
      <c r="D113" s="3091" t="s">
        <v>2730</v>
      </c>
      <c r="E113" s="3117">
        <v>0.1</v>
      </c>
      <c r="F113" s="3117">
        <v>15</v>
      </c>
    </row>
    <row r="114" spans="1:6" ht="13.5">
      <c r="A114" s="3117">
        <v>42</v>
      </c>
      <c r="B114" s="3789"/>
      <c r="C114" s="3117" t="s">
        <v>2731</v>
      </c>
      <c r="D114" s="3091" t="s">
        <v>2732</v>
      </c>
      <c r="E114" s="3117">
        <v>0.1</v>
      </c>
      <c r="F114" s="3117">
        <v>15</v>
      </c>
    </row>
    <row r="115" spans="1:6" ht="24">
      <c r="A115" s="3117">
        <v>43</v>
      </c>
      <c r="B115" s="3789"/>
      <c r="C115" s="3117" t="s">
        <v>2733</v>
      </c>
      <c r="D115" s="3091" t="s">
        <v>2734</v>
      </c>
      <c r="E115" s="3117">
        <v>0.1</v>
      </c>
      <c r="F115" s="3117">
        <v>15</v>
      </c>
    </row>
    <row r="116" spans="1:6" ht="13.5">
      <c r="A116" s="3117">
        <v>44</v>
      </c>
      <c r="B116" s="3784" t="s">
        <v>2735</v>
      </c>
      <c r="C116" s="3117" t="s">
        <v>2736</v>
      </c>
      <c r="D116" s="3091" t="s">
        <v>2737</v>
      </c>
      <c r="E116" s="3117">
        <v>0.1</v>
      </c>
      <c r="F116" s="3117">
        <v>15</v>
      </c>
    </row>
    <row r="117" spans="1:6" ht="24">
      <c r="A117" s="3117">
        <v>45</v>
      </c>
      <c r="B117" s="3788"/>
      <c r="C117" s="3091" t="s">
        <v>2738</v>
      </c>
      <c r="D117" s="3091" t="s">
        <v>2739</v>
      </c>
      <c r="E117" s="3117">
        <v>0.1</v>
      </c>
      <c r="F117" s="3117">
        <v>15</v>
      </c>
    </row>
    <row r="118" spans="1:6" ht="24">
      <c r="A118" s="3117">
        <v>46</v>
      </c>
      <c r="B118" s="3784" t="s">
        <v>2740</v>
      </c>
      <c r="C118" s="3117" t="s">
        <v>2741</v>
      </c>
      <c r="D118" s="3091" t="s">
        <v>2742</v>
      </c>
      <c r="E118" s="3117">
        <v>0.1</v>
      </c>
      <c r="F118" s="3117">
        <v>15</v>
      </c>
    </row>
    <row r="119" spans="1:6" ht="24">
      <c r="A119" s="3117">
        <v>47</v>
      </c>
      <c r="B119" s="3788"/>
      <c r="C119" s="3117" t="s">
        <v>2743</v>
      </c>
      <c r="D119" s="3091" t="s">
        <v>2744</v>
      </c>
      <c r="E119" s="3117">
        <v>0.1</v>
      </c>
      <c r="F119" s="3117">
        <v>15</v>
      </c>
    </row>
    <row r="120" spans="1:6" ht="13.5">
      <c r="A120" s="3117">
        <v>48</v>
      </c>
      <c r="B120" s="3784" t="s">
        <v>2745</v>
      </c>
      <c r="C120" s="3117" t="s">
        <v>2746</v>
      </c>
      <c r="D120" s="3091" t="s">
        <v>2747</v>
      </c>
      <c r="E120" s="3117">
        <v>0.1</v>
      </c>
      <c r="F120" s="3117">
        <v>15</v>
      </c>
    </row>
    <row r="121" spans="1:6" ht="13.5">
      <c r="A121" s="3117">
        <v>49</v>
      </c>
      <c r="B121" s="3788"/>
      <c r="C121" s="3117" t="s">
        <v>2748</v>
      </c>
      <c r="D121" s="3091" t="s">
        <v>2749</v>
      </c>
      <c r="E121" s="3117">
        <v>0.1</v>
      </c>
      <c r="F121" s="3117">
        <v>15</v>
      </c>
    </row>
    <row r="122" spans="1:6" ht="24">
      <c r="A122" s="3117">
        <v>50</v>
      </c>
      <c r="B122" s="3789" t="s">
        <v>2750</v>
      </c>
      <c r="C122" s="3117" t="s">
        <v>2751</v>
      </c>
      <c r="D122" s="3091" t="s">
        <v>2752</v>
      </c>
      <c r="E122" s="3117">
        <v>0.1</v>
      </c>
      <c r="F122" s="3117">
        <v>15</v>
      </c>
    </row>
    <row r="123" spans="1:6" ht="24">
      <c r="A123" s="3117">
        <v>51</v>
      </c>
      <c r="B123" s="3789"/>
      <c r="C123" s="3117" t="s">
        <v>2753</v>
      </c>
      <c r="D123" s="3091" t="s">
        <v>2754</v>
      </c>
      <c r="E123" s="3117">
        <v>0.1</v>
      </c>
      <c r="F123" s="3117">
        <v>15</v>
      </c>
    </row>
    <row r="124" spans="1:6" ht="24">
      <c r="A124" s="3117">
        <v>52</v>
      </c>
      <c r="B124" s="3789" t="s">
        <v>2755</v>
      </c>
      <c r="C124" s="3117" t="s">
        <v>2756</v>
      </c>
      <c r="D124" s="3091" t="s">
        <v>2757</v>
      </c>
      <c r="E124" s="3117">
        <v>0.1</v>
      </c>
      <c r="F124" s="3117">
        <v>15</v>
      </c>
    </row>
    <row r="125" spans="1:6" ht="24">
      <c r="A125" s="3117">
        <v>53</v>
      </c>
      <c r="B125" s="3789"/>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89" t="s">
        <v>2763</v>
      </c>
      <c r="C127" s="3117" t="s">
        <v>2764</v>
      </c>
      <c r="D127" s="3091" t="s">
        <v>2765</v>
      </c>
      <c r="E127" s="3117">
        <v>0.1</v>
      </c>
      <c r="F127" s="3117">
        <v>15</v>
      </c>
    </row>
    <row r="128" spans="1:6" ht="13.5">
      <c r="A128" s="3117">
        <v>56</v>
      </c>
      <c r="B128" s="3789"/>
      <c r="C128" s="3117" t="s">
        <v>2766</v>
      </c>
      <c r="D128" s="3091" t="s">
        <v>2767</v>
      </c>
      <c r="E128" s="3117">
        <v>0.1</v>
      </c>
      <c r="F128" s="3117">
        <v>15</v>
      </c>
    </row>
    <row r="129" spans="1:6" ht="24">
      <c r="A129" s="3117">
        <v>57</v>
      </c>
      <c r="B129" s="3789"/>
      <c r="C129" s="3117" t="s">
        <v>2768</v>
      </c>
      <c r="D129" s="3091" t="s">
        <v>2769</v>
      </c>
      <c r="E129" s="3117">
        <v>0.1</v>
      </c>
      <c r="F129" s="3117">
        <v>15</v>
      </c>
    </row>
    <row r="130" spans="1:6" ht="24">
      <c r="A130" s="3117">
        <v>58</v>
      </c>
      <c r="B130" s="3789" t="s">
        <v>2770</v>
      </c>
      <c r="C130" s="3117" t="s">
        <v>2771</v>
      </c>
      <c r="D130" s="3091" t="s">
        <v>2772</v>
      </c>
      <c r="E130" s="3117">
        <v>0.1</v>
      </c>
      <c r="F130" s="3117">
        <v>15</v>
      </c>
    </row>
    <row r="131" spans="1:6" ht="13.5">
      <c r="A131" s="3117">
        <v>59</v>
      </c>
      <c r="B131" s="3789"/>
      <c r="C131" s="3117" t="s">
        <v>2773</v>
      </c>
      <c r="D131" s="3091" t="s">
        <v>2774</v>
      </c>
      <c r="E131" s="3117">
        <v>0.1</v>
      </c>
      <c r="F131" s="3117">
        <v>15</v>
      </c>
    </row>
    <row r="132" spans="1:6" ht="13.5">
      <c r="A132" s="3117">
        <v>60</v>
      </c>
      <c r="B132" s="3784" t="s">
        <v>2775</v>
      </c>
      <c r="C132" s="3117" t="s">
        <v>2776</v>
      </c>
      <c r="D132" s="3091" t="s">
        <v>2777</v>
      </c>
      <c r="E132" s="3117">
        <v>0.1</v>
      </c>
      <c r="F132" s="3117">
        <v>15</v>
      </c>
    </row>
    <row r="133" spans="1:6" ht="13.5">
      <c r="A133" s="3117">
        <v>61</v>
      </c>
      <c r="B133" s="3788"/>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89" t="s">
        <v>2783</v>
      </c>
      <c r="C135" s="3117" t="s">
        <v>2784</v>
      </c>
      <c r="D135" s="3091" t="s">
        <v>2785</v>
      </c>
      <c r="E135" s="3117">
        <v>0.1</v>
      </c>
      <c r="F135" s="3117">
        <v>15</v>
      </c>
    </row>
    <row r="136" spans="1:6" ht="13.5">
      <c r="A136" s="3117">
        <v>64</v>
      </c>
      <c r="B136" s="3789"/>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2"/>
      <c r="B4" s="3473" t="s">
        <v>917</v>
      </c>
      <c r="C4" s="3473"/>
      <c r="D4" s="3473"/>
      <c r="E4" s="1492"/>
    </row>
    <row r="5" spans="1:5" ht="16.5" thickTop="1">
      <c r="A5" s="1490"/>
      <c r="B5" s="3471" t="s">
        <v>909</v>
      </c>
      <c r="C5" s="1493" t="s">
        <v>910</v>
      </c>
      <c r="D5" s="849">
        <f ca="1">结果表!H101</f>
        <v>558</v>
      </c>
      <c r="E5" s="1490"/>
    </row>
    <row r="6" spans="1:5" ht="15.75">
      <c r="A6" s="1490"/>
      <c r="B6" s="3471"/>
      <c r="C6" s="1493" t="s">
        <v>911</v>
      </c>
      <c r="D6" s="849" t="str">
        <f ca="1">NUMBERSTRING(INT(D5*10000),2)&amp;"元整"</f>
        <v>伍佰伍拾捌万元整</v>
      </c>
      <c r="E6" s="1490"/>
    </row>
    <row r="7" spans="1:5" ht="15.75">
      <c r="A7" s="1490"/>
      <c r="B7" s="3476"/>
      <c r="C7" s="1494" t="s">
        <v>912</v>
      </c>
      <c r="D7" s="850">
        <f ca="1">结果表!H102</f>
        <v>38448</v>
      </c>
      <c r="E7" s="1490"/>
    </row>
    <row r="8" spans="1:5" ht="15.75">
      <c r="A8" s="1490"/>
      <c r="B8" s="3477" t="str">
        <f>结果表!E103</f>
        <v>2.估价师知悉的法定优先受偿款</v>
      </c>
      <c r="C8" s="1495" t="s">
        <v>913</v>
      </c>
      <c r="D8" s="850">
        <f>结果表!H103</f>
        <v>0</v>
      </c>
      <c r="E8" s="1490"/>
    </row>
    <row r="9" spans="1:5" ht="15.75">
      <c r="A9" s="1490"/>
      <c r="B9" s="347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0" t="str">
        <f>结果表!E107</f>
        <v>3.房地产抵押价值</v>
      </c>
      <c r="C13" s="1498" t="s">
        <v>910</v>
      </c>
      <c r="D13" s="852">
        <f ca="1">结果表!H107</f>
        <v>558</v>
      </c>
      <c r="E13" s="1490"/>
    </row>
    <row r="14" spans="1:5" ht="15.75">
      <c r="A14" s="1490"/>
      <c r="B14" s="3471"/>
      <c r="C14" s="1493" t="s">
        <v>911</v>
      </c>
      <c r="D14" s="849" t="str">
        <f ca="1">NUMBERSTRING(INT(D13*10000),2)&amp;"元整"</f>
        <v>伍佰伍拾捌万元整</v>
      </c>
      <c r="E14" s="1490"/>
    </row>
    <row r="15" spans="1:5" ht="15">
      <c r="A15" s="1490"/>
      <c r="B15" s="3476"/>
      <c r="C15" s="1494" t="s">
        <v>921</v>
      </c>
      <c r="D15" s="858">
        <f ca="1">结果表!H108</f>
        <v>38448</v>
      </c>
      <c r="E15" s="1490"/>
    </row>
    <row r="16" spans="1:5" ht="15">
      <c r="A16" s="1490"/>
      <c r="B16" s="3477" t="str">
        <f>结果表!E109</f>
        <v>——</v>
      </c>
      <c r="C16" s="1498" t="s">
        <v>922</v>
      </c>
      <c r="D16" s="1499" t="str">
        <f>结果表!H109</f>
        <v>——</v>
      </c>
      <c r="E16" s="1490"/>
    </row>
    <row r="17" spans="1:5" ht="15.75">
      <c r="A17" s="1490"/>
      <c r="B17" s="3478"/>
      <c r="C17" s="1493" t="s">
        <v>923</v>
      </c>
      <c r="D17" s="849" t="e">
        <f>NUMBERSTRING(INT(D16*10000),2)&amp;"元整"</f>
        <v>#VALUE!</v>
      </c>
      <c r="E17" s="1490"/>
    </row>
    <row r="18" spans="1:5" ht="15">
      <c r="A18" s="1490"/>
      <c r="B18" s="3479"/>
      <c r="C18" s="1494" t="s">
        <v>912</v>
      </c>
      <c r="D18" s="858" t="str">
        <f>结果表!H110</f>
        <v>——</v>
      </c>
      <c r="E18" s="1490"/>
    </row>
    <row r="19" spans="1:5" ht="15.75">
      <c r="A19" s="1490"/>
      <c r="B19" s="3470" t="str">
        <f>结果表!E111</f>
        <v>——</v>
      </c>
      <c r="C19" s="1498" t="s">
        <v>910</v>
      </c>
      <c r="D19" s="850" t="str">
        <f>结果表!H111</f>
        <v>——</v>
      </c>
      <c r="E19" s="1490"/>
    </row>
    <row r="20" spans="1:5" ht="15.75">
      <c r="A20" s="1490"/>
      <c r="B20" s="3471"/>
      <c r="C20" s="1493" t="s">
        <v>923</v>
      </c>
      <c r="D20" s="849" t="e">
        <f>NUMBERSTRING(INT(D19*10000),2)&amp;"元整"</f>
        <v>#VALUE!</v>
      </c>
      <c r="E20" s="1490"/>
    </row>
    <row r="21" spans="1:5" ht="15.75" thickBot="1">
      <c r="A21" s="1490"/>
      <c r="B21" s="347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29013</v>
      </c>
      <c r="C2" s="2" t="s">
        <v>106</v>
      </c>
      <c r="D2" s="199"/>
      <c r="E2" s="199"/>
      <c r="F2" s="199"/>
      <c r="G2" s="199"/>
    </row>
    <row r="3" spans="1:7" s="200" customFormat="1" ht="18" customHeight="1" thickBot="1">
      <c r="A3" s="203" t="s">
        <v>58</v>
      </c>
      <c r="B3" s="204">
        <f ca="1">ROUND(B2*10000/'数据-汇总表'!E3,0)</f>
        <v>1998278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145.19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145.19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58</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145.19</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52" t="s">
        <v>94</v>
      </c>
    </row>
    <row r="43" spans="1:7" ht="13.5" customHeight="1">
      <c r="A43" s="779" t="s">
        <v>347</v>
      </c>
      <c r="B43" s="215" t="s">
        <v>426</v>
      </c>
      <c r="C43" s="238">
        <f ca="1">ROUND(IF('数据-取费表'!B22&lt;=1,C39*F22*'数据-取费表'!B21/2,C39*(POWER((1+F22),'数据-取费表'!B21/2)-1)),0)</f>
        <v>0</v>
      </c>
      <c r="D43" s="238"/>
      <c r="E43" s="238"/>
      <c r="F43" s="239"/>
      <c r="G43" s="3653"/>
    </row>
    <row r="44" spans="1:7" ht="13.5" customHeight="1">
      <c r="A44" s="779"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6" t="s">
        <v>341</v>
      </c>
      <c r="B45" s="244" t="s">
        <v>85</v>
      </c>
      <c r="C45" s="245">
        <f>C46</f>
        <v>13</v>
      </c>
      <c r="D45" s="235">
        <f>C47</f>
        <v>4.0000000000000001E-3</v>
      </c>
      <c r="E45" s="236" t="s">
        <v>102</v>
      </c>
      <c r="F45" s="246"/>
      <c r="G45" s="247" t="s">
        <v>434</v>
      </c>
    </row>
    <row r="46" spans="1:7" s="214" customFormat="1" ht="13.5" customHeight="1">
      <c r="A46" s="779" t="s">
        <v>349</v>
      </c>
      <c r="B46" s="248" t="s">
        <v>427</v>
      </c>
      <c r="C46" s="249">
        <f>ROUND((C33+C39)*F27,0)</f>
        <v>13</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87</v>
      </c>
      <c r="D49" s="232"/>
      <c r="E49" s="232"/>
      <c r="F49" s="264"/>
      <c r="G49" s="234" t="s">
        <v>435</v>
      </c>
    </row>
    <row r="50" spans="1:7" s="258" customFormat="1" ht="24">
      <c r="A50" s="776" t="s">
        <v>344</v>
      </c>
      <c r="B50" s="210" t="s">
        <v>97</v>
      </c>
      <c r="C50" s="232"/>
      <c r="D50" s="232"/>
      <c r="E50" s="232"/>
      <c r="F50" s="264">
        <f>IF('数据-取费表'!B24=0,'数据-取费表'!N16,1)</f>
        <v>0.72</v>
      </c>
      <c r="G50" s="247" t="s">
        <v>98</v>
      </c>
    </row>
    <row r="51" spans="1:7" ht="16.5" customHeight="1">
      <c r="A51" s="776" t="s">
        <v>345</v>
      </c>
      <c r="B51" s="210" t="s">
        <v>105</v>
      </c>
      <c r="C51" s="232">
        <f ca="1">ROUND(C49*F50,0)</f>
        <v>63</v>
      </c>
      <c r="D51" s="232"/>
      <c r="E51" s="232"/>
      <c r="F51" s="264"/>
      <c r="G51" s="234" t="s">
        <v>37</v>
      </c>
    </row>
    <row r="52" spans="1:7" s="208" customFormat="1" ht="16.5" thickBot="1">
      <c r="A52" s="265" t="s">
        <v>38</v>
      </c>
      <c r="B52" s="266"/>
      <c r="C52" s="267">
        <f ca="1">C31+C51</f>
        <v>29013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2" t="s">
        <v>2835</v>
      </c>
      <c r="B1" s="3792"/>
      <c r="C1" s="3792"/>
      <c r="D1" s="3792"/>
      <c r="E1" s="3792"/>
      <c r="F1" s="3792"/>
      <c r="G1" s="3793"/>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90"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91"/>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4" t="s">
        <v>3177</v>
      </c>
      <c r="B1" s="3794"/>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5" t="s">
        <v>3228</v>
      </c>
      <c r="B1" s="3795"/>
      <c r="C1" s="3795"/>
      <c r="D1" s="3795"/>
      <c r="E1" s="3795"/>
      <c r="F1" s="3796"/>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45163</v>
      </c>
      <c r="B1" s="3209" t="s">
        <v>2834</v>
      </c>
      <c r="C1" s="3210"/>
      <c r="D1" s="3210"/>
      <c r="E1" s="3210"/>
      <c r="F1" s="3210"/>
      <c r="G1" s="3210"/>
      <c r="H1" s="3210"/>
      <c r="I1" s="3210"/>
      <c r="J1" s="3164"/>
      <c r="K1" s="3210" t="s">
        <v>454</v>
      </c>
      <c r="L1" s="3210"/>
      <c r="M1" s="3210"/>
      <c r="N1" s="3210"/>
      <c r="O1" s="3210"/>
      <c r="P1" s="3210"/>
      <c r="Q1" s="3164"/>
      <c r="R1" s="3797" t="s">
        <v>456</v>
      </c>
      <c r="S1" s="3798"/>
      <c r="T1" s="3798"/>
      <c r="U1" s="3798"/>
      <c r="V1" s="3798"/>
      <c r="W1" s="3798"/>
      <c r="X1" s="3164"/>
      <c r="Y1" s="3797" t="s">
        <v>457</v>
      </c>
      <c r="Z1" s="3798"/>
      <c r="AA1" s="3798"/>
      <c r="AB1" s="3798"/>
      <c r="AC1" s="3798"/>
      <c r="AD1" s="3798"/>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3349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3360</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7" t="s">
        <v>2822</v>
      </c>
      <c r="S21" s="3798"/>
      <c r="T21" s="3798"/>
      <c r="U21" s="3798"/>
      <c r="V21" s="3798"/>
      <c r="W21" s="3798"/>
      <c r="X21" s="3164"/>
      <c r="Y21" s="3797" t="s">
        <v>2823</v>
      </c>
      <c r="Z21" s="3798"/>
      <c r="AA21" s="3798"/>
      <c r="AB21" s="3798"/>
      <c r="AC21" s="3798"/>
      <c r="AD21" s="3798"/>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3359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3349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45163</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7" sqref="Q1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3" t="s">
        <v>925</v>
      </c>
      <c r="E3" s="853" t="s">
        <v>931</v>
      </c>
      <c r="F3" s="853" t="s">
        <v>925</v>
      </c>
      <c r="G3" s="853" t="s">
        <v>926</v>
      </c>
      <c r="H3" s="853" t="s">
        <v>925</v>
      </c>
      <c r="I3" s="853" t="s">
        <v>926</v>
      </c>
    </row>
    <row r="4" spans="1:9" ht="15">
      <c r="A4" s="1504" t="str">
        <f>项目基本情况!S2</f>
        <v>北京市房地产</v>
      </c>
      <c r="B4" s="853">
        <f>项目基本情况!C17</f>
        <v>145.19</v>
      </c>
      <c r="C4" s="853">
        <f>项目基本情况!C18</f>
        <v>0</v>
      </c>
      <c r="D4" s="853">
        <f ca="1">结果表!D118</f>
        <v>414</v>
      </c>
      <c r="E4" s="853">
        <f ca="1">结果表!E118</f>
        <v>28528</v>
      </c>
      <c r="F4" s="853">
        <f ca="1">结果表!F118</f>
        <v>144</v>
      </c>
      <c r="G4" s="853">
        <f ca="1">结果表!G118</f>
        <v>9920</v>
      </c>
      <c r="H4" s="853">
        <f ca="1">结果表!H118</f>
        <v>558</v>
      </c>
      <c r="I4" s="853">
        <f ca="1">结果表!I118</f>
        <v>38448</v>
      </c>
    </row>
    <row r="5" spans="1:9" ht="30" customHeight="1">
      <c r="A5" s="3482" t="s">
        <v>927</v>
      </c>
      <c r="B5" s="3482"/>
      <c r="C5" s="3482"/>
      <c r="D5" s="3482" t="str">
        <f ca="1">结果表!D119</f>
        <v>肆佰壹拾肆万元整</v>
      </c>
      <c r="E5" s="3482"/>
      <c r="F5" s="3482" t="str">
        <f ca="1">结果表!F119</f>
        <v>壹佰肆拾肆万元整</v>
      </c>
      <c r="G5" s="3482"/>
      <c r="H5" s="3482" t="str">
        <f ca="1">结果表!H119</f>
        <v>伍佰伍拾捌万元整</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f ca="1">结果表!D122</f>
        <v>558</v>
      </c>
      <c r="E8" s="3483"/>
      <c r="F8" s="3483"/>
      <c r="G8" s="3483"/>
      <c r="H8" s="3483"/>
      <c r="I8" s="3483"/>
    </row>
    <row r="9" spans="1:9" ht="15">
      <c r="A9" s="3482" t="s">
        <v>927</v>
      </c>
      <c r="B9" s="3482"/>
      <c r="C9" s="3482"/>
      <c r="D9" s="3482" t="str">
        <f ca="1">结果表!D123</f>
        <v>伍佰伍拾捌万元整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9" t="s">
        <v>949</v>
      </c>
      <c r="B1" s="3489"/>
      <c r="C1" s="3489"/>
      <c r="D1" s="3489"/>
    </row>
    <row r="2" spans="1:4" ht="18">
      <c r="A2" s="3490" t="s">
        <v>933</v>
      </c>
      <c r="B2" s="3490"/>
      <c r="C2" s="3490"/>
      <c r="D2" s="349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0" t="s">
        <v>939</v>
      </c>
      <c r="B6" s="3490"/>
      <c r="C6" s="3490"/>
      <c r="D6" s="349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6"/>
      <c r="C21" s="3496"/>
      <c r="D21" s="3496"/>
    </row>
    <row r="22" spans="1:4" ht="18.75" customHeight="1">
      <c r="A22" s="3497" t="s">
        <v>945</v>
      </c>
      <c r="B22" s="3497"/>
      <c r="C22" s="3497"/>
      <c r="D22" s="349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45170</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2159</v>
      </c>
      <c r="B17" s="3506"/>
      <c r="C17" s="3506"/>
      <c r="D17" s="3506"/>
      <c r="E17" s="3506"/>
      <c r="F17" s="3506"/>
      <c r="G17" s="3506"/>
      <c r="H17" s="3506"/>
    </row>
    <row r="18" spans="1:8" ht="24" customHeight="1">
      <c r="A18" s="3507" t="s">
        <v>2160</v>
      </c>
      <c r="B18" s="3507"/>
      <c r="C18" s="3507"/>
      <c r="D18" s="2342"/>
      <c r="E18" s="3508" t="s">
        <v>2161</v>
      </c>
      <c r="F18" s="3507"/>
      <c r="G18" s="350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租金比较法</vt:lpstr>
      <vt:lpstr>收益法 (元)</vt:lpstr>
      <vt:lpstr>典型户型修正</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租金比较法!商业层高</vt:lpstr>
      <vt:lpstr>商业层高</vt:lpstr>
      <vt:lpstr>租金比较法!商业成新度</vt:lpstr>
      <vt:lpstr>商业成新度</vt:lpstr>
      <vt:lpstr>商业繁华度</vt:lpstr>
      <vt:lpstr>租金比较法!商业公共部分装修</vt:lpstr>
      <vt:lpstr>商业公共部分装修</vt:lpstr>
      <vt:lpstr>租金比较法!商业基础设施水平</vt:lpstr>
      <vt:lpstr>商业基础设施水平</vt:lpstr>
      <vt:lpstr>租金比较法!商业建筑结构</vt:lpstr>
      <vt:lpstr>商业建筑结构</vt:lpstr>
      <vt:lpstr>租金比较法!商业交易情况</vt:lpstr>
      <vt:lpstr>商业交易情况</vt:lpstr>
      <vt:lpstr>商业街名称</vt:lpstr>
      <vt:lpstr>租金比较法!商业进深比</vt:lpstr>
      <vt:lpstr>商业进深比</vt:lpstr>
      <vt:lpstr>租金比较法!商业类型</vt:lpstr>
      <vt:lpstr>商业类型</vt:lpstr>
      <vt:lpstr>租金比较法!商业临街状况</vt:lpstr>
      <vt:lpstr>商业临街状况</vt:lpstr>
      <vt:lpstr>租金比较法!商业楼层</vt:lpstr>
      <vt:lpstr>商业楼层</vt:lpstr>
      <vt:lpstr>租金比较法!商业内部装修</vt:lpstr>
      <vt:lpstr>商业内部装修</vt:lpstr>
      <vt:lpstr>租金比较法!商业人流量</vt:lpstr>
      <vt:lpstr>商业人流量</vt:lpstr>
      <vt:lpstr>租金比较法!商业业态</vt:lpstr>
      <vt:lpstr>商业业态</vt:lpstr>
      <vt:lpstr>租金比较法!商业用途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2023-09-01T07:18:05Z</dcterms:modified>
</cp:coreProperties>
</file>