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0545"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0"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办公" sheetId="15" r:id="rId31"/>
    <sheet name="不动产收益法-商业" sheetId="68" r:id="rId32"/>
    <sheet name="不动产收益法-地下车库" sheetId="69"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U26" i="1" l="1"/>
  <c r="X21" i="1"/>
  <c r="X22" i="1"/>
  <c r="X23" i="1"/>
  <c r="X20" i="1"/>
  <c r="W26" i="1"/>
  <c r="W25" i="1"/>
  <c r="W24" i="1"/>
  <c r="W20" i="1"/>
  <c r="W21" i="1"/>
  <c r="W22" i="1"/>
  <c r="W23" i="1"/>
  <c r="U25" i="1"/>
  <c r="U24" i="1"/>
  <c r="U20" i="1"/>
  <c r="U21" i="1"/>
  <c r="U22" i="1"/>
  <c r="E60" i="39"/>
  <c r="E59" i="39"/>
  <c r="I40" i="39"/>
  <c r="G40" i="39"/>
  <c r="E40" i="39"/>
  <c r="C40" i="39"/>
  <c r="I13" i="39"/>
  <c r="G13" i="39"/>
  <c r="E13" i="39"/>
  <c r="B3" i="3"/>
  <c r="AY6" i="3"/>
  <c r="D3" i="6"/>
  <c r="D19" i="6"/>
  <c r="D20" i="6"/>
  <c r="D21" i="6"/>
  <c r="D22" i="6"/>
  <c r="D23" i="6"/>
  <c r="D24" i="6"/>
  <c r="D25" i="6"/>
  <c r="D26" i="6"/>
  <c r="D27" i="6"/>
  <c r="D28" i="6"/>
  <c r="D29" i="6"/>
  <c r="D30" i="6"/>
  <c r="D31" i="6"/>
  <c r="I6" i="6"/>
  <c r="C13" i="39"/>
  <c r="F19" i="4"/>
  <c r="C12" i="39"/>
  <c r="I9" i="39"/>
  <c r="G9" i="39"/>
  <c r="E9" i="39"/>
  <c r="I7" i="39"/>
  <c r="G7" i="39"/>
  <c r="E7" i="39"/>
  <c r="F6" i="69"/>
  <c r="F8" i="69"/>
  <c r="F7" i="69"/>
  <c r="F9" i="69"/>
  <c r="C6" i="69"/>
  <c r="N4" i="65"/>
  <c r="C4" i="65"/>
  <c r="B39" i="1"/>
  <c r="F11" i="69"/>
  <c r="C10" i="69"/>
  <c r="C5" i="69"/>
  <c r="C32" i="69"/>
  <c r="C33" i="69"/>
  <c r="H21" i="6"/>
  <c r="R21" i="6"/>
  <c r="R8" i="1"/>
  <c r="F35" i="69"/>
  <c r="C34" i="69"/>
  <c r="C31" i="69"/>
  <c r="C14" i="69"/>
  <c r="F15" i="69"/>
  <c r="C15" i="69"/>
  <c r="F16" i="69"/>
  <c r="C16" i="69"/>
  <c r="F43" i="69"/>
  <c r="C17" i="69"/>
  <c r="C18" i="69"/>
  <c r="C19" i="69"/>
  <c r="C20" i="69"/>
  <c r="I5" i="65"/>
  <c r="E2" i="65"/>
  <c r="B40" i="1"/>
  <c r="F24" i="69"/>
  <c r="C23" i="69"/>
  <c r="F26" i="69"/>
  <c r="C26" i="69"/>
  <c r="C24" i="69"/>
  <c r="C27" i="69"/>
  <c r="C29" i="69"/>
  <c r="F36" i="69"/>
  <c r="C36" i="69"/>
  <c r="F13" i="69"/>
  <c r="C13" i="69"/>
  <c r="F37" i="69"/>
  <c r="C37" i="69"/>
  <c r="F38" i="69"/>
  <c r="C38" i="69"/>
  <c r="C30" i="69"/>
  <c r="C39" i="69"/>
  <c r="F42" i="69"/>
  <c r="F40" i="69"/>
  <c r="G19" i="4"/>
  <c r="F8" i="1"/>
  <c r="L48" i="69"/>
  <c r="J53" i="69"/>
  <c r="F1" i="69"/>
  <c r="AE8" i="1"/>
  <c r="F41" i="69"/>
  <c r="C40" i="69"/>
  <c r="M6" i="69"/>
  <c r="M8" i="69"/>
  <c r="M7" i="69"/>
  <c r="M9" i="69"/>
  <c r="J6" i="69"/>
  <c r="M11" i="69"/>
  <c r="J10" i="69"/>
  <c r="J5" i="69"/>
  <c r="J26" i="69"/>
  <c r="J29" i="69"/>
  <c r="J60" i="69"/>
  <c r="L46" i="69"/>
  <c r="B2" i="69"/>
  <c r="E10" i="12"/>
  <c r="B3" i="69"/>
  <c r="E8" i="12"/>
  <c r="F6" i="68"/>
  <c r="F8" i="68"/>
  <c r="F7" i="68"/>
  <c r="F9" i="68"/>
  <c r="C6" i="68"/>
  <c r="F11" i="68"/>
  <c r="C10" i="68"/>
  <c r="C5" i="68"/>
  <c r="C32" i="68"/>
  <c r="C33" i="68"/>
  <c r="H20" i="6"/>
  <c r="R20" i="6"/>
  <c r="R7" i="1"/>
  <c r="F35" i="68"/>
  <c r="C34" i="68"/>
  <c r="C31" i="68"/>
  <c r="C14" i="68"/>
  <c r="F15" i="68"/>
  <c r="C15" i="68"/>
  <c r="F16" i="68"/>
  <c r="C16" i="68"/>
  <c r="F43" i="68"/>
  <c r="C17" i="68"/>
  <c r="C18" i="68"/>
  <c r="C19" i="68"/>
  <c r="C20" i="68"/>
  <c r="F24" i="68"/>
  <c r="C23" i="68"/>
  <c r="F26" i="68"/>
  <c r="C26" i="68"/>
  <c r="C24" i="68"/>
  <c r="C27" i="68"/>
  <c r="C29" i="68"/>
  <c r="F36" i="68"/>
  <c r="C36" i="68"/>
  <c r="F13" i="68"/>
  <c r="C13" i="68"/>
  <c r="F37" i="68"/>
  <c r="C37" i="68"/>
  <c r="F38" i="68"/>
  <c r="C38" i="68"/>
  <c r="C30" i="68"/>
  <c r="C39" i="68"/>
  <c r="F42" i="68"/>
  <c r="F40" i="68"/>
  <c r="E19" i="4"/>
  <c r="F7" i="1"/>
  <c r="L48" i="68"/>
  <c r="J53" i="68"/>
  <c r="F1" i="68"/>
  <c r="AE7" i="1"/>
  <c r="F41" i="68"/>
  <c r="C40" i="68"/>
  <c r="M6" i="68"/>
  <c r="M8" i="68"/>
  <c r="M7" i="68"/>
  <c r="M9" i="68"/>
  <c r="J6" i="68"/>
  <c r="M11" i="68"/>
  <c r="J10" i="68"/>
  <c r="J5" i="68"/>
  <c r="J26" i="68"/>
  <c r="J29" i="68"/>
  <c r="J60" i="68"/>
  <c r="L46" i="68"/>
  <c r="B2" i="68"/>
  <c r="D10" i="12"/>
  <c r="B3" i="68"/>
  <c r="D8" i="12"/>
  <c r="F6" i="15"/>
  <c r="F8" i="15"/>
  <c r="F7" i="15"/>
  <c r="F9" i="15"/>
  <c r="C6" i="15"/>
  <c r="F11" i="15"/>
  <c r="C10" i="15"/>
  <c r="C5" i="15"/>
  <c r="C32" i="15"/>
  <c r="C14" i="15"/>
  <c r="C15" i="15"/>
  <c r="F16" i="15"/>
  <c r="C16" i="15"/>
  <c r="F43" i="15"/>
  <c r="C17" i="15"/>
  <c r="C18" i="15"/>
  <c r="C19" i="15"/>
  <c r="C20" i="15"/>
  <c r="F24" i="15"/>
  <c r="C23" i="15"/>
  <c r="F26" i="15"/>
  <c r="C26" i="15"/>
  <c r="C24" i="15"/>
  <c r="C27" i="15"/>
  <c r="C29" i="15"/>
  <c r="F33" i="15"/>
  <c r="C33" i="15"/>
  <c r="H19" i="6"/>
  <c r="R19" i="6"/>
  <c r="R6" i="1"/>
  <c r="F35" i="15"/>
  <c r="C34" i="15"/>
  <c r="C31" i="15"/>
  <c r="F15" i="15"/>
  <c r="F36" i="15"/>
  <c r="C36" i="15"/>
  <c r="F13" i="15"/>
  <c r="C13" i="15"/>
  <c r="F37" i="15"/>
  <c r="C37" i="15"/>
  <c r="F38" i="15"/>
  <c r="C38" i="15"/>
  <c r="C30" i="15"/>
  <c r="C39" i="15"/>
  <c r="F42" i="15"/>
  <c r="F40" i="15"/>
  <c r="F6" i="1"/>
  <c r="L48" i="15"/>
  <c r="J53" i="15"/>
  <c r="F1" i="15"/>
  <c r="AE6" i="1"/>
  <c r="F41" i="15"/>
  <c r="C40" i="15"/>
  <c r="M6" i="15"/>
  <c r="M8" i="15"/>
  <c r="M7" i="15"/>
  <c r="M9" i="15"/>
  <c r="J6" i="15"/>
  <c r="M11" i="15"/>
  <c r="J10" i="15"/>
  <c r="J5" i="15"/>
  <c r="J26" i="15"/>
  <c r="J29" i="15"/>
  <c r="J60" i="15"/>
  <c r="L46" i="15"/>
  <c r="B2" i="15"/>
  <c r="C10" i="12"/>
  <c r="B3" i="15"/>
  <c r="C8" i="12"/>
  <c r="G1" i="69"/>
  <c r="F32" i="69"/>
  <c r="F33" i="69"/>
  <c r="F34" i="69"/>
  <c r="F17" i="69"/>
  <c r="F18" i="69"/>
  <c r="F20" i="69"/>
  <c r="F23" i="69"/>
  <c r="F21" i="69"/>
  <c r="F28" i="69"/>
  <c r="C28" i="69"/>
  <c r="AE9" i="1"/>
  <c r="M47" i="69"/>
  <c r="Q66" i="69"/>
  <c r="J50" i="69"/>
  <c r="J51" i="69"/>
  <c r="L60" i="69"/>
  <c r="Q67" i="69"/>
  <c r="Q76" i="69"/>
  <c r="D8" i="1"/>
  <c r="L47" i="69"/>
  <c r="L59" i="69"/>
  <c r="Q75" i="69"/>
  <c r="K59" i="69"/>
  <c r="P75" i="69"/>
  <c r="L58" i="69"/>
  <c r="Q74" i="69"/>
  <c r="Q73" i="69"/>
  <c r="J36" i="69"/>
  <c r="Q72" i="69"/>
  <c r="Q71" i="69"/>
  <c r="Q70" i="69"/>
  <c r="F70" i="69"/>
  <c r="F50" i="69"/>
  <c r="F49" i="69"/>
  <c r="C48" i="69"/>
  <c r="C52" i="69"/>
  <c r="C47" i="69"/>
  <c r="F59" i="69"/>
  <c r="C59" i="69"/>
  <c r="D60" i="69"/>
  <c r="F60" i="69"/>
  <c r="C60" i="69"/>
  <c r="F61" i="69"/>
  <c r="F62" i="69"/>
  <c r="C61" i="69"/>
  <c r="C58" i="69"/>
  <c r="C56" i="69"/>
  <c r="F63" i="69"/>
  <c r="C63" i="69"/>
  <c r="C55" i="69"/>
  <c r="F64" i="69"/>
  <c r="C64" i="69"/>
  <c r="F65" i="69"/>
  <c r="C65" i="69"/>
  <c r="C57" i="69"/>
  <c r="C66" i="69"/>
  <c r="F67" i="69"/>
  <c r="F68" i="69"/>
  <c r="C67" i="69"/>
  <c r="C70" i="69"/>
  <c r="Q69" i="69"/>
  <c r="L51" i="69"/>
  <c r="Q68" i="69"/>
  <c r="Q57" i="69"/>
  <c r="Q58" i="69"/>
  <c r="Q63" i="69"/>
  <c r="Q62" i="69"/>
  <c r="P62" i="69"/>
  <c r="Q61" i="69"/>
  <c r="Q60" i="69"/>
  <c r="Q59" i="69"/>
  <c r="J59" i="69"/>
  <c r="J57" i="69"/>
  <c r="J55" i="69"/>
  <c r="J58" i="69"/>
  <c r="F58" i="69"/>
  <c r="L57" i="69"/>
  <c r="L56" i="69"/>
  <c r="Q48" i="69"/>
  <c r="Q49" i="69"/>
  <c r="Q54" i="69"/>
  <c r="I54" i="69"/>
  <c r="Q53" i="69"/>
  <c r="Q52" i="69"/>
  <c r="Q51" i="69"/>
  <c r="Q50" i="69"/>
  <c r="C46" i="69"/>
  <c r="J42" i="69"/>
  <c r="J43" i="69"/>
  <c r="C43" i="69"/>
  <c r="J35" i="69"/>
  <c r="J39" i="69"/>
  <c r="J40" i="69"/>
  <c r="F31" i="69"/>
  <c r="M29" i="69"/>
  <c r="M28" i="69"/>
  <c r="M27" i="69"/>
  <c r="M26" i="69"/>
  <c r="M18" i="69"/>
  <c r="J18" i="69"/>
  <c r="J19" i="69"/>
  <c r="M20" i="69"/>
  <c r="M21" i="69"/>
  <c r="J20" i="69"/>
  <c r="J17" i="69"/>
  <c r="J14" i="69"/>
  <c r="M22" i="69"/>
  <c r="J22" i="69"/>
  <c r="J15" i="69"/>
  <c r="J13" i="69"/>
  <c r="M23" i="69"/>
  <c r="J23" i="69"/>
  <c r="M24" i="69"/>
  <c r="J24" i="69"/>
  <c r="J16" i="69"/>
  <c r="J25" i="69"/>
  <c r="D24" i="69"/>
  <c r="D23" i="69"/>
  <c r="D22" i="69"/>
  <c r="M19" i="69"/>
  <c r="M17" i="69"/>
  <c r="G1" i="68"/>
  <c r="F32" i="68"/>
  <c r="F33" i="68"/>
  <c r="F34" i="68"/>
  <c r="F17" i="68"/>
  <c r="F18" i="68"/>
  <c r="F20" i="68"/>
  <c r="F23" i="68"/>
  <c r="F21" i="68"/>
  <c r="F28" i="68"/>
  <c r="C28" i="68"/>
  <c r="M47" i="68"/>
  <c r="Q66" i="68"/>
  <c r="J50" i="68"/>
  <c r="J51" i="68"/>
  <c r="L60" i="68"/>
  <c r="Q67" i="68"/>
  <c r="Q76" i="68"/>
  <c r="D7" i="1"/>
  <c r="L47" i="68"/>
  <c r="L59" i="68"/>
  <c r="Q75" i="68"/>
  <c r="K59" i="68"/>
  <c r="P75" i="68"/>
  <c r="L58" i="68"/>
  <c r="Q74" i="68"/>
  <c r="Q73" i="68"/>
  <c r="J36" i="68"/>
  <c r="Q72" i="68"/>
  <c r="Q71" i="68"/>
  <c r="Q70" i="68"/>
  <c r="F70" i="68"/>
  <c r="F50" i="68"/>
  <c r="F49" i="68"/>
  <c r="C48" i="68"/>
  <c r="C52" i="68"/>
  <c r="C47" i="68"/>
  <c r="F59" i="68"/>
  <c r="C59" i="68"/>
  <c r="D60" i="68"/>
  <c r="F60" i="68"/>
  <c r="C60" i="68"/>
  <c r="F61" i="68"/>
  <c r="F62" i="68"/>
  <c r="C61" i="68"/>
  <c r="C58" i="68"/>
  <c r="C56" i="68"/>
  <c r="F63" i="68"/>
  <c r="C63" i="68"/>
  <c r="C55" i="68"/>
  <c r="F64" i="68"/>
  <c r="C64" i="68"/>
  <c r="F65" i="68"/>
  <c r="C65" i="68"/>
  <c r="C57" i="68"/>
  <c r="C66" i="68"/>
  <c r="F67" i="68"/>
  <c r="F68" i="68"/>
  <c r="C67" i="68"/>
  <c r="C70" i="68"/>
  <c r="Q69" i="68"/>
  <c r="L51" i="68"/>
  <c r="Q68" i="68"/>
  <c r="Q57" i="68"/>
  <c r="Q58" i="68"/>
  <c r="Q63" i="68"/>
  <c r="Q62" i="68"/>
  <c r="P62" i="68"/>
  <c r="Q61" i="68"/>
  <c r="Q60" i="68"/>
  <c r="Q59" i="68"/>
  <c r="J59" i="68"/>
  <c r="J57" i="68"/>
  <c r="J55" i="68"/>
  <c r="J58" i="68"/>
  <c r="F58" i="68"/>
  <c r="L57" i="68"/>
  <c r="L56" i="68"/>
  <c r="Q48" i="68"/>
  <c r="Q49" i="68"/>
  <c r="Q54" i="68"/>
  <c r="I54" i="68"/>
  <c r="Q53" i="68"/>
  <c r="Q52" i="68"/>
  <c r="Q51" i="68"/>
  <c r="Q50" i="68"/>
  <c r="C46" i="68"/>
  <c r="J42" i="68"/>
  <c r="J43" i="68"/>
  <c r="C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G21" i="6"/>
  <c r="G20" i="6"/>
  <c r="F20" i="6"/>
  <c r="F19" i="6"/>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B2" i="1"/>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A7" i="1"/>
  <c r="A8" i="1"/>
  <c r="G1" i="15"/>
  <c r="J50" i="15"/>
  <c r="J51" i="15"/>
  <c r="M47" i="15"/>
  <c r="G1" i="44"/>
  <c r="F9" i="1"/>
  <c r="L49" i="44"/>
  <c r="M48" i="44"/>
  <c r="J51" i="44"/>
  <c r="J52" i="44"/>
  <c r="J54" i="44"/>
  <c r="C1" i="65"/>
  <c r="H1" i="65"/>
  <c r="I4" i="65"/>
  <c r="E20" i="46"/>
  <c r="C18" i="46"/>
  <c r="AD5" i="3"/>
  <c r="AH5" i="3"/>
  <c r="AL5" i="3"/>
  <c r="AP5" i="3"/>
  <c r="I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7" i="59"/>
  <c r="AG7" i="59"/>
  <c r="AE7" i="59"/>
  <c r="AF7" i="59"/>
  <c r="AD7"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K38" i="9"/>
  <c r="C14" i="66"/>
  <c r="E3" i="6"/>
  <c r="L38" i="9"/>
  <c r="B14" i="66"/>
  <c r="AE8" i="59"/>
  <c r="AF8" i="59"/>
  <c r="AG8" i="59"/>
  <c r="AH8" i="59"/>
  <c r="AD8" i="59"/>
  <c r="AB7" i="59"/>
  <c r="AA7" i="59"/>
  <c r="Y7" i="59"/>
  <c r="Z7" i="59"/>
  <c r="X7" i="59"/>
  <c r="L4" i="9"/>
  <c r="M4" i="9"/>
  <c r="A30" i="64"/>
  <c r="A30" i="51"/>
  <c r="K59" i="15"/>
  <c r="P62" i="15"/>
  <c r="P75" i="15"/>
  <c r="Q74" i="44"/>
  <c r="Q61" i="44"/>
  <c r="Q60" i="44"/>
  <c r="Q53" i="44"/>
  <c r="A16" i="55"/>
  <c r="A15" i="55"/>
  <c r="A14" i="55"/>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1" i="65"/>
  <c r="N7" i="65"/>
  <c r="T8"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7" i="15"/>
  <c r="F18" i="15"/>
  <c r="F20" i="15"/>
  <c r="F21"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9" i="1"/>
  <c r="F10" i="1"/>
  <c r="AP10" i="1"/>
  <c r="D10" i="1"/>
  <c r="C42" i="1"/>
  <c r="A12" i="1"/>
  <c r="R12" i="1"/>
  <c r="A13" i="1"/>
  <c r="B13" i="1"/>
  <c r="E13"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B2" i="52"/>
  <c r="E22" i="52"/>
  <c r="I2" i="46"/>
  <c r="N12" i="46"/>
  <c r="A7" i="46"/>
  <c r="F41" i="4"/>
  <c r="J52" i="40"/>
  <c r="H61" i="49"/>
  <c r="H39" i="46"/>
  <c r="H38" i="46"/>
  <c r="H37" i="46"/>
  <c r="H36" i="46"/>
  <c r="H35" i="46"/>
  <c r="H34" i="46"/>
  <c r="P17" i="46"/>
  <c r="O17" i="46"/>
  <c r="N17" i="46"/>
  <c r="M17"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2" i="1"/>
  <c r="C2" i="65"/>
  <c r="I1" i="65"/>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O7" i="1"/>
  <c r="P7" i="1"/>
  <c r="C20" i="43"/>
  <c r="C52" i="15"/>
  <c r="AP6" i="1"/>
  <c r="G11" i="1"/>
  <c r="M22" i="44"/>
  <c r="F32" i="15"/>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C24" i="12"/>
  <c r="F3" i="35"/>
  <c r="K1" i="43"/>
  <c r="K1" i="12"/>
  <c r="E413" i="3"/>
  <c r="BK5" i="3"/>
  <c r="BO5" i="3"/>
  <c r="BP5" i="3"/>
  <c r="BN5" i="3"/>
  <c r="BC5" i="3"/>
  <c r="E8" i="6"/>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F28"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28" i="6"/>
  <c r="E13" i="6"/>
  <c r="E11" i="6"/>
  <c r="H70" i="46"/>
  <c r="H72" i="46"/>
  <c r="F26" i="44"/>
  <c r="C26" i="44"/>
  <c r="F26" i="12"/>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C18" i="11"/>
  <c r="C19" i="11"/>
  <c r="AP16" i="1"/>
  <c r="F22" i="11"/>
  <c r="E4" i="4"/>
  <c r="C4" i="4"/>
  <c r="F64" i="15"/>
  <c r="Q72" i="15"/>
  <c r="F50" i="15"/>
  <c r="F63" i="15"/>
  <c r="F67" i="15"/>
  <c r="F49" i="15"/>
  <c r="F70" i="15"/>
  <c r="L56" i="15"/>
  <c r="J57" i="15"/>
  <c r="J55" i="15"/>
  <c r="J58" i="15"/>
  <c r="Q51" i="15"/>
  <c r="F65" i="15"/>
  <c r="G66" i="36"/>
  <c r="J18" i="36"/>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H12" i="40"/>
  <c r="AB12" i="40"/>
  <c r="H12" i="39"/>
  <c r="U12" i="39"/>
  <c r="F12" i="39"/>
  <c r="AA12" i="39"/>
  <c r="F31" i="6"/>
  <c r="F12" i="40"/>
  <c r="AA12" i="40"/>
  <c r="J12" i="39"/>
  <c r="AC12" i="39"/>
  <c r="AC6" i="3"/>
  <c r="D21" i="12"/>
  <c r="C21" i="12"/>
  <c r="D12" i="11"/>
  <c r="C12" i="11"/>
  <c r="F68" i="15"/>
  <c r="C27" i="12"/>
  <c r="D26" i="12"/>
  <c r="E59" i="40"/>
  <c r="E29" i="6"/>
  <c r="L20" i="6"/>
  <c r="E58" i="40"/>
  <c r="E63" i="39"/>
  <c r="E16" i="6"/>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C32" i="12"/>
  <c r="D30" i="12"/>
  <c r="D33" i="12"/>
  <c r="M14" i="1"/>
  <c r="K16" i="1"/>
  <c r="M20" i="6"/>
  <c r="I20" i="6"/>
  <c r="S20" i="6"/>
  <c r="S7" i="1"/>
  <c r="K27" i="6"/>
  <c r="M19" i="6"/>
  <c r="S6" i="1"/>
  <c r="M21" i="6"/>
  <c r="I21" i="6"/>
  <c r="S21" i="6"/>
  <c r="S8" i="1"/>
  <c r="M22" i="6"/>
  <c r="I22" i="6"/>
  <c r="S22" i="6"/>
  <c r="S9" i="1"/>
  <c r="B1" i="66"/>
  <c r="R43" i="37"/>
  <c r="R50" i="34"/>
  <c r="C50" i="34"/>
  <c r="B3" i="34"/>
  <c r="B2" i="34"/>
  <c r="E49" i="34"/>
  <c r="C39" i="35"/>
  <c r="B3" i="35"/>
  <c r="B2" i="35"/>
  <c r="AC7" i="21"/>
  <c r="V48" i="21"/>
  <c r="I48" i="21"/>
  <c r="W7" i="21"/>
  <c r="U7" i="21"/>
  <c r="AB7" i="21"/>
  <c r="T48" i="21"/>
  <c r="G48" i="21"/>
  <c r="S7" i="21"/>
  <c r="AA7" i="21"/>
  <c r="R48" i="21"/>
  <c r="F72" i="39"/>
  <c r="G70" i="39"/>
  <c r="F67" i="40"/>
  <c r="G65" i="40"/>
  <c r="J24" i="15"/>
  <c r="J20" i="44"/>
  <c r="J26" i="44"/>
  <c r="B3" i="11"/>
  <c r="C19" i="44"/>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B4" i="46"/>
  <c r="B3" i="46"/>
  <c r="T10" i="1"/>
  <c r="T9" i="1"/>
  <c r="T6" i="1"/>
  <c r="T11" i="1"/>
  <c r="T8" i="1"/>
  <c r="T12" i="1"/>
  <c r="O16" i="1"/>
  <c r="P14" i="1"/>
  <c r="P16" i="1"/>
  <c r="C13" i="12"/>
  <c r="C13" i="43"/>
  <c r="L16" i="1"/>
  <c r="N16" i="1"/>
  <c r="C29" i="43"/>
  <c r="D22" i="12"/>
  <c r="C22" i="12"/>
  <c r="C20" i="12"/>
  <c r="D13" i="11"/>
  <c r="C13" i="11"/>
  <c r="D19" i="12"/>
  <c r="C19" i="12"/>
  <c r="C16" i="12"/>
  <c r="I27" i="6"/>
  <c r="S19" i="6"/>
  <c r="S27" i="6"/>
  <c r="C22" i="4"/>
  <c r="D10" i="6"/>
  <c r="D11" i="6"/>
  <c r="D13" i="6"/>
  <c r="D12" i="6"/>
  <c r="H24" i="6"/>
  <c r="H25" i="6"/>
  <c r="D6" i="6"/>
  <c r="D9" i="6"/>
  <c r="D5" i="6"/>
  <c r="D14" i="6"/>
  <c r="H22" i="6"/>
  <c r="R22" i="6"/>
  <c r="R9" i="1"/>
  <c r="D15" i="6"/>
  <c r="D8" i="6"/>
  <c r="H26" i="6"/>
  <c r="H23" i="6"/>
  <c r="B4" i="11"/>
  <c r="B5" i="11"/>
  <c r="E53" i="21"/>
  <c r="F53" i="21"/>
  <c r="E52" i="21"/>
  <c r="F52" i="21"/>
  <c r="C48" i="21"/>
  <c r="C49" i="21"/>
  <c r="B3" i="21"/>
  <c r="B2" i="21"/>
  <c r="I53" i="21"/>
  <c r="J53" i="21"/>
  <c r="I70" i="39"/>
  <c r="H72" i="39"/>
  <c r="I65" i="40"/>
  <c r="H67" i="40"/>
  <c r="C16" i="44"/>
  <c r="C20" i="44"/>
  <c r="C17" i="44"/>
  <c r="B3" i="67"/>
  <c r="B4" i="67"/>
  <c r="T16" i="1"/>
  <c r="C17" i="12"/>
  <c r="C14" i="12"/>
  <c r="H27" i="6"/>
  <c r="R24" i="6"/>
  <c r="D16" i="6"/>
  <c r="R23" i="6"/>
  <c r="R25"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C18" i="12"/>
  <c r="R16" i="1"/>
  <c r="R27" i="6"/>
  <c r="C18" i="43"/>
  <c r="K70" i="39"/>
  <c r="J72" i="39"/>
  <c r="K65" i="40"/>
  <c r="J67" i="40"/>
  <c r="C65" i="15"/>
  <c r="C59" i="15"/>
  <c r="C28" i="44"/>
  <c r="C31" i="44"/>
  <c r="C35" i="44"/>
  <c r="I5" i="6"/>
  <c r="J59" i="15"/>
  <c r="C23" i="12"/>
  <c r="C35" i="12"/>
  <c r="C33" i="12"/>
  <c r="C19" i="43"/>
  <c r="C22" i="43"/>
  <c r="C21" i="43"/>
  <c r="K67" i="40"/>
  <c r="L65" i="40"/>
  <c r="K72" i="39"/>
  <c r="L70" i="39"/>
  <c r="Q49" i="15"/>
  <c r="C33" i="44"/>
  <c r="J21" i="44"/>
  <c r="J19" i="44"/>
  <c r="Q51" i="44"/>
  <c r="C15" i="44"/>
  <c r="C38" i="44"/>
  <c r="J16" i="44"/>
  <c r="J15" i="44"/>
  <c r="J25" i="44"/>
  <c r="J19" i="15"/>
  <c r="J17" i="15"/>
  <c r="J14" i="15"/>
  <c r="J22" i="15"/>
  <c r="C56" i="15"/>
  <c r="C63" i="15"/>
  <c r="Q50" i="15"/>
  <c r="J35" i="15"/>
  <c r="C28" i="12"/>
  <c r="C26" i="12"/>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1" i="12"/>
  <c r="C30" i="12"/>
  <c r="C36" i="12"/>
  <c r="B2" i="12"/>
  <c r="C32" i="43"/>
  <c r="B2" i="43"/>
  <c r="N70" i="39"/>
  <c r="N72" i="39"/>
  <c r="M72" i="39"/>
  <c r="N65" i="40"/>
  <c r="N67" i="40"/>
  <c r="M67" i="40"/>
  <c r="C60" i="15"/>
  <c r="D19" i="9"/>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<sst xmlns="http://schemas.openxmlformats.org/spreadsheetml/2006/main" count="7806" uniqueCount="3091">
  <si>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</si>
  <si>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</si>
  <si>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</si>
  <si>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</si>
  <si>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</si>
  <si>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</si>
  <si>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</si>
  <si>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</si>
  <si>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</si>
  <si>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</si>
  <si>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</si>
  <si>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</si>
  <si>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</si>
  <si>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</si>
  <si>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</si>
  <si>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</si>
  <si>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</si>
  <si>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</si>
  <si>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</si>
  <si>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</si>
  <si>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</si>
  <si>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</si>
  <si>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</si>
  <si>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</si>
  <si>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</si>
  <si>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</si>
  <si>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</si>
  <si>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</si>
  <si>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</si>
  <si>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</si>
  <si>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</si>
  <si>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</si>
  <si>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</si>
  <si>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</si>
  <si>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</si>
  <si>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</si>
  <si>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</si>
  <si>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</si>
  <si>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</si>
  <si>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</si>
  <si>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</si>
  <si>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</si>
  <si>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</si>
  <si>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</si>
  <si>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</si>
  <si>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</si>
  <si>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</si>
  <si>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</si>
  <si>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</si>
  <si>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</si>
  <si>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</si>
  <si>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</si>
  <si>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</si>
  <si>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</si>
  <si>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</si>
  <si>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</si>
  <si>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</si>
  <si>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</si>
  <si>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</si>
  <si>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</si>
  <si>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</si>
  <si>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</si>
  <si>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</si>
  <si>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</si>
  <si>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</si>
  <si>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</si>
  <si>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</si>
  <si>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</si>
  <si>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</si>
  <si>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</si>
  <si>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</si>
  <si>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</si>
  <si>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</si>
  <si>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</si>
  <si>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</si>
  <si>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</si>
  <si>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</si>
  <si>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</si>
  <si>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</si>
  <si>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</si>
  <si>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</si>
  <si>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</si>
  <si>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</si>
  <si>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</si>
  <si>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</si>
  <si>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</si>
  <si>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</si>
  <si>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</si>
  <si>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</si>
  <si>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</si>
  <si>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</si>
  <si>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</si>
  <si>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</si>
  <si>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</si>
  <si>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</si>
  <si>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</si>
  <si>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</si>
  <si>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</si>
  <si>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</si>
  <si>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</si>
  <si>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</si>
  <si>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</si>
  <si>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</si>
  <si>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</si>
  <si>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</si>
  <si>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</si>
  <si>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</si>
  <si>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</si>
  <si>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</si>
  <si>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</si>
  <si>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</si>
  <si>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</si>
  <si>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</si>
  <si>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</si>
  <si>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</si>
  <si>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</si>
  <si>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</si>
  <si>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</si>
  <si>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</si>
  <si>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</si>
  <si>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</si>
  <si>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</si>
  <si>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</si>
  <si>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</si>
  <si>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</si>
  <si>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</si>
  <si>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</si>
  <si>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</si>
  <si>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</si>
  <si>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</si>
  <si>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</si>
  <si>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</si>
  <si>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</si>
  <si>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</si>
  <si>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</si>
  <si>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</si>
  <si>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</si>
  <si>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</si>
  <si>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</si>
  <si>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</si>
  <si>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</si>
  <si>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</si>
  <si>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</si>
  <si>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</si>
  <si>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</si>
  <si>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</si>
  <si>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</si>
  <si>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</si>
  <si>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</si>
  <si>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</si>
  <si>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</si>
  <si>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</si>
  <si>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</si>
  <si>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</si>
  <si>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</si>
  <si>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</si>
  <si>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</si>
  <si>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</si>
  <si>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</si>
  <si>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</si>
  <si>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</si>
  <si>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</si>
  <si>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</si>
  <si>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</si>
  <si>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</si>
  <si>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</si>
  <si>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</si>
  <si>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</si>
  <si>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</si>
  <si>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</si>
  <si>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</si>
  <si>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</si>
  <si>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</si>
  <si>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</si>
  <si>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</si>
  <si>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</si>
  <si>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</si>
  <si>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</si>
  <si>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</si>
  <si>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</si>
  <si>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</si>
  <si>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</si>
  <si>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</si>
  <si>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</si>
  <si>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</si>
  <si>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</si>
  <si>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</si>
  <si>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</si>
  <si>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</si>
  <si>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</si>
  <si>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</si>
  <si>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</si>
  <si>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</si>
  <si>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</si>
  <si>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</si>
  <si>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</si>
  <si>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</si>
  <si>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</si>
  <si>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</si>
  <si>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</si>
  <si>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</si>
  <si>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</si>
  <si>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</si>
  <si>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</si>
  <si>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</si>
  <si>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</si>
  <si>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</si>
  <si>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</si>
  <si>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</si>
  <si>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</si>
  <si>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</si>
  <si>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</si>
  <si>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</si>
  <si>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</si>
  <si>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</si>
  <si>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</si>
  <si>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</si>
  <si>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</si>
  <si>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</si>
  <si>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</si>
  <si>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</si>
  <si>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</si>
  <si>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</si>
  <si>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</si>
  <si>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</si>
  <si>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</si>
  <si>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</si>
  <si>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</si>
  <si>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</si>
  <si>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</si>
  <si>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</si>
  <si>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</si>
  <si>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</si>
  <si>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</si>
  <si>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</si>
  <si>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</si>
  <si>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</si>
  <si>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</si>
  <si>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</si>
  <si>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</si>
  <si>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</si>
  <si>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</si>
  <si>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</si>
  <si>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</si>
  <si>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</si>
  <si>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</si>
  <si>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</si>
  <si>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</si>
  <si>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</si>
  <si>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</si>
  <si>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</si>
  <si>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</si>
  <si>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</si>
  <si>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</si>
  <si>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</si>
  <si>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</si>
  <si>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</si>
  <si>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</si>
  <si>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</si>
  <si>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</si>
  <si>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</si>
  <si>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</si>
  <si>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</si>
  <si>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</si>
  <si>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</si>
  <si>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</si>
  <si>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</si>
  <si>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</si>
  <si>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</si>
  <si>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</si>
  <si>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</si>
  <si>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</si>
  <si>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</si>
  <si>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</si>
  <si>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</si>
  <si>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</si>
  <si>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</si>
  <si>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</si>
  <si>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</si>
  <si>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</si>
  <si>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</si>
  <si>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</si>
  <si>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</si>
  <si>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</si>
  <si>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</si>
  <si>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</si>
  <si>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</si>
  <si>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</si>
  <si>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</si>
  <si>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</si>
  <si>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</si>
  <si>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</si>
  <si>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</si>
  <si>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</si>
  <si>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</si>
  <si>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</si>
  <si>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</si>
  <si>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</si>
  <si>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</si>
  <si>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</si>
  <si>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</si>
  <si>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</si>
  <si>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</si>
  <si>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</si>
  <si>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</si>
  <si>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</si>
  <si>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</si>
  <si>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</si>
  <si>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</si>
  <si>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</si>
  <si>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</si>
  <si>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</si>
  <si>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</si>
  <si>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</si>
  <si>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</si>
  <si>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</si>
  <si>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</si>
  <si>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</si>
  <si>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</si>
  <si>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</si>
  <si>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</si>
  <si>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</si>
  <si>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</si>
  <si>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</si>
  <si>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</si>
  <si>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</si>
  <si>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</si>
  <si>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</si>
  <si>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</si>
  <si>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</si>
  <si>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</si>
  <si>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</si>
  <si>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</si>
  <si>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</si>
  <si>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</si>
  <si>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</si>
  <si>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</si>
  <si>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</si>
  <si>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</si>
  <si>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</si>
  <si>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</si>
  <si>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</si>
  <si>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</si>
  <si>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</si>
  <si>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</si>
  <si>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</si>
  <si>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</si>
  <si>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</si>
  <si>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</si>
  <si>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</si>
  <si>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</si>
  <si>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</si>
  <si>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</si>
  <si>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</si>
  <si>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</si>
  <si>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</si>
  <si>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</si>
  <si>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</si>
  <si>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</si>
  <si>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</si>
  <si>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</si>
  <si>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</si>
  <si>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</si>
  <si>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</si>
  <si>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</si>
  <si>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</si>
  <si>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</si>
  <si>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</si>
  <si>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</si>
  <si>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</si>
  <si>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</si>
  <si>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</si>
  <si>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</si>
  <si>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</si>
  <si>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</si>
  <si>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</si>
  <si>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</si>
  <si>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</si>
  <si>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</si>
  <si>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</si>
  <si>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</si>
  <si>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</si>
  <si>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</si>
  <si>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</si>
  <si>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</si>
  <si>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</si>
  <si>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</si>
  <si>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</si>
  <si>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</si>
  <si>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</si>
  <si>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</si>
  <si>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</si>
  <si>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</si>
  <si>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</si>
  <si>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</si>
  <si>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</si>
  <si>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</si>
  <si>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</si>
  <si>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</si>
  <si>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</si>
  <si>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</si>
  <si>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</si>
  <si>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</si>
  <si>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</si>
  <si>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</si>
  <si>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</si>
  <si>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</si>
  <si>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</si>
  <si>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</si>
  <si>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</si>
  <si>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</si>
  <si>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</si>
  <si>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</si>
  <si>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</si>
  <si>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</si>
  <si>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</si>
  <si>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</si>
  <si>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</si>
  <si>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</si>
  <si>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</si>
  <si>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</si>
  <si>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</si>
  <si>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</si>
  <si>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</si>
  <si>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</si>
  <si>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</si>
  <si>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</si>
  <si>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</si>
  <si>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</si>
  <si>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</si>
  <si>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</si>
  <si>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</si>
  <si>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</si>
  <si>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</si>
  <si>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</si>
  <si>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</si>
  <si>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</si>
  <si>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</si>
  <si>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</si>
  <si>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</si>
  <si>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</si>
  <si>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</si>
  <si>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</si>
  <si>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</si>
  <si>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</si>
  <si>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</si>
  <si>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</si>
  <si>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</si>
  <si>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</si>
  <si>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</si>
  <si>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</si>
  <si>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</si>
  <si>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</si>
  <si>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</si>
  <si>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</si>
  <si>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</si>
  <si>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</si>
  <si>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</si>
  <si>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</si>
  <si>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</si>
  <si>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</si>
  <si>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</si>
  <si>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</si>
  <si>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</si>
  <si>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</si>
  <si>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</si>
  <si>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</si>
  <si>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</si>
  <si>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</si>
  <si>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</si>
  <si>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</si>
  <si>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</si>
  <si>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</si>
  <si>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</si>
  <si>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</si>
  <si>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</si>
  <si>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</si>
  <si>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</si>
  <si>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</si>
  <si>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</si>
  <si>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</si>
  <si>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</si>
  <si>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</si>
  <si>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</si>
  <si>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</si>
  <si>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</si>
  <si>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</si>
  <si>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</si>
  <si>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</si>
  <si>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</si>
  <si>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</si>
  <si>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</si>
  <si>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</si>
  <si>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</si>
  <si>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</si>
  <si>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</si>
  <si>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</si>
  <si>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</si>
  <si>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</si>
  <si>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</si>
  <si>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</si>
  <si>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</si>
  <si>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</si>
  <si>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</si>
  <si>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</si>
  <si>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</si>
  <si>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</si>
  <si>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</si>
  <si>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</si>
  <si>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</si>
  <si>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</si>
  <si>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</si>
  <si>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</si>
  <si>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</si>
  <si>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</si>
  <si>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</si>
  <si>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</si>
  <si>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</si>
  <si>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</si>
  <si>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</si>
  <si>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</si>
  <si>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</si>
  <si>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</si>
  <si>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</si>
  <si>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</si>
  <si>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</si>
  <si>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</si>
  <si>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</si>
  <si>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</si>
  <si>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</si>
  <si>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</si>
  <si>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</si>
  <si>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</si>
  <si>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</si>
  <si>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</si>
  <si>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</si>
  <si>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</si>
  <si>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</si>
  <si>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</si>
  <si>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</si>
  <si>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</si>
  <si>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</si>
  <si>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</si>
  <si>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</si>
  <si>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</si>
  <si>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</si>
  <si>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</si>
  <si>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</si>
  <si>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</si>
  <si>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</si>
  <si>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</si>
  <si>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</si>
  <si>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</si>
  <si>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</si>
  <si>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</si>
  <si>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</si>
  <si>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</si>
  <si>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</si>
  <si>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</si>
  <si>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</si>
  <si>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</si>
  <si>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</si>
  <si>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</si>
  <si>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</si>
  <si>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</si>
  <si>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</si>
  <si>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</si>
  <si>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</si>
  <si>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</si>
  <si>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</si>
  <si>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</si>
  <si>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</si>
  <si>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</si>
  <si>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</si>
  <si>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</si>
  <si>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</si>
  <si>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</si>
  <si>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</si>
  <si>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</si>
  <si>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</si>
  <si>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</si>
  <si>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</si>
  <si>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</si>
  <si>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</si>
  <si>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</si>
  <si>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</si>
  <si>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</si>
  <si>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</si>
  <si>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</si>
  <si>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</si>
  <si>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</si>
  <si>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</si>
  <si>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</si>
  <si>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</si>
  <si>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</si>
  <si>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</si>
  <si>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</si>
  <si>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</si>
  <si>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</si>
  <si>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</si>
  <si>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</si>
  <si>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</si>
  <si>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</si>
  <si>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</si>
  <si>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</si>
  <si>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</si>
  <si>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</si>
  <si>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</si>
  <si>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</si>
  <si>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</si>
  <si>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</si>
  <si>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</si>
  <si>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</si>
  <si>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</si>
  <si>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</si>
  <si>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</si>
  <si>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</si>
  <si>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</si>
  <si>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</si>
  <si>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</si>
  <si>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</si>
  <si>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</si>
  <si>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</si>
  <si>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</si>
  <si>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</si>
  <si>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</si>
  <si>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</si>
  <si>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</si>
  <si>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</si>
  <si>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</si>
  <si>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</si>
  <si>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</si>
  <si>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</si>
  <si>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</si>
  <si>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</si>
  <si>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</si>
  <si>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</si>
  <si>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</si>
  <si>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</si>
  <si>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</si>
  <si>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</si>
  <si>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</si>
  <si>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</si>
  <si>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</si>
  <si>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</si>
  <si>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</si>
  <si>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</si>
  <si>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</si>
  <si>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</si>
  <si>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</si>
  <si>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</si>
  <si>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</si>
  <si>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</si>
  <si>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</si>
  <si>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</si>
  <si>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</si>
  <si>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</si>
  <si>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</si>
  <si>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</si>
  <si>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</si>
  <si>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</si>
  <si>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</si>
  <si>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</si>
  <si>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</si>
  <si>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</si>
  <si>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</si>
  <si>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</si>
  <si>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</si>
  <si>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</si>
  <si>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</si>
  <si>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</si>
  <si>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</si>
  <si>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</si>
  <si>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</si>
  <si>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</si>
  <si>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</si>
  <si>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</si>
  <si>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</si>
  <si>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</si>
  <si>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</si>
  <si>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</si>
  <si>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</si>
  <si>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</si>
  <si>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</si>
  <si>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</si>
  <si>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</si>
  <si>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</si>
  <si>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</si>
  <si>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</si>
  <si>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</si>
  <si>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</si>
  <si>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</si>
  <si>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</si>
  <si>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</si>
  <si>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</si>
  <si>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</si>
  <si>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</si>
  <si>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</si>
  <si>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</si>
  <si>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</si>
  <si>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</si>
  <si>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</si>
  <si>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</si>
  <si>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</si>
  <si>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</si>
  <si>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</si>
  <si>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</si>
  <si>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</si>
  <si>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</si>
  <si>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</si>
  <si>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</si>
  <si>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</si>
  <si>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</si>
  <si>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</si>
  <si>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</si>
  <si>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</si>
  <si>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</si>
  <si>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</si>
  <si>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</si>
  <si>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</si>
  <si>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</si>
  <si>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</si>
  <si>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</si>
  <si>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</si>
  <si>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</si>
  <si>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</si>
  <si>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</si>
  <si>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</si>
  <si>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</si>
  <si>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</si>
  <si>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</si>
  <si>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</si>
  <si>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</si>
  <si>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</si>
  <si>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</si>
  <si>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</si>
  <si>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</si>
  <si>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</si>
  <si>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</si>
  <si>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</si>
  <si>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</si>
  <si>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</si>
  <si>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</si>
  <si>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</si>
  <si>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</si>
  <si>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</si>
  <si>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</si>
  <si>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</si>
  <si>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</si>
  <si>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</si>
  <si>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</si>
  <si>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</si>
  <si>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</si>
  <si>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</si>
  <si>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</si>
  <si>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</si>
  <si>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</si>
  <si>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</si>
  <si>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</si>
  <si>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</si>
  <si>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</si>
  <si>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</si>
  <si>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</si>
  <si>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</si>
  <si>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</si>
  <si>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</si>
  <si>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</si>
  <si>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</si>
  <si>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</si>
  <si>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</si>
  <si>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</si>
  <si>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</si>
  <si>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</si>
  <si>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</si>
  <si>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</si>
  <si>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</si>
  <si>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</si>
  <si>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</si>
  <si>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</si>
  <si>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</si>
  <si>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</si>
  <si>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</si>
  <si>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</si>
  <si>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</si>
  <si>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</si>
  <si>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</si>
  <si>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</si>
  <si>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</si>
  <si>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</si>
  <si>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</si>
  <si>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</si>
  <si>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</si>
  <si>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</si>
  <si>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</si>
  <si>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</si>
  <si>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</si>
  <si>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</si>
  <si>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</si>
  <si>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</si>
  <si>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</si>
  <si>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</si>
  <si>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</si>
  <si>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</si>
  <si>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</si>
  <si>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</si>
  <si>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</si>
  <si>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</si>
  <si>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</si>
  <si>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</si>
  <si>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</si>
  <si>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</si>
  <si>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</si>
  <si>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</si>
  <si>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</si>
  <si>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</si>
  <si>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</si>
  <si>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</si>
  <si>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</si>
  <si>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</si>
  <si>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</si>
  <si>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</si>
  <si>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</si>
  <si>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</si>
  <si>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</si>
  <si>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</si>
  <si>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</si>
  <si>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</si>
  <si>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</si>
  <si>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</si>
  <si>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</si>
  <si>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</si>
  <si>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</si>
  <si>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</si>
  <si>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</si>
  <si>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</si>
  <si>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</si>
  <si>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</si>
  <si>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</si>
  <si>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</si>
  <si>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</si>
  <si>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</si>
  <si>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</si>
  <si>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</si>
  <si>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</si>
  <si>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</si>
  <si>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</si>
  <si>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</si>
  <si>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</si>
  <si>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</si>
  <si>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</si>
  <si>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</si>
  <si>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</si>
  <si>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</si>
  <si>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</si>
  <si>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</si>
  <si>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</si>
  <si>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</si>
  <si>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</si>
  <si>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</si>
  <si>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</si>
  <si>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</si>
  <si>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</si>
  <si>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</si>
  <si>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</si>
  <si>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</si>
  <si>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</si>
  <si>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</si>
  <si>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</si>
  <si>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</si>
  <si>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</si>
  <si>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</si>
  <si>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</si>
  <si>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</si>
  <si>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</si>
  <si>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</si>
  <si>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</si>
  <si>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</si>
  <si>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</si>
  <si>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</si>
  <si>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</si>
  <si>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</si>
  <si>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</si>
  <si>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</si>
  <si>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</si>
  <si>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</si>
  <si>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</si>
  <si>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</si>
  <si>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</si>
  <si>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</si>
  <si>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</si>
  <si>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</si>
  <si>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</si>
  <si>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</si>
  <si>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</si>
  <si>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</si>
  <si>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</si>
  <si>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</si>
  <si>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</si>
  <si>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</si>
  <si>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</si>
  <si>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</si>
  <si>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</si>
  <si>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</si>
  <si>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</si>
  <si>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</si>
  <si>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</si>
  <si>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</si>
  <si>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</si>
  <si>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</si>
  <si>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</si>
  <si>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</si>
  <si>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</si>
  <si>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</si>
  <si>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</si>
  <si>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</si>
  <si>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</si>
  <si>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</si>
  <si>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</si>
  <si>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</si>
  <si>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</si>
  <si>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</si>
  <si>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</si>
  <si>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</si>
  <si>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</si>
  <si>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</si>
  <si>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</si>
  <si>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</si>
  <si>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</si>
  <si>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</si>
  <si>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</si>
  <si>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</si>
  <si>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</si>
  <si>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</si>
  <si>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</si>
  <si>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</si>
  <si>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</si>
  <si>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</si>
  <si>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</si>
  <si>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</si>
  <si>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</si>
  <si>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</si>
  <si>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</si>
  <si>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</si>
  <si>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</si>
  <si>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</si>
  <si>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</si>
  <si>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</si>
  <si>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</si>
  <si>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</si>
  <si>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</si>
  <si>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</si>
  <si>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</si>
  <si>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</si>
  <si>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</si>
  <si>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</si>
  <si>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</si>
  <si>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</si>
  <si>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</si>
  <si>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</si>
  <si>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</si>
  <si>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</si>
  <si>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</si>
  <si>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</si>
  <si>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</si>
  <si>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</si>
  <si>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</si>
  <si>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</si>
  <si>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</si>
  <si>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</si>
  <si>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</si>
  <si>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</si>
  <si>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</si>
  <si>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</si>
  <si>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</si>
  <si>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</si>
  <si>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</si>
  <si>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</si>
  <si>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</si>
  <si>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</si>
  <si>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</si>
  <si>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</si>
  <si>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</si>
  <si>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</si>
  <si>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</si>
  <si>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</si>
  <si>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</si>
  <si>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</si>
  <si>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</si>
  <si>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</si>
  <si>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</si>
  <si>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</si>
  <si>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</si>
  <si>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</si>
  <si>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</si>
  <si>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</si>
  <si>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</si>
  <si>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</si>
  <si>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</si>
  <si>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</si>
  <si>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</si>
  <si>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</si>
  <si>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</si>
  <si>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</si>
  <si>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</si>
  <si>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</si>
  <si>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</si>
  <si>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</si>
  <si>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</si>
  <si>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</si>
  <si>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</si>
  <si>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</si>
  <si>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</si>
  <si>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</si>
  <si>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</si>
  <si>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</si>
  <si>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</si>
  <si>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</si>
  <si>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</si>
  <si>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</si>
  <si>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</si>
  <si>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</si>
  <si>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</si>
  <si>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</si>
  <si>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</si>
  <si>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</si>
  <si>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</si>
  <si>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</si>
  <si>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</si>
  <si>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</si>
  <si>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</si>
  <si>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</si>
  <si>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</si>
  <si>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</si>
  <si>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</si>
  <si>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</si>
  <si>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</si>
  <si>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</si>
  <si>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</si>
  <si>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</si>
  <si>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</si>
  <si>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</si>
  <si>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</si>
  <si>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</si>
  <si>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</si>
  <si>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</si>
  <si>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</si>
  <si>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</si>
  <si>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</si>
  <si>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</si>
  <si>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</si>
  <si>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</si>
  <si>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</si>
  <si>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</si>
  <si>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</si>
  <si>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</si>
  <si>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</si>
  <si>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</si>
  <si>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</si>
  <si>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</si>
  <si>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</si>
  <si>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</si>
  <si>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</si>
  <si>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</si>
  <si>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</si>
  <si>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</si>
  <si>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</si>
  <si>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</si>
  <si>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</si>
  <si>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</si>
  <si>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</si>
  <si>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</si>
  <si>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</si>
  <si>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</si>
  <si>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</si>
  <si>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</si>
  <si>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</si>
  <si>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</si>
  <si>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</si>
  <si>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</si>
  <si>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</si>
  <si>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</si>
  <si>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</si>
  <si>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</si>
  <si>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</si>
  <si>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</si>
  <si>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</si>
  <si>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</si>
  <si>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</si>
  <si>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</si>
  <si>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</si>
  <si>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</si>
  <si>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</si>
  <si>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</si>
  <si>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</si>
  <si>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</si>
  <si>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</si>
  <si>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</si>
  <si>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</si>
  <si>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</si>
  <si>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</si>
  <si>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</si>
  <si>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</si>
  <si>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</si>
  <si>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</si>
  <si>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</si>
  <si>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</si>
  <si>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</si>
  <si>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</si>
  <si>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</si>
  <si>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</si>
  <si>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</si>
  <si>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</si>
  <si>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</si>
  <si>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</si>
  <si>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</si>
  <si>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</si>
  <si>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</si>
  <si>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</si>
  <si>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</si>
  <si>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</si>
  <si>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</si>
  <si>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</si>
  <si>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</si>
  <si>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</si>
  <si>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</si>
  <si>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</si>
  <si>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</si>
  <si>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</si>
  <si>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</si>
  <si>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</si>
  <si>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</si>
  <si>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</si>
  <si>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</si>
  <si>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</si>
  <si>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</si>
  <si>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</si>
  <si>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</si>
  <si>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</si>
  <si>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</si>
  <si>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</si>
  <si>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</si>
  <si>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</si>
  <si>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</si>
  <si>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</si>
  <si>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</si>
  <si>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</si>
  <si>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</si>
  <si>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</si>
  <si>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</si>
  <si>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</si>
  <si>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</si>
  <si>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</si>
  <si>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</si>
  <si>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</si>
  <si>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</si>
  <si>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</si>
  <si>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</si>
  <si>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</si>
  <si>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</si>
  <si>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</si>
  <si>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</si>
  <si>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</si>
  <si>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</si>
  <si>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</si>
  <si>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</si>
  <si>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</si>
  <si>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</si>
  <si>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</si>
  <si>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</si>
  <si>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</si>
  <si>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</si>
  <si>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</si>
  <si>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</si>
  <si>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</si>
  <si>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</si>
  <si>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</si>
  <si>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</si>
  <si>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</si>
  <si>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</si>
  <si>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</si>
  <si>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</si>
  <si>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</si>
  <si>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</si>
  <si>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</si>
  <si>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</si>
  <si>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</si>
  <si>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</si>
  <si>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</si>
  <si>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</si>
  <si>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</si>
  <si>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</si>
  <si>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</si>
  <si>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</si>
  <si>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</si>
  <si>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</si>
  <si>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</si>
  <si>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</si>
  <si>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</si>
  <si>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</si>
  <si>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</si>
  <si>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</si>
  <si>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</si>
  <si>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</si>
  <si>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</si>
  <si>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</si>
  <si>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</si>
  <si>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</si>
  <si>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</si>
  <si>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</si>
  <si>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</si>
  <si>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</si>
  <si>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</si>
  <si>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</si>
  <si>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</si>
  <si>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</si>
  <si>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</si>
  <si>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</si>
  <si>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</si>
  <si>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</si>
  <si>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</si>
  <si>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</si>
  <si>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</si>
  <si>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</si>
  <si>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</si>
  <si>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</si>
  <si>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</si>
  <si>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</si>
  <si>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</si>
  <si>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</si>
  <si>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</si>
  <si>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</si>
  <si>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</si>
  <si>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</si>
  <si>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</si>
  <si>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</si>
  <si>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</si>
  <si>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</si>
  <si>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</si>
  <si>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</si>
  <si>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</si>
  <si>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</si>
  <si>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</si>
  <si>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</si>
  <si>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</si>
  <si>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</si>
  <si>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</si>
  <si>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</si>
  <si>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</si>
  <si>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</si>
  <si>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</si>
  <si>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</si>
  <si>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</si>
  <si>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</si>
  <si>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</si>
  <si>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</si>
  <si>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</si>
  <si>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</si>
  <si>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</si>
  <si>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</si>
  <si>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</si>
  <si>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</si>
  <si>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</si>
  <si>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</si>
  <si>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</si>
  <si>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</si>
  <si>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</si>
  <si>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</si>
  <si>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</si>
  <si>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</si>
  <si>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</si>
  <si>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</si>
  <si>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</si>
  <si>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</si>
  <si>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</si>
  <si>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</si>
  <si>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</si>
  <si>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</si>
  <si>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</si>
  <si>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</si>
  <si>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</si>
  <si>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</si>
  <si>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</si>
  <si>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</si>
  <si>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</si>
  <si>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</si>
  <si>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</si>
  <si>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</si>
  <si>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</si>
  <si>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</si>
  <si>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</si>
  <si>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</si>
  <si>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</si>
  <si>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</si>
  <si>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</si>
  <si>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</si>
  <si>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</si>
  <si>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</si>
  <si>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</si>
  <si>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</si>
  <si>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</si>
  <si>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</si>
  <si>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</si>
  <si>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</si>
  <si>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</si>
  <si>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</si>
  <si>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</si>
  <si>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</si>
  <si>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</si>
  <si>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</si>
  <si>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</si>
  <si>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</si>
  <si>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</si>
  <si>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</si>
  <si>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</si>
  <si>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</si>
  <si>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</si>
  <si>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</si>
  <si>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</si>
  <si>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</si>
  <si>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</si>
  <si>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</si>
  <si>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</si>
  <si>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</si>
  <si>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</si>
  <si>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</si>
  <si>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</si>
  <si>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</si>
  <si>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</si>
  <si>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</si>
  <si>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</si>
  <si>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</si>
  <si>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</si>
  <si>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</si>
  <si>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</si>
  <si>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</si>
  <si>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</si>
  <si>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</si>
  <si>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</si>
  <si>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</si>
  <si>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</si>
  <si>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</si>
  <si>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</si>
  <si>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</si>
  <si>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</si>
  <si>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</si>
  <si>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</si>
  <si>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</si>
  <si>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</si>
  <si>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</si>
  <si>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</si>
  <si>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</si>
  <si>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</si>
  <si>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</si>
  <si>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</si>
  <si>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</si>
  <si>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</si>
  <si>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</si>
  <si>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</si>
  <si>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</si>
  <si>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</si>
  <si>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</si>
  <si>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</si>
  <si>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</si>
  <si>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</si>
  <si>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</si>
  <si>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</si>
  <si>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</si>
  <si>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</si>
  <si>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</si>
  <si>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</si>
  <si>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</si>
  <si>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</si>
  <si>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</si>
  <si>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</si>
  <si>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</si>
  <si>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</si>
  <si>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</si>
  <si>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</si>
  <si>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</si>
  <si>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</si>
  <si>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</si>
  <si>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</si>
  <si>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</si>
  <si>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</si>
  <si>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</si>
  <si>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</si>
  <si>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</si>
  <si>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</si>
  <si>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</si>
  <si>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</si>
  <si>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</si>
  <si>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</si>
  <si>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</si>
  <si>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</si>
  <si>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</si>
  <si>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</si>
  <si>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</si>
  <si>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</si>
  <si>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</si>
  <si>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</si>
  <si>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</si>
  <si>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</si>
  <si>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</si>
  <si>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</si>
  <si>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</si>
  <si>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</si>
  <si>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</si>
  <si>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</si>
  <si>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</si>
  <si>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</si>
  <si>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</si>
  <si>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</si>
  <si>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</si>
  <si>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</si>
  <si>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</si>
  <si>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</si>
  <si>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</si>
  <si>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</si>
  <si>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</si>
  <si>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</si>
  <si>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</si>
  <si>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</si>
  <si>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</si>
  <si>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</si>
  <si>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</si>
  <si>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</si>
  <si>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</si>
  <si>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</si>
  <si>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</si>
  <si>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</si>
  <si>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</si>
  <si>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</si>
  <si>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</si>
  <si>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</si>
  <si>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</si>
  <si>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</si>
  <si>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</si>
  <si>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</si>
  <si>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</si>
  <si>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</si>
  <si>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</si>
  <si>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</si>
  <si>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</si>
  <si>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</si>
  <si>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</si>
  <si>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</si>
  <si>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</si>
  <si>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</si>
  <si>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</si>
  <si>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</si>
  <si>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</si>
  <si>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</si>
  <si>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</si>
  <si>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</si>
  <si>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</si>
  <si>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</si>
  <si>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</si>
  <si>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</si>
  <si>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</si>
  <si>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</si>
  <si>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</si>
  <si>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</si>
  <si>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</si>
  <si>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</si>
  <si>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</si>
  <si>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</si>
  <si>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</si>
  <si>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</si>
  <si>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</si>
  <si>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</si>
  <si>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</si>
  <si>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</si>
  <si>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</si>
  <si>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</si>
  <si>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</si>
  <si>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</si>
  <si>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</si>
  <si>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</si>
  <si>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</si>
  <si>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</si>
  <si>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</si>
  <si>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</si>
  <si>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</si>
  <si>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</si>
  <si>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</si>
  <si>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</si>
  <si>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</si>
  <si>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</si>
  <si>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</si>
  <si>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</si>
  <si>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</si>
  <si>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</si>
  <si>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</si>
  <si>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</si>
  <si>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</si>
  <si>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</si>
  <si>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</si>
  <si>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</si>
  <si>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</si>
  <si>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</si>
  <si>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</si>
  <si>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</si>
  <si>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</si>
  <si>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</si>
  <si>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</si>
  <si>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</si>
  <si>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</si>
  <si>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</si>
  <si>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</si>
  <si>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</si>
  <si>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</si>
  <si>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</si>
  <si>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</si>
  <si>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</si>
  <si>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</si>
  <si>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</si>
  <si>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</si>
  <si>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</si>
  <si>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</si>
  <si>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</si>
  <si>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</si>
  <si>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</si>
  <si>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</si>
  <si>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</si>
  <si>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</si>
  <si>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</si>
  <si>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</si>
  <si>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</si>
  <si>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</si>
  <si>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</si>
  <si>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</si>
  <si>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</si>
  <si>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</si>
  <si>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</si>
  <si>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</si>
  <si>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</si>
  <si>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</si>
  <si>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</si>
  <si>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</si>
  <si>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</si>
  <si>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</si>
  <si>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</si>
  <si>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</si>
  <si>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</si>
  <si>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</si>
  <si>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</si>
  <si>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</si>
  <si>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</si>
  <si>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</si>
  <si>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</si>
  <si>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</si>
  <si>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</si>
  <si>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</si>
  <si>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</si>
  <si>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</si>
  <si>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</si>
  <si>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</si>
  <si>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</si>
  <si>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</si>
  <si>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</si>
  <si>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</si>
  <si>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</si>
  <si>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</si>
  <si>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</si>
  <si>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</si>
  <si>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</si>
  <si>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</si>
  <si>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</si>
  <si>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</si>
  <si>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</si>
  <si>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</si>
  <si>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</si>
  <si>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</si>
  <si>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</si>
  <si>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</si>
  <si>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</si>
  <si>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</si>
  <si>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</si>
  <si>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</si>
  <si>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</si>
  <si>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</si>
  <si>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</si>
  <si>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</si>
  <si>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</si>
  <si>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</si>
  <si>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</si>
  <si>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</si>
  <si>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</si>
  <si>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</si>
  <si>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</si>
  <si>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</si>
  <si>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</si>
  <si>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</si>
  <si>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</si>
  <si>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</si>
  <si>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</si>
  <si>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</si>
  <si>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</si>
  <si>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</si>
  <si>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</si>
  <si>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</si>
  <si>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</si>
  <si>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</si>
  <si>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</si>
  <si>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</si>
  <si>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</si>
  <si>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</si>
  <si>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</si>
  <si>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</si>
  <si>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</si>
  <si>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</si>
  <si>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</si>
  <si>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</si>
  <si>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</si>
  <si>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</si>
  <si>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</si>
  <si>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</si>
  <si>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</si>
  <si>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</si>
  <si>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</si>
  <si>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</si>
  <si>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</si>
  <si>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</si>
  <si>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</si>
  <si>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</si>
  <si>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</si>
  <si>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</si>
  <si>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</si>
  <si>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</si>
  <si>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</si>
  <si>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</si>
  <si>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</si>
  <si>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</si>
  <si>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</si>
  <si>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</si>
  <si>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</si>
  <si>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</si>
  <si>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</si>
  <si>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</si>
  <si>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</si>
  <si>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</si>
  <si>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</si>
  <si>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</si>
  <si>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</si>
  <si>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</si>
  <si>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</si>
  <si>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</si>
  <si>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</si>
  <si>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</si>
  <si>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</si>
  <si>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</si>
  <si>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</si>
  <si>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</si>
  <si>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</si>
  <si>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</si>
  <si>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</si>
  <si>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</si>
  <si>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</si>
  <si>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</si>
  <si>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</si>
  <si>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</si>
  <si>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</si>
  <si>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</si>
  <si>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</si>
  <si>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</si>
  <si>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</si>
  <si>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</si>
  <si>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</si>
  <si>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</si>
  <si>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</si>
  <si>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</si>
  <si>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</si>
  <si>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</si>
  <si>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</si>
  <si>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</si>
  <si>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</si>
  <si>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</si>
  <si>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</si>
  <si>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</si>
  <si>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</si>
  <si>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</si>
  <si>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</si>
  <si>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</si>
  <si>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</si>
  <si>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</si>
  <si>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</si>
  <si>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</si>
  <si>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</si>
  <si>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</si>
  <si>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</si>
  <si>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</si>
  <si>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</si>
  <si>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</si>
  <si>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</si>
  <si>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</si>
  <si>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</si>
  <si>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</si>
  <si>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</si>
  <si>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</si>
  <si>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</si>
  <si>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</si>
  <si>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</si>
  <si>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</si>
  <si>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</si>
  <si>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</si>
  <si>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</si>
  <si>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</si>
  <si>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</si>
  <si>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</si>
  <si>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</si>
  <si>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</si>
  <si>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</si>
  <si>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</si>
  <si>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</si>
  <si>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</si>
  <si>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</si>
  <si>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</si>
  <si>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</si>
  <si>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</si>
  <si>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</si>
  <si>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</si>
  <si>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</si>
  <si>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</si>
  <si>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</si>
  <si>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</si>
  <si>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</si>
  <si>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</si>
  <si>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</si>
  <si>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</si>
  <si>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</si>
  <si>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</si>
  <si>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</si>
  <si>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</si>
  <si>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</si>
  <si>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</si>
  <si>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</si>
  <si>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</si>
  <si>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</si>
  <si>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</si>
  <si>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</si>
  <si>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</si>
  <si>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</si>
  <si>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</si>
  <si>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</si>
  <si>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</si>
  <si>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</si>
  <si>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</si>
  <si>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</si>
  <si>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</si>
  <si>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</si>
  <si>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</si>
  <si>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</si>
  <si>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</si>
  <si>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</si>
  <si>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</si>
  <si>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</si>
  <si>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</si>
  <si>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</si>
  <si>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</si>
  <si>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</si>
  <si>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</si>
  <si>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</si>
  <si>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</si>
  <si>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</si>
  <si>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</si>
  <si>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</si>
  <si>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</si>
  <si>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</si>
  <si>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</si>
  <si>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</si>
  <si>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</si>
  <si>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</si>
  <si>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</si>
  <si>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</si>
  <si>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</si>
  <si>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</si>
  <si>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</si>
  <si>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</si>
  <si>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</si>
  <si>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</si>
  <si>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</si>
  <si>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</si>
  <si>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</si>
  <si>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</si>
  <si>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</si>
  <si>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</si>
  <si>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</si>
  <si>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</si>
  <si>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</si>
  <si>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</si>
  <si>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</si>
  <si>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</si>
  <si>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</si>
  <si>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</si>
  <si>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</si>
  <si>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</si>
  <si>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</si>
  <si>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</si>
  <si>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</si>
  <si>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</si>
  <si>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</si>
  <si>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</si>
  <si>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</si>
  <si>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</si>
  <si>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</si>
  <si>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</si>
  <si>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</si>
  <si>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</si>
  <si>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</si>
  <si>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</si>
  <si>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</si>
  <si>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</si>
  <si>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</si>
  <si>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</si>
  <si>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</si>
  <si>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</si>
  <si>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</si>
  <si>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</si>
  <si>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</si>
  <si>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</si>
  <si>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</si>
  <si>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</si>
  <si>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</si>
  <si>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</si>
  <si>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</si>
  <si>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</si>
  <si>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</si>
  <si>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</si>
  <si>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</si>
  <si>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</si>
  <si>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</si>
  <si>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</si>
  <si>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</si>
  <si>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</si>
  <si>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</si>
  <si>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</si>
  <si>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</si>
  <si>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</si>
  <si>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</si>
  <si>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</si>
  <si>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</si>
  <si>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</si>
  <si>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</si>
  <si>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</si>
  <si>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</si>
  <si>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</si>
  <si>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</si>
  <si>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</si>
  <si>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</si>
  <si>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</si>
  <si>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</si>
  <si>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</si>
  <si>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</si>
  <si>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</si>
  <si>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</si>
  <si>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</si>
  <si>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</si>
  <si>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</si>
  <si>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</si>
  <si>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</si>
  <si>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</si>
  <si>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</si>
  <si>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</si>
  <si>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</si>
  <si>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</si>
  <si>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</si>
  <si>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</si>
  <si>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</si>
  <si>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</si>
  <si>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</si>
  <si>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</si>
  <si>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</si>
  <si>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</si>
  <si>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</si>
  <si>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</si>
  <si>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</si>
  <si>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</si>
  <si>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</si>
  <si>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</si>
  <si>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</si>
  <si>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</si>
  <si>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</si>
  <si>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</si>
  <si>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</si>
  <si>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</si>
  <si>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</si>
  <si>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</si>
  <si>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</si>
  <si>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</si>
  <si>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</si>
  <si>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</si>
  <si>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</si>
  <si>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</si>
  <si>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</si>
  <si>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</si>
  <si>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</si>
  <si>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</si>
  <si>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</si>
  <si>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</si>
  <si>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</si>
  <si>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</si>
  <si>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</si>
  <si>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</si>
  <si>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</si>
  <si>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</si>
  <si>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</si>
  <si>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</si>
  <si>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</si>
  <si>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</si>
  <si>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</si>
  <si>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</si>
  <si>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</si>
  <si>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</si>
  <si>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</si>
  <si>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</si>
  <si>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</si>
  <si>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</si>
  <si>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</si>
  <si>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</si>
  <si>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</si>
  <si>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</si>
  <si>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</si>
  <si>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</si>
  <si>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</si>
  <si>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</si>
  <si>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</si>
  <si>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</si>
  <si>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</si>
  <si>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</si>
  <si>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</si>
  <si>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</si>
  <si>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</si>
  <si>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</si>
  <si>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</si>
  <si>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</si>
  <si>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</si>
  <si>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</si>
  <si>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</si>
  <si>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</si>
  <si>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</si>
  <si>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</si>
  <si>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</si>
  <si>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</si>
  <si>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</si>
  <si>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</si>
  <si>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</si>
  <si>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</si>
  <si>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</si>
  <si>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</si>
  <si>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</si>
  <si>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</si>
  <si>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</si>
  <si>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</si>
  <si>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</si>
  <si>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</si>
  <si>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</si>
  <si>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</si>
  <si>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</si>
  <si>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</si>
  <si>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</si>
  <si>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</si>
  <si>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</si>
  <si>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</si>
  <si>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</si>
  <si>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</si>
  <si>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</si>
  <si>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</si>
  <si>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</si>
  <si>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</si>
  <si>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</si>
  <si>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</si>
  <si>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</si>
  <si>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</si>
  <si>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</si>
  <si>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</si>
  <si>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</si>
  <si>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</si>
  <si>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</si>
  <si>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</si>
  <si>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</si>
  <si>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</si>
  <si>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</si>
  <si>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</si>
  <si>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</si>
  <si>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</si>
  <si>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</si>
  <si>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</si>
  <si>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</si>
  <si>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</si>
  <si>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</si>
  <si>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</si>
  <si>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</si>
  <si>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</si>
  <si>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</si>
  <si>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</si>
  <si>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</si>
  <si>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</si>
  <si>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</si>
  <si>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</si>
  <si>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</si>
  <si>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</si>
  <si>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</si>
  <si>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</si>
  <si>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</si>
  <si>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</si>
  <si>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</si>
  <si>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</si>
  <si>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</si>
  <si>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</si>
  <si>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</si>
  <si>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</si>
  <si>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</si>
  <si>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</si>
  <si>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</si>
  <si>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</si>
  <si>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</si>
  <si>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</si>
  <si>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</si>
  <si>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</si>
  <si>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</si>
  <si>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</si>
  <si>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</si>
  <si>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</si>
  <si>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</si>
  <si>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</si>
  <si>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</si>
  <si>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</si>
  <si>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</si>
  <si>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</si>
  <si>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</si>
  <si>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</si>
  <si>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</si>
  <si>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</si>
  <si>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</si>
  <si>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</si>
  <si>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</si>
  <si>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</si>
  <si>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</si>
  <si>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</si>
  <si>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</si>
  <si>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</si>
  <si>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</si>
  <si>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</si>
  <si>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</si>
  <si>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</si>
  <si>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</si>
  <si>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</si>
  <si>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</si>
  <si>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</si>
  <si>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</si>
  <si>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</si>
  <si>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</si>
  <si>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</si>
  <si>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</si>
  <si>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</si>
  <si>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</si>
  <si>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</si>
  <si>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</si>
  <si>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</si>
  <si>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</si>
  <si>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</si>
  <si>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</si>
  <si>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</si>
  <si>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</si>
  <si>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</si>
  <si>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</si>
  <si>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</si>
  <si>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</si>
  <si>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</si>
  <si>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</si>
  <si>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</si>
  <si>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</si>
  <si>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</si>
  <si>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</si>
  <si>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</si>
  <si>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</si>
  <si>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</si>
  <si>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</si>
  <si>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</si>
  <si>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</si>
  <si>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</si>
  <si>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</si>
  <si>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</si>
  <si>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</si>
  <si>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</si>
  <si>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</si>
  <si>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</si>
  <si>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</si>
  <si>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</si>
  <si>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</si>
  <si>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</si>
  <si>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</si>
  <si>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</si>
  <si>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</si>
  <si>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</si>
  <si>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</si>
  <si>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</si>
  <si>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</si>
  <si>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</si>
  <si>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</si>
  <si>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</si>
  <si>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</si>
  <si>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</si>
  <si>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</si>
  <si>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</si>
  <si>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</si>
  <si>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</si>
  <si>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</si>
  <si>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</si>
  <si>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</si>
  <si>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</si>
  <si>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</si>
  <si>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</si>
  <si>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</si>
  <si>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</si>
  <si>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</si>
  <si>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</si>
  <si>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</si>
  <si>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</si>
  <si>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</si>
  <si>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</si>
  <si>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</si>
  <si>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</si>
  <si>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</si>
  <si>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</si>
  <si>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</si>
  <si>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</si>
  <si>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</si>
  <si>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</si>
  <si>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</si>
  <si>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</si>
  <si>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</si>
  <si>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</si>
  <si>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</si>
  <si>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</si>
  <si>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</si>
  <si>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</si>
  <si>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</si>
  <si>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</si>
  <si>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</si>
  <si>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</si>
  <si>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</si>
  <si>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</si>
  <si>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</si>
  <si>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</si>
  <si>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</si>
  <si>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</si>
  <si>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</si>
  <si>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</si>
  <si>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</si>
  <si>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</si>
  <si>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</si>
  <si>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</si>
  <si>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</si>
  <si>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</si>
  <si>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</si>
  <si>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</si>
  <si>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</si>
  <si>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</si>
  <si>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</si>
  <si>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</si>
  <si>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</si>
  <si>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</si>
  <si>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</si>
  <si>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</si>
  <si>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</si>
  <si>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</si>
  <si>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</si>
  <si>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</si>
  <si>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</si>
  <si>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</si>
  <si>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</si>
  <si>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</si>
  <si>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</si>
  <si>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</si>
  <si>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</si>
  <si>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</si>
  <si>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</si>
  <si>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</si>
  <si>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</si>
  <si>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</si>
  <si>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</si>
  <si>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</si>
  <si>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</si>
  <si>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</si>
  <si>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</si>
  <si>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</si>
  <si>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</si>
  <si>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</si>
  <si>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</si>
  <si>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</si>
  <si>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</si>
  <si>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</si>
  <si>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</si>
  <si>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</si>
  <si>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</si>
  <si>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</si>
  <si>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</si>
  <si>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</si>
  <si>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</si>
  <si>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</si>
  <si>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</si>
  <si>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</si>
  <si>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</si>
  <si>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</si>
  <si>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</si>
  <si>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</si>
  <si>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</si>
  <si>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</si>
  <si>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</si>
  <si>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</si>
  <si>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</si>
  <si>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</si>
  <si>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</si>
  <si>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</si>
  <si>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</si>
  <si>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</si>
  <si>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</si>
  <si>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</si>
  <si>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</si>
  <si>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</si>
  <si>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</si>
  <si>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</si>
  <si>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</si>
  <si>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</si>
  <si>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</si>
  <si>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</si>
  <si>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</si>
  <si>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</si>
  <si>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</si>
  <si>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</si>
  <si>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</si>
  <si>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</si>
  <si>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</si>
  <si>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</si>
  <si>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</si>
  <si>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</si>
  <si>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</si>
  <si>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</si>
  <si>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</si>
  <si>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</si>
  <si>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</si>
  <si>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</si>
  <si>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</si>
  <si>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</si>
  <si>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</si>
  <si>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</si>
  <si>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</si>
  <si>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</si>
  <si>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</si>
  <si>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</si>
  <si>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</si>
  <si>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</si>
  <si>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</si>
  <si>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</si>
  <si>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</si>
  <si>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</si>
  <si>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</si>
  <si>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</si>
  <si>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</si>
  <si>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</si>
  <si>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</si>
  <si>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</si>
  <si>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</si>
  <si>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</si>
  <si>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</si>
  <si>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</si>
  <si>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</si>
  <si>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</si>
  <si>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</si>
  <si>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</si>
  <si>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</si>
  <si>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</si>
  <si>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</si>
  <si>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</si>
  <si>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</si>
  <si>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</si>
  <si>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</si>
  <si>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</si>
  <si>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</si>
  <si>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</si>
  <si>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</si>
  <si>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</si>
  <si>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</si>
  <si>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</si>
  <si>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</si>
  <si>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</si>
  <si>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</si>
  <si>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</si>
  <si>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</si>
  <si>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</si>
  <si>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</si>
  <si>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</si>
  <si>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</si>
  <si>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</si>
  <si>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</si>
  <si>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</si>
  <si>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</si>
  <si>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</si>
  <si>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</si>
  <si>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</si>
  <si>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</si>
  <si>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</si>
  <si>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</si>
  <si>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</si>
  <si>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</si>
  <si>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</si>
  <si>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</si>
  <si>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</si>
  <si>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</si>
  <si>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</si>
  <si>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</si>
  <si>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</si>
  <si>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</si>
  <si>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</si>
  <si>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</si>
  <si>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</si>
  <si>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</si>
  <si>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</si>
  <si>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</si>
  <si>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</si>
  <si>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</si>
  <si>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</si>
  <si>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</si>
  <si>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</si>
  <si>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</si>
  <si>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</si>
  <si>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</si>
  <si>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</si>
  <si>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</si>
  <si>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</si>
  <si>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</si>
  <si>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</si>
  <si>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</si>
  <si>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</si>
  <si>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</si>
  <si>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</si>
  <si>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</si>
  <si>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</si>
  <si>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</si>
  <si>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</si>
  <si>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</si>
  <si>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</si>
  <si>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</si>
  <si>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</si>
  <si>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</si>
  <si>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</si>
  <si>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</si>
  <si>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</si>
  <si>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</si>
  <si>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</si>
  <si>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</si>
  <si>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</si>
  <si>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</si>
  <si>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</si>
  <si>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</si>
  <si>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</si>
  <si>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</si>
  <si>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</si>
  <si>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</si>
  <si>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</si>
  <si>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</si>
  <si>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</si>
  <si>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</si>
  <si>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</si>
  <si>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</si>
  <si>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</si>
  <si>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</si>
  <si>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</si>
  <si>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</si>
  <si>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</si>
  <si>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</si>
  <si>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</si>
  <si>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</si>
  <si>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</si>
  <si>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</si>
  <si>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</si>
  <si>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</si>
  <si>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</si>
  <si>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</si>
  <si>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</si>
  <si>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</si>
  <si>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</si>
  <si>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</si>
  <si>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</si>
  <si>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</si>
  <si>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</si>
  <si>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</si>
  <si>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</si>
  <si>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</si>
  <si>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</si>
  <si>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</si>
  <si>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</si>
  <si>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</si>
  <si>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</si>
  <si>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</si>
  <si>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</si>
  <si>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</si>
  <si>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</si>
  <si>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</si>
  <si>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</si>
  <si>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</si>
  <si>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</si>
  <si>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</si>
  <si>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</si>
  <si>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</si>
  <si>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</si>
  <si>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</si>
  <si>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</si>
  <si>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</si>
  <si>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</si>
  <si>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</si>
  <si>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</si>
  <si>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</si>
  <si>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</si>
  <si>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</si>
  <si>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</si>
  <si>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</si>
  <si>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</si>
  <si>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</si>
  <si>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</si>
  <si>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</si>
  <si>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</si>
  <si>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</si>
  <si>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</si>
  <si>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</si>
  <si>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</si>
  <si>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</si>
  <si>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</si>
  <si>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</si>
  <si>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</si>
  <si>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</si>
  <si>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</si>
  <si>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</si>
  <si>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</si>
  <si>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</si>
  <si>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</si>
  <si>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</si>
  <si>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</si>
  <si>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</si>
  <si>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</si>
  <si>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</si>
  <si>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</si>
  <si>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</si>
  <si>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</si>
  <si>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</si>
  <si>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</si>
  <si>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</si>
  <si>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</si>
  <si>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</si>
  <si>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</si>
  <si>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</si>
  <si>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</si>
  <si>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</si>
  <si>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</si>
  <si>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</si>
  <si>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</si>
  <si>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</si>
  <si>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</si>
  <si>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</si>
  <si>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</si>
  <si>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</si>
  <si>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</si>
  <si>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</si>
  <si>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</si>
  <si>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</si>
  <si>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</si>
  <si>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</si>
  <si>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</si>
  <si>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</si>
  <si>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</si>
  <si>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</si>
  <si>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</si>
  <si>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</si>
  <si>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</si>
  <si>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</si>
  <si>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</si>
  <si>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</si>
  <si>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</si>
  <si>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</si>
  <si>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</si>
  <si>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</si>
  <si>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</si>
  <si>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</si>
  <si>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</si>
  <si>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</si>
  <si>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</si>
  <si>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</si>
  <si>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</si>
  <si>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</si>
  <si>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</si>
  <si>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</si>
  <si>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</si>
  <si>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</si>
  <si>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</si>
  <si>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</si>
  <si>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</si>
  <si>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</si>
  <si>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</si>
  <si>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</si>
  <si>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</si>
  <si>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</si>
  <si>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</si>
  <si>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</si>
  <si>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</si>
  <si>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</si>
  <si>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</si>
  <si>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</si>
  <si>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</si>
  <si>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</si>
  <si>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</si>
  <si>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</si>
  <si>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</si>
  <si>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</si>
  <si>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</si>
  <si>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</si>
  <si>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</si>
  <si>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</si>
  <si>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</si>
  <si>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</si>
  <si>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</si>
  <si>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</si>
  <si>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</si>
  <si>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</si>
  <si>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</si>
  <si>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</si>
  <si>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</si>
  <si>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</si>
  <si>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</si>
  <si>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</si>
  <si>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</si>
  <si>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</si>
  <si>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</si>
  <si>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</si>
  <si>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</si>
  <si>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</si>
  <si>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</si>
  <si>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</si>
  <si>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</si>
  <si>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</si>
  <si>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</si>
  <si>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</si>
  <si>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</si>
  <si>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</si>
  <si>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</si>
  <si>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</si>
  <si>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</si>
  <si>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</si>
  <si>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</si>
  <si>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</si>
  <si>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</si>
  <si>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</si>
  <si>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</si>
  <si>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</si>
  <si>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</si>
  <si>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</si>
  <si>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</si>
  <si>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</si>
  <si>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</si>
  <si>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</si>
  <si>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</si>
  <si>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</si>
  <si>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</si>
  <si>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</si>
  <si>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</si>
  <si>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</si>
  <si>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</si>
  <si>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</si>
  <si>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</si>
  <si>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</si>
  <si>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</si>
  <si>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</si>
  <si>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</si>
  <si>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</si>
  <si>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</si>
  <si>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</si>
  <si>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</si>
  <si>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</si>
  <si>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</si>
  <si>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</si>
  <si>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</si>
  <si>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</si>
  <si>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</si>
  <si>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</si>
  <si>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</si>
  <si>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</si>
  <si>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</si>
  <si>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</si>
  <si>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</si>
  <si>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</si>
  <si>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</si>
  <si>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</si>
  <si>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</si>
  <si>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</si>
  <si>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</si>
  <si>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</si>
  <si>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</si>
  <si>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</si>
  <si>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</si>
  <si>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</si>
  <si>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</si>
  <si>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</si>
  <si>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</si>
  <si>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</si>
  <si>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</si>
  <si>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</si>
  <si>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</si>
  <si>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</si>
  <si>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</si>
  <si>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</si>
  <si>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</si>
  <si>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</si>
  <si>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</si>
  <si>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</si>
  <si>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</si>
  <si>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</si>
  <si>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</si>
  <si>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</si>
  <si>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</si>
  <si>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</si>
  <si>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</si>
  <si>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</si>
  <si>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</si>
  <si>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</si>
  <si>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</si>
  <si>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</si>
  <si>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</si>
  <si>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</si>
  <si>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</si>
  <si>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</si>
  <si>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</si>
  <si>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</si>
  <si>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</si>
  <si>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</si>
  <si>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</si>
  <si>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</si>
  <si>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</si>
  <si>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</si>
  <si>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</si>
  <si>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</si>
  <si>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</si>
  <si>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</si>
  <si>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</si>
  <si>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</si>
  <si>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</si>
  <si>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</si>
  <si>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</si>
  <si>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</si>
  <si>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</si>
  <si>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</si>
  <si>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</si>
  <si>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</si>
  <si>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</si>
  <si>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</si>
  <si>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</si>
  <si>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</si>
  <si>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</si>
  <si>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</si>
  <si>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</si>
  <si>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</si>
  <si>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</si>
  <si>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</si>
  <si>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</si>
  <si>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</si>
  <si>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</si>
  <si>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</si>
  <si>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</si>
  <si>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</si>
  <si>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</si>
  <si>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</si>
  <si>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</si>
  <si>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</si>
  <si>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</si>
  <si>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</si>
  <si>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</si>
  <si>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</si>
  <si>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</si>
  <si>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</si>
  <si>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</si>
  <si>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</si>
  <si>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</si>
  <si>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</si>
  <si>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</si>
  <si>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</si>
  <si>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</si>
  <si>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</si>
  <si>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</si>
  <si>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</si>
  <si>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</si>
  <si>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</si>
  <si>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</si>
  <si>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</si>
  <si>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</si>
  <si>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</si>
  <si>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</si>
  <si>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</si>
  <si>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</si>
  <si>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</si>
  <si>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</si>
  <si>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</si>
  <si>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</si>
  <si>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</si>
  <si>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</si>
  <si>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</si>
  <si>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</si>
  <si>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</si>
  <si>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</si>
  <si>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</si>
  <si>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</si>
  <si>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</si>
  <si>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</si>
  <si>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</si>
  <si>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</si>
  <si>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</si>
  <si>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</si>
  <si>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</si>
  <si>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</si>
  <si>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</si>
  <si>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</si>
  <si>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</si>
  <si>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</si>
  <si>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</si>
  <si>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</si>
  <si>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</si>
  <si>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</si>
  <si>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</si>
  <si>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</si>
  <si>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</si>
  <si>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</si>
  <si>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</si>
  <si>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</si>
  <si>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</si>
  <si>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</si>
  <si>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</si>
  <si>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</si>
  <si>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</si>
  <si>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</si>
  <si>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</si>
  <si>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</si>
  <si>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</si>
  <si>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</si>
  <si>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</si>
  <si>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</si>
  <si>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</si>
  <si>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</si>
  <si>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</si>
  <si>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</si>
  <si>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</si>
  <si>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</si>
  <si>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</si>
  <si>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</si>
  <si>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</si>
  <si>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</si>
  <si>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</si>
  <si>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</si>
  <si>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</si>
  <si>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</si>
  <si>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</si>
  <si>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</si>
  <si>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</si>
  <si>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</si>
  <si>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</si>
  <si>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</si>
  <si>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</si>
  <si>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</si>
  <si>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</si>
  <si>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</si>
  <si>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</si>
  <si>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</si>
  <si>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</si>
  <si>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</si>
  <si>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</si>
  <si>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</si>
  <si>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</si>
  <si>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</si>
  <si>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</si>
  <si>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</si>
  <si>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</si>
  <si>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</si>
  <si>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</si>
  <si>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</si>
  <si>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</si>
  <si>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</si>
  <si>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</si>
  <si>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</si>
  <si>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</si>
  <si>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</si>
  <si>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</si>
  <si>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</si>
  <si>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</si>
  <si>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</si>
  <si>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</si>
  <si>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</si>
  <si>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</si>
  <si>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</si>
  <si>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</si>
  <si>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</si>
  <si>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</si>
  <si>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</si>
  <si>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</si>
  <si>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</si>
  <si>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</si>
  <si>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</si>
  <si>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</si>
  <si>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</si>
  <si>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</si>
  <si>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</si>
  <si>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</si>
  <si>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</si>
  <si>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</si>
  <si>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</si>
  <si>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</si>
  <si>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</si>
  <si>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</si>
  <si>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</si>
  <si>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</si>
  <si>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</si>
  <si>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</si>
  <si>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</si>
  <si>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</si>
  <si>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</si>
  <si>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</si>
  <si>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</si>
  <si>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</si>
  <si>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</si>
  <si>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</si>
  <si>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</si>
  <si>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</si>
  <si>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</si>
  <si>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</si>
  <si>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</si>
  <si>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</si>
  <si>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</si>
  <si>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</si>
  <si>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</si>
  <si>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</si>
  <si>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</si>
  <si>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</si>
  <si>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</si>
  <si>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</si>
  <si>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</si>
  <si>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</si>
  <si>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</si>
  <si>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</si>
  <si>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</si>
  <si>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</si>
  <si>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</si>
  <si>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</si>
  <si>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</si>
  <si>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</si>
  <si>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</si>
  <si>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</si>
  <si>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</si>
  <si>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</si>
  <si>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</si>
  <si>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</si>
  <si>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</si>
  <si>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</si>
  <si>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</si>
  <si>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</si>
  <si>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</si>
  <si>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</si>
  <si>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</si>
  <si>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</si>
  <si>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</si>
  <si>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</si>
  <si>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</si>
  <si>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</si>
  <si>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</si>
  <si>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</si>
  <si>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</si>
  <si>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</si>
  <si>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</si>
  <si>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</si>
  <si>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</si>
  <si>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</si>
  <si>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</si>
  <si>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</si>
  <si>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</si>
  <si>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</si>
  <si>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</si>
  <si>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</si>
  <si>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</si>
  <si>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</si>
  <si>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</si>
  <si>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</si>
  <si>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</si>
  <si>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</si>
  <si>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</si>
  <si>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</si>
  <si>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</si>
  <si>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</si>
  <si>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</si>
  <si>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</si>
  <si>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</si>
  <si>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</si>
  <si>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</si>
  <si>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</si>
  <si>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</si>
  <si>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</si>
  <si>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</si>
  <si>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</si>
  <si>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</si>
  <si>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</si>
  <si>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</si>
  <si>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</si>
  <si>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</si>
  <si>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</si>
  <si>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</si>
  <si>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</si>
  <si>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</si>
  <si>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</si>
  <si>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</si>
  <si>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</si>
  <si>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</si>
  <si>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</si>
  <si>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</si>
  <si>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</si>
  <si>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</si>
  <si>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</si>
  <si>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</si>
  <si>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</si>
  <si>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</si>
  <si>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</si>
  <si>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</si>
  <si>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</si>
  <si>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</si>
  <si>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</si>
  <si>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</si>
  <si>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</si>
  <si>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</si>
  <si>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</si>
  <si>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</si>
  <si>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</si>
  <si>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</si>
  <si>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</si>
  <si>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</si>
  <si>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</si>
  <si>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</si>
  <si>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</si>
  <si>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</si>
  <si>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</si>
  <si>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</si>
  <si>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</si>
  <si>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</si>
  <si>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</si>
  <si>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</si>
  <si>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</si>
  <si>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</si>
  <si>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</si>
  <si>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</si>
  <si>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</si>
  <si>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</si>
  <si>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</si>
  <si>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</si>
  <si>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</si>
  <si>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</si>
  <si>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</si>
  <si>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</si>
  <si>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</si>
  <si>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</si>
  <si>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</si>
  <si>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</si>
  <si>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</si>
  <si>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</si>
  <si>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</si>
  <si>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</si>
  <si>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</si>
  <si>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</si>
  <si>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</si>
  <si>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</si>
  <si>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</si>
  <si>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</si>
  <si>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</si>
  <si>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</si>
  <si>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</si>
  <si>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</si>
  <si>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</si>
  <si>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</si>
  <si>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</si>
  <si>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</si>
  <si>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</si>
  <si>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</si>
  <si>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</si>
  <si>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</si>
  <si>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</si>
  <si>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</si>
  <si>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</si>
  <si>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</si>
  <si>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王鹏</t>
  </si>
  <si>
    <t>抵押</t>
  </si>
  <si>
    <t>抵押价格</t>
  </si>
  <si>
    <t>企业</t>
  </si>
  <si>
    <t>出让</t>
  </si>
  <si>
    <t>商业</t>
  </si>
  <si>
    <t>Ⅵ-通1</t>
  </si>
  <si>
    <t>地上</t>
  </si>
  <si>
    <t>办公楼</t>
  </si>
  <si>
    <t>底商</t>
  </si>
  <si>
    <t>地下</t>
  </si>
  <si>
    <t>车库—办公</t>
  </si>
  <si>
    <t>车库</t>
  </si>
  <si>
    <t>办公</t>
    <phoneticPr fontId="7" type="noConversion"/>
  </si>
  <si>
    <t>商业</t>
    <phoneticPr fontId="7" type="noConversion"/>
  </si>
  <si>
    <t>地下车库</t>
    <phoneticPr fontId="7" type="noConversion"/>
  </si>
  <si>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</si>
  <si>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</si>
  <si>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</si>
  <si>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</si>
  <si>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</si>
  <si>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地下车库</t>
    </r>
    <phoneticPr fontId="14" type="noConversion"/>
  </si>
  <si>
    <t>不动产收益法-办公</t>
  </si>
  <si>
    <t>不动产收益法-商业</t>
  </si>
  <si>
    <t>不动产收益法-地下车库</t>
  </si>
  <si>
    <t>地块名称</t>
  </si>
  <si>
    <t>城市</t>
  </si>
  <si>
    <t>用地性质</t>
  </si>
  <si>
    <t>建设用地面积(㎡)</t>
  </si>
  <si>
    <t>规划建筑面积(㎡)</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</si>
  <si>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</si>
  <si>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</si>
  <si>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</si>
  <si>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</si>
  <si>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</si>
  <si>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</si>
  <si>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</si>
  <si>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</si>
  <si>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</si>
  <si>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</si>
  <si>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</si>
  <si>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</si>
  <si>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</si>
  <si>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</si>
  <si>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</si>
  <si>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</si>
  <si>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</si>
  <si>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</si>
  <si>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</si>
  <si>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</si>
  <si>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</si>
  <si>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</si>
  <si>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</si>
  <si>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</si>
  <si>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</si>
  <si>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</si>
  <si>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</si>
  <si>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</si>
  <si>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</si>
  <si>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</si>
  <si>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</si>
  <si>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</si>
  <si>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</si>
  <si>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</si>
  <si>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</si>
  <si>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</si>
  <si>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</si>
  <si>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</si>
  <si>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</si>
  <si>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</si>
  <si>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</si>
  <si>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</si>
  <si>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</si>
  <si>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</si>
  <si>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26" type="noConversion"/>
  </si>
  <si>
    <t>正常</t>
    <phoneticPr fontId="26" type="noConversion"/>
  </si>
  <si>
    <t>50</t>
    <phoneticPr fontId="26" type="noConversion"/>
  </si>
  <si>
    <t>商业、综合</t>
  </si>
  <si>
    <t>商业、综合</t>
    <phoneticPr fontId="26" type="noConversion"/>
  </si>
  <si>
    <t>一般</t>
    <phoneticPr fontId="26" type="noConversion"/>
  </si>
  <si>
    <t>一般</t>
    <phoneticPr fontId="26" type="noConversion"/>
  </si>
  <si>
    <t>一般</t>
    <phoneticPr fontId="26" type="noConversion"/>
  </si>
  <si>
    <t>较好</t>
    <phoneticPr fontId="26" type="noConversion"/>
  </si>
  <si>
    <t>较好</t>
    <phoneticPr fontId="26" type="noConversion"/>
  </si>
  <si>
    <t>较好</t>
    <phoneticPr fontId="26" type="noConversion"/>
  </si>
  <si>
    <t>七通</t>
    <phoneticPr fontId="26" type="noConversion"/>
  </si>
  <si>
    <t>七通</t>
    <phoneticPr fontId="26" type="noConversion"/>
  </si>
  <si>
    <t>双面临街</t>
  </si>
  <si>
    <t>2015-4</t>
    <phoneticPr fontId="26" type="noConversion"/>
  </si>
  <si>
    <t>2015-3</t>
    <phoneticPr fontId="26" type="noConversion"/>
  </si>
  <si>
    <t>2015-2</t>
    <phoneticPr fontId="26" type="noConversion"/>
  </si>
  <si>
    <t>2015-1</t>
    <phoneticPr fontId="26" type="noConversion"/>
  </si>
  <si>
    <t>2014-4</t>
    <phoneticPr fontId="26" type="noConversion"/>
  </si>
  <si>
    <t>2014-3</t>
    <phoneticPr fontId="26" type="noConversion"/>
  </si>
  <si>
    <t>2014-2</t>
    <phoneticPr fontId="26" type="noConversion"/>
  </si>
  <si>
    <t>比较法-住宅、综合</t>
  </si>
  <si>
    <t>剩余法-待开发</t>
  </si>
  <si>
    <t>楼面地价</t>
  </si>
  <si>
    <t>已全部缴纳</t>
  </si>
  <si>
    <t>土地（套用方法）</t>
  </si>
  <si>
    <t>自定义</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</si>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</sst>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19"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145" fillId="0" borderId="0" xfId="1" applyAlignment="1"/>
    <xf numFmtId="0" fontId="145" fillId="0" borderId="0" xfId="1" applyFill="1" applyAlignment="1"/>
    <xf numFmtId="0" fontId="145" fillId="9" borderId="0" xfId="1" applyFill="1" applyAlignment="1"/>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2659</v>
      </c>
      <c r="B1" s="2893" t="s">
        <v>2756</v>
      </c>
    </row>
    <row r="2" spans="1:55" s="2897" customFormat="1" ht="15" thickTop="1">
      <c r="A2" s="2895" t="s">
        <v>2663</v>
      </c>
      <c r="B2" s="2896" t="str">
        <f>'预评函-封皮'!B37</f>
        <v>北京市出让国有建设用地使用权抵押价格预评估</v>
      </c>
      <c r="AX2" s="2898"/>
      <c r="AZ2" s="2898"/>
      <c r="BA2" s="2899"/>
      <c r="BC2" s="2899"/>
    </row>
    <row r="3" spans="1:55" s="2900" customFormat="1">
      <c r="A3" s="2879" t="s">
        <v>2664</v>
      </c>
      <c r="B3" s="2882">
        <f>'预评函-封皮'!B40</f>
        <v>0</v>
      </c>
    </row>
    <row r="4" spans="1:55" s="2881" customFormat="1">
      <c r="A4" s="2879" t="s">
        <v>2665</v>
      </c>
      <c r="B4" s="2880" t="str">
        <f>'预评函-封皮'!B46</f>
        <v>郑燚、王鹏</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2666</v>
      </c>
      <c r="B5" s="2902" t="str">
        <f>'预评函-封皮'!B49</f>
        <v>康正预评字号</v>
      </c>
    </row>
    <row r="6" spans="1:55" s="2903" customFormat="1" ht="15" thickTop="1">
      <c r="A6" s="2895" t="s">
        <v>2708</v>
      </c>
      <c r="B6" s="2896" t="str">
        <f>'预评函-1'!A4</f>
        <v>受贵公司委托，我公司对北京市出让国有建设用地使用权抵押价格进行了预评估。</v>
      </c>
      <c r="AM6" s="2904"/>
    </row>
    <row r="7" spans="1:55" s="2878" customFormat="1">
      <c r="A7" s="2879" t="s">
        <v>2660</v>
      </c>
      <c r="B7" s="2880" t="str">
        <f>'预评函-1'!A6</f>
        <v>估价对象为使用的、位于北京市出让国有建设用地使用权。根据《国有土地使用证》[]，估价对象（分摊）出让国有建设用地使用权面积为15721.95平方米。根据《建设工程规划许可证》[]、《出让合同》[]，估价对象规划建筑面积为147819.42平方米。</v>
      </c>
    </row>
    <row r="8" spans="1:55" s="2878" customFormat="1">
      <c r="A8" s="2879" t="s">
        <v>2661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2711</v>
      </c>
      <c r="B9" s="288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8" customFormat="1">
      <c r="A10" s="2879" t="s">
        <v>2662</v>
      </c>
      <c r="B10" s="2880" t="str">
        <f>'预评函-1'!A11</f>
        <v>2018年10月17日</v>
      </c>
    </row>
    <row r="11" spans="1:55" s="2878" customFormat="1">
      <c r="A11" s="2879" t="s">
        <v>2668</v>
      </c>
      <c r="B11" s="2880" t="str">
        <f>'预评函-1'!A14</f>
        <v>根据《国有土地使用证》[]，本次评估估价对象证载（地类）用途为。</v>
      </c>
    </row>
    <row r="12" spans="1:55" s="2878" customFormat="1">
      <c r="A12" s="2879" t="s">
        <v>2669</v>
      </c>
      <c r="B12" s="2880" t="str">
        <f>'预评函-1'!A15</f>
        <v>本次评估设定用途即为证载用途。</v>
      </c>
    </row>
    <row r="13" spans="1:55" s="2878" customFormat="1">
      <c r="A13" s="2879" t="s">
        <v>2670</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2671</v>
      </c>
      <c r="B14" s="2880" t="str">
        <f>'预评函-1'!A18</f>
        <v>。本次评估设定土地开发程度为红线外市政基础设施达“七通”、宗地红线内场地平整。</v>
      </c>
    </row>
    <row r="15" spans="1:55" s="2878" customFormat="1">
      <c r="A15" s="2879" t="s">
        <v>2667</v>
      </c>
      <c r="B15" s="2880" t="str">
        <f>'预评函-1'!A20</f>
        <v>根据《国有土地使用证》[]，估价对象（分摊）出让国有建设用地使用权面积为15721.95平方米。根据《建设工程规划许可证》[]、《出让合同》[]，估价对象规划建筑面积为147819.42平方米。</v>
      </c>
    </row>
    <row r="16" spans="1:55" s="2878" customFormat="1">
      <c r="A16" s="2879" t="s">
        <v>2672</v>
      </c>
      <c r="B16" s="288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地下车库2062年11月4日。截至估价期日，出让国有建设用地使用权剩余土地使用年限为。</v>
      </c>
    </row>
    <row r="17" spans="1:48" s="2878" customFormat="1">
      <c r="A17" s="2879" t="s">
        <v>2673</v>
      </c>
      <c r="B17" s="2880" t="str">
        <f>'预评函-1'!A23</f>
        <v>本次评估设定估价对象剩余土地使用年限为。</v>
      </c>
    </row>
    <row r="18" spans="1:48" s="2878" customFormat="1">
      <c r="A18" s="2879" t="s">
        <v>2674</v>
      </c>
      <c r="B18" s="2880" t="str">
        <f>'预评函-1'!A25</f>
        <v>本次估价的“出让国有建设用地使用权价格”是指在估价对象土地所有权为国家所有，使用权性质为出让，在公开市场条件下、于估价期日2018年10月17日，在规划利用条件下、设定土地开发程度为红线外“七通”、宗地内场地，设定用途为，剩余土地使用年限为的出让国有建设用地使用权价格。</v>
      </c>
    </row>
    <row r="19" spans="1:48" s="2878" customFormat="1">
      <c r="A19" s="2879" t="s">
        <v>2675</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2676</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2677</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2678</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2679</v>
      </c>
      <c r="B23" s="2880" t="str">
        <f>'预评函-2'!K2</f>
        <v>估价期日：2018年10月17日</v>
      </c>
    </row>
    <row r="24" spans="1:48">
      <c r="A24" s="2879" t="s">
        <v>2680</v>
      </c>
      <c r="B24" s="2880" t="str">
        <f>'预评函-2'!R2</f>
        <v>估价期日的国有建设用地使用权性质：出让</v>
      </c>
    </row>
    <row r="25" spans="1:48">
      <c r="A25" s="2879" t="s">
        <v>2736</v>
      </c>
      <c r="B25" s="2880" t="str">
        <f>'预评函-2'!A3</f>
        <v>估价期日土地使用者</v>
      </c>
    </row>
    <row r="26" spans="1:48">
      <c r="A26" s="2879" t="s">
        <v>2712</v>
      </c>
      <c r="B26" s="2880" t="str">
        <f>'预评函-2'!A5</f>
        <v>中信开发</v>
      </c>
    </row>
    <row r="27" spans="1:48">
      <c r="A27" s="2879" t="s">
        <v>2737</v>
      </c>
      <c r="B27" s="2880" t="str">
        <f>'预评函-2'!B3</f>
        <v>宗地编号/不动产单元号</v>
      </c>
    </row>
    <row r="28" spans="1:48">
      <c r="A28" s="2879" t="s">
        <v>2713</v>
      </c>
      <c r="B28" s="2880" t="str">
        <f>'预评函-2'!B5</f>
        <v>11111111111</v>
      </c>
    </row>
    <row r="29" spans="1:48">
      <c r="A29" s="2879" t="s">
        <v>2739</v>
      </c>
      <c r="B29" s="2880">
        <f>'预评函-2'!C5</f>
        <v>22</v>
      </c>
    </row>
    <row r="30" spans="1:48">
      <c r="A30" s="2879" t="s">
        <v>2740</v>
      </c>
      <c r="B30" s="2880" t="str">
        <f>'预评函-2'!D3</f>
        <v>土地使用证编号/不动产权证书编号</v>
      </c>
    </row>
    <row r="31" spans="1:48">
      <c r="A31" s="2879" t="s">
        <v>2714</v>
      </c>
      <c r="B31" s="2880" t="str">
        <f>'预评函-2'!D5</f>
        <v>京国土字第111号</v>
      </c>
    </row>
    <row r="32" spans="1:48">
      <c r="A32" s="2879" t="s">
        <v>2715</v>
      </c>
      <c r="B32" s="2880">
        <f>'预评函-2'!E5</f>
        <v>0</v>
      </c>
      <c r="AV32" s="2884"/>
    </row>
    <row r="33" spans="1:2">
      <c r="A33" s="2879" t="s">
        <v>2716</v>
      </c>
      <c r="B33" s="2880">
        <f>'预评函-2'!F5</f>
        <v>258</v>
      </c>
    </row>
    <row r="34" spans="1:2">
      <c r="A34" s="2879" t="s">
        <v>2717</v>
      </c>
      <c r="B34" s="2880">
        <f>'预评函-2'!G5</f>
        <v>0</v>
      </c>
    </row>
    <row r="35" spans="1:2">
      <c r="A35" s="2879" t="s">
        <v>2718</v>
      </c>
      <c r="B35" s="2880">
        <f>'预评函-2'!H5</f>
        <v>1.5</v>
      </c>
    </row>
    <row r="36" spans="1:2">
      <c r="A36" s="2879" t="s">
        <v>2719</v>
      </c>
      <c r="B36" s="2880">
        <f>'预评函-2'!I5</f>
        <v>1.5</v>
      </c>
    </row>
    <row r="37" spans="1:2">
      <c r="A37" s="2879" t="s">
        <v>2720</v>
      </c>
      <c r="B37" s="2880">
        <f>'预评函-2'!J5</f>
        <v>1.5</v>
      </c>
    </row>
    <row r="38" spans="1:2">
      <c r="A38" s="2879" t="s">
        <v>2721</v>
      </c>
      <c r="B38" s="2880" t="str">
        <f>'预评函-2'!K5</f>
        <v>红线外七通、宗地红线内</v>
      </c>
    </row>
    <row r="39" spans="1:2">
      <c r="A39" s="2879" t="s">
        <v>2722</v>
      </c>
      <c r="B39" s="2880" t="str">
        <f>'预评函-2'!L5</f>
        <v>红线外七通、宗地红线内场地</v>
      </c>
    </row>
    <row r="40" spans="1:2">
      <c r="A40" s="2879" t="s">
        <v>2741</v>
      </c>
      <c r="B40" s="2880" t="str">
        <f>'预评函-2'!M3</f>
        <v>（剩余）土地使用年限/年</v>
      </c>
    </row>
    <row r="41" spans="1:2">
      <c r="A41" s="2879" t="s">
        <v>2723</v>
      </c>
      <c r="B41" s="2880">
        <f>'预评函-2'!M5</f>
        <v>0</v>
      </c>
    </row>
    <row r="42" spans="1:2">
      <c r="A42" s="2879" t="s">
        <v>2742</v>
      </c>
      <c r="B42" s="2880" t="str">
        <f>'预评函-2'!N3</f>
        <v>（分摊）出让国有建设用地使用权面积/㎡</v>
      </c>
    </row>
    <row r="43" spans="1:2">
      <c r="A43" s="2879" t="s">
        <v>2724</v>
      </c>
      <c r="B43" s="2880">
        <f>'预评函-2'!N5</f>
        <v>15721.95</v>
      </c>
    </row>
    <row r="44" spans="1:2">
      <c r="A44" s="2879" t="s">
        <v>2743</v>
      </c>
      <c r="B44" s="2880" t="str">
        <f>'预评函-2'!O3</f>
        <v>规划建筑面积/㎡</v>
      </c>
    </row>
    <row r="45" spans="1:2">
      <c r="A45" s="2879" t="s">
        <v>2725</v>
      </c>
      <c r="B45" s="2880">
        <f>'预评函-2'!O5</f>
        <v>147819.42000000001</v>
      </c>
    </row>
    <row r="46" spans="1:2">
      <c r="A46" s="2879" t="s">
        <v>2726</v>
      </c>
      <c r="B46" s="2880">
        <f ca="1">'预评函-2'!P5</f>
        <v>98195</v>
      </c>
    </row>
    <row r="47" spans="1:2">
      <c r="A47" s="2879" t="s">
        <v>2727</v>
      </c>
      <c r="B47" s="2880">
        <f ca="1">'预评函-2'!Q5</f>
        <v>10444</v>
      </c>
    </row>
    <row r="48" spans="1:2">
      <c r="A48" s="2879" t="s">
        <v>2728</v>
      </c>
      <c r="B48" s="2880">
        <f ca="1">'预评函-2'!R5</f>
        <v>154381</v>
      </c>
    </row>
    <row r="49" spans="1:2">
      <c r="A49" s="2879" t="s">
        <v>2744</v>
      </c>
      <c r="B49" s="2880" t="str">
        <f>'预评函-2'!A6</f>
        <v>抵押价格</v>
      </c>
    </row>
    <row r="50" spans="1:2">
      <c r="A50" s="2879" t="s">
        <v>2729</v>
      </c>
      <c r="B50" s="2880">
        <f ca="1">'预评函-2'!R6</f>
        <v>154381</v>
      </c>
    </row>
    <row r="51" spans="1:2">
      <c r="A51" s="2879" t="s">
        <v>2745</v>
      </c>
      <c r="B51" s="2880" t="str">
        <f>'预评函-2'!A7</f>
        <v>——</v>
      </c>
    </row>
    <row r="52" spans="1:2">
      <c r="A52" s="2879" t="s">
        <v>2730</v>
      </c>
      <c r="B52" s="2880" t="str">
        <f>'预评函-2'!R7</f>
        <v>——</v>
      </c>
    </row>
    <row r="53" spans="1:2">
      <c r="A53" s="2879" t="s">
        <v>2746</v>
      </c>
      <c r="B53" s="2880">
        <f>'预评函-2'!A8</f>
        <v>0</v>
      </c>
    </row>
    <row r="54" spans="1:2" s="2894" customFormat="1" ht="15" thickBot="1">
      <c r="A54" s="2901" t="s">
        <v>2731</v>
      </c>
      <c r="B54" s="2902" t="str">
        <f>'预评函-2'!R8</f>
        <v>——</v>
      </c>
    </row>
    <row r="55" spans="1:2" ht="15" thickTop="1">
      <c r="A55" s="2890" t="s">
        <v>2681</v>
      </c>
      <c r="B55" s="2891" t="str">
        <f>'预评函-3'!A2</f>
        <v>1.权利限制：根据估价对象《不动产权证书》原件、《国有土地使用权》复印件，截至估价期日，估价对象抵押权未见登记。未设定租赁等其他他项权利。</v>
      </c>
    </row>
    <row r="56" spans="1:2">
      <c r="A56" s="2879" t="s">
        <v>2682</v>
      </c>
      <c r="B56" s="2880" t="str">
        <f>'预评函-3'!A3</f>
        <v>2.基础设施条件：估价对象实际开发程度为红线外七通、宗地红线内；本次评估设定开发程度为红线外七通、宗地红线内场地。</v>
      </c>
    </row>
    <row r="57" spans="1:2">
      <c r="A57" s="2879" t="s">
        <v>2683</v>
      </c>
      <c r="B57" s="2880" t="str">
        <f>'预评函-3'!A4</f>
        <v>3.估价规划限制条件：详见《建设工程规划许可证》[]、《出让合同》[]。</v>
      </c>
    </row>
    <row r="58" spans="1:2" s="2894" customFormat="1" ht="15" thickBot="1">
      <c r="A58" s="2901" t="s">
        <v>2732</v>
      </c>
      <c r="B58" s="2902" t="str">
        <f>'预评函-3'!A5</f>
        <v>4.影响价格的其他限定条件：无。</v>
      </c>
    </row>
    <row r="59" spans="1:2" ht="15" thickTop="1">
      <c r="A59" s="2890" t="s">
        <v>2684</v>
      </c>
      <c r="B59" s="2891" t="str">
        <f>'预评函-3'!A8</f>
        <v>2.本《评估意见函》仅供金融机构进行内部审核使用，不做其他目的之用。</v>
      </c>
    </row>
    <row r="60" spans="1:2">
      <c r="A60" s="2879" t="s">
        <v>2685</v>
      </c>
      <c r="B60" s="2880" t="str">
        <f>'预评函-3'!A9</f>
        <v>3.抵押双方在办理抵押登记手续时，应使用本公司出具的正式《土地估价报告》，特提请报告使用者注意。</v>
      </c>
    </row>
    <row r="61" spans="1:2">
      <c r="A61" s="2879" t="s">
        <v>2687</v>
      </c>
      <c r="B61" s="2880" t="str">
        <f>'预评函-3'!A10</f>
        <v>4.估价师所知悉的法定优先受偿款情况为：</v>
      </c>
    </row>
    <row r="62" spans="1:2">
      <c r="A62" s="2879" t="s">
        <v>2686</v>
      </c>
      <c r="B62" s="2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2689</v>
      </c>
      <c r="B64" s="2885" t="str">
        <f>'预评函-3'!A13</f>
        <v>（3）。</v>
      </c>
    </row>
    <row r="65" spans="1:2">
      <c r="A65" s="2879" t="s">
        <v>2690</v>
      </c>
      <c r="B65" s="2886" t="str">
        <f>'预评函-3'!A14</f>
        <v>综上，本次评估不存在估价师知悉的法定优先受偿款</v>
      </c>
    </row>
    <row r="66" spans="1:2">
      <c r="A66" s="2879" t="s">
        <v>2691</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2692</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2695</v>
      </c>
      <c r="B68" s="2905">
        <f>'预评函-3'!D30</f>
        <v>42558</v>
      </c>
    </row>
    <row r="69" spans="1:2" ht="15" thickTop="1">
      <c r="A69" s="2890" t="s">
        <v>2693</v>
      </c>
      <c r="B69" s="2891" t="str">
        <f>'预评函-3'!A20</f>
        <v>郑燚</v>
      </c>
    </row>
    <row r="70" spans="1:2">
      <c r="A70" s="2879" t="s">
        <v>2693</v>
      </c>
      <c r="B70" s="2886">
        <f>'预评函-3'!B20</f>
        <v>2014110011</v>
      </c>
    </row>
    <row r="71" spans="1:2">
      <c r="A71" s="2879" t="s">
        <v>2694</v>
      </c>
      <c r="B71" s="2880" t="str">
        <f>'预评函-3'!A21</f>
        <v>王鹏</v>
      </c>
    </row>
    <row r="72" spans="1:2" s="2894" customFormat="1" ht="15" thickBot="1">
      <c r="A72" s="2901" t="s">
        <v>2694</v>
      </c>
      <c r="B72" s="2907">
        <f ca="1">'预评函-3'!B21</f>
        <v>2002110030</v>
      </c>
    </row>
    <row r="73" spans="1:2" ht="15" thickTop="1">
      <c r="A73" s="2890" t="s">
        <v>2753</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2754</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2755</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2790</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7" sqref="G7"/>
    </sheetView>
  </sheetViews>
  <sheetFormatPr defaultColWidth="10" defaultRowHeight="14.25"/>
  <cols>
    <col min="1" max="1" width="15.375" style="1691" customWidth="1"/>
    <col min="2" max="2" width="11.375" style="1691" customWidth="1"/>
    <col min="3" max="3" width="12.625" style="1691" customWidth="1"/>
    <col min="4" max="4" width="12.8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31" t="str">
        <f>IF(B10="北京市","北京市",C10)&amp;F10&amp;B16&amp;"国有建设用地使用权"&amp;B9&amp;"预评估"</f>
        <v>北京市出让国有建设用地使用权抵押价格预评估</v>
      </c>
      <c r="C1" s="3232"/>
      <c r="D1" s="3232"/>
      <c r="E1" s="3232"/>
      <c r="F1" s="3232"/>
      <c r="G1" s="3232"/>
      <c r="H1" s="3232"/>
      <c r="I1" s="3233"/>
      <c r="J1" s="1694"/>
      <c r="K1" s="2456" t="str">
        <f>IF(B10="北京市","北京市",C10)&amp;F10&amp;B16&amp;"国有建设用地使用权"&amp;B9</f>
        <v>北京市出让国有建设用地使用权抵押价格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北京市出让国有建设用地使用权</v>
      </c>
      <c r="L2" s="1723"/>
      <c r="M2" s="1723"/>
      <c r="N2" s="1694"/>
      <c r="O2" s="1695"/>
      <c r="P2" s="1694"/>
      <c r="Q2" s="1694"/>
      <c r="R2" s="1694"/>
      <c r="S2" s="1694"/>
      <c r="T2" s="1694"/>
      <c r="U2" s="1694"/>
    </row>
    <row r="3" spans="1:21">
      <c r="A3" s="1661" t="s">
        <v>1942</v>
      </c>
      <c r="B3" s="1662"/>
      <c r="C3" s="1663" t="s">
        <v>1998</v>
      </c>
      <c r="D3" s="1662">
        <v>43390</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3090</v>
      </c>
      <c r="C4" s="1846">
        <f>SUMIF(土地估价师,B4,估价师及机构信息!E3:E24)</f>
        <v>2014110011</v>
      </c>
      <c r="D4" s="1843" t="s">
        <v>2989</v>
      </c>
      <c r="E4" s="1846">
        <f ca="1">SUMIF(土地估价师,D4,估价师及机构信息!E3:E24)</f>
        <v>2002110030</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郑燚、王鹏</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6"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2990</v>
      </c>
      <c r="C8" s="1671"/>
      <c r="D8" s="3237" t="s">
        <v>1947</v>
      </c>
      <c r="E8" s="1844" t="s">
        <v>2991</v>
      </c>
      <c r="F8" s="1672"/>
      <c r="G8" s="1660"/>
      <c r="H8" s="1660"/>
      <c r="I8" s="1707"/>
      <c r="J8" s="1694"/>
      <c r="K8" s="1774"/>
      <c r="L8" s="1723"/>
      <c r="M8" s="1723"/>
      <c r="N8" s="1694"/>
      <c r="O8" s="1695"/>
      <c r="P8" s="1694"/>
      <c r="Q8" s="1694"/>
      <c r="R8" s="1694"/>
      <c r="S8" s="1694"/>
      <c r="T8" s="1694"/>
      <c r="U8" s="1694"/>
    </row>
    <row r="9" spans="1:21" ht="15" thickBot="1">
      <c r="A9" s="1673" t="s">
        <v>1946</v>
      </c>
      <c r="B9" s="1674" t="s">
        <v>2991</v>
      </c>
      <c r="C9" s="1675"/>
      <c r="D9" s="3238"/>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1948</v>
      </c>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t="s">
        <v>2992</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34"/>
      <c r="C12" s="3235"/>
      <c r="D12" s="3236"/>
      <c r="E12" s="1699" t="s">
        <v>2064</v>
      </c>
      <c r="F12" s="3252" t="s">
        <v>2892</v>
      </c>
      <c r="G12" s="3253"/>
      <c r="H12" s="3253"/>
      <c r="I12" s="3254"/>
      <c r="J12" s="1694"/>
      <c r="K12" s="1774"/>
      <c r="L12" s="1723"/>
      <c r="M12" s="1723"/>
      <c r="N12" s="1694"/>
      <c r="O12" s="1695"/>
      <c r="P12" s="1694"/>
      <c r="Q12" s="1694"/>
      <c r="R12" s="1694"/>
      <c r="S12" s="1694"/>
      <c r="T12" s="1694"/>
      <c r="U12" s="1694"/>
    </row>
    <row r="13" spans="1:21">
      <c r="A13" s="1687" t="s">
        <v>2062</v>
      </c>
      <c r="B13" s="3234"/>
      <c r="C13" s="3235"/>
      <c r="D13" s="3236"/>
      <c r="E13" s="1699" t="s">
        <v>2064</v>
      </c>
      <c r="F13" s="3252" t="s">
        <v>2893</v>
      </c>
      <c r="G13" s="3253"/>
      <c r="H13" s="3253"/>
      <c r="I13" s="3254"/>
      <c r="J13" s="1694"/>
      <c r="K13" s="1774"/>
      <c r="L13" s="1723"/>
      <c r="M13" s="1723"/>
      <c r="N13" s="1694"/>
      <c r="O13" s="1695"/>
      <c r="P13" s="1694"/>
      <c r="Q13" s="1694"/>
      <c r="R13" s="1694"/>
      <c r="S13" s="1694"/>
      <c r="T13" s="1694"/>
      <c r="U13" s="1694"/>
    </row>
    <row r="14" spans="1:21">
      <c r="A14" s="1661" t="s">
        <v>2065</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2993</v>
      </c>
      <c r="C16" s="1699" t="s">
        <v>1951</v>
      </c>
      <c r="D16" s="2647" t="s">
        <v>1952</v>
      </c>
      <c r="E16" s="1722" t="s">
        <v>2994</v>
      </c>
      <c r="F16" s="1722" t="s">
        <v>1678</v>
      </c>
      <c r="G16" s="1722" t="s">
        <v>35</v>
      </c>
      <c r="H16" s="1722"/>
      <c r="I16" s="1686" t="s">
        <v>1957</v>
      </c>
      <c r="J16" s="1694"/>
      <c r="K16" s="2457" t="str">
        <f>IF(D17="","",D16&amp;TEXT(D17,"yyyy年m月d日;;"))</f>
        <v/>
      </c>
      <c r="L16" s="1699" t="str">
        <f>IF(OR(K16="",M16=""),"","、")</f>
        <v/>
      </c>
      <c r="M16" s="2457" t="str">
        <f>IF(E17="","",E16&amp;TEXT(E17,"yyyy年m月d日;;"))</f>
        <v>商业2052年11月4日</v>
      </c>
      <c r="N16" s="1699" t="str">
        <f>IF(OR(M16="",O16=""),"","、")</f>
        <v>、</v>
      </c>
      <c r="O16" s="2457" t="str">
        <f>IF(F17="","",F16&amp;TEXT(F17,"yyyy年m月d日;;"))</f>
        <v>办公2062年11月4日</v>
      </c>
      <c r="P16" s="1699" t="str">
        <f>IF(OR(O16="",Q16=""),"","、")</f>
        <v>、</v>
      </c>
      <c r="Q16" s="2457" t="str">
        <f>IF(G17="","",G16&amp;TEXT(G17,"yyyy年m月d日;;"))</f>
        <v>地下车库2062年11月4日</v>
      </c>
      <c r="R16" s="1699" t="str">
        <f>IF(OR(Q16="",S16=""),"","、")</f>
        <v/>
      </c>
      <c r="S16" s="2457" t="str">
        <f>IF(H17="","",H16&amp;TEXT(H17,"yyyy年m月d日;;"))</f>
        <v/>
      </c>
      <c r="T16" s="1699" t="str">
        <f>IF(OR(S16="",U16=""),"","、")</f>
        <v/>
      </c>
      <c r="U16" s="2457" t="str">
        <f>IF(I17="","",I16&amp;TEXT(I17,"yyyy年m月d日;;"))</f>
        <v/>
      </c>
    </row>
    <row r="17" spans="1:21">
      <c r="A17" s="1763"/>
      <c r="B17" s="1682"/>
      <c r="C17" s="1683" t="s">
        <v>1958</v>
      </c>
      <c r="D17" s="1700"/>
      <c r="E17" s="1700">
        <v>55827</v>
      </c>
      <c r="F17" s="1700">
        <v>59479</v>
      </c>
      <c r="G17" s="1700">
        <v>59479</v>
      </c>
      <c r="H17" s="1700"/>
      <c r="I17" s="1700"/>
      <c r="J17" s="1694"/>
      <c r="K17" s="2456" t="str">
        <f>CONCATENATE(K16,L16,M16,N16,O16,P16,Q16,R16,S16,T16,,U16)</f>
        <v>商业2052年11月4日、办公2062年11月4日、地下车库2062年11月4日</v>
      </c>
      <c r="L17" s="1723"/>
      <c r="M17" s="1723"/>
      <c r="N17" s="1694"/>
      <c r="O17" s="1695"/>
      <c r="P17" s="1694"/>
      <c r="Q17" s="1694"/>
      <c r="R17" s="1694"/>
      <c r="S17" s="1694"/>
      <c r="T17" s="1694"/>
      <c r="U17" s="1694"/>
    </row>
    <row r="18" spans="1:21">
      <c r="A18" s="1763"/>
      <c r="B18" s="1682"/>
      <c r="C18" s="1683" t="s">
        <v>1959</v>
      </c>
      <c r="D18" s="1684"/>
      <c r="E18" s="1684">
        <v>40</v>
      </c>
      <c r="F18" s="1684">
        <v>50</v>
      </c>
      <c r="G18" s="1684">
        <v>50</v>
      </c>
      <c r="H18" s="1684"/>
      <c r="I18" s="1684"/>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f>IF(B16="出让",IF(E17="","",ROUNDDOWN(MIN((E17-$D$3)/365,E18),2)),E18)</f>
        <v>34.07</v>
      </c>
      <c r="F19" s="1685">
        <f>IF(B16="出让",IF(F17="","",ROUNDDOWN(MIN((F17-$D$3)/365,F18),2)),F18)</f>
        <v>44.07</v>
      </c>
      <c r="G19" s="1685">
        <f>IF(B16="出让",IF(G17="","",ROUNDDOWN(MIN((G17-$D$3)/365,G18),2)),G18)</f>
        <v>44.07</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49"/>
      <c r="E20" s="3250"/>
      <c r="F20" s="3250"/>
      <c r="G20" s="3250"/>
      <c r="H20" s="3250"/>
      <c r="I20" s="3251"/>
      <c r="J20" s="1694"/>
      <c r="K20" s="1774"/>
      <c r="L20" s="1723"/>
      <c r="M20" s="1723"/>
      <c r="N20" s="1694"/>
      <c r="O20" s="1695"/>
      <c r="P20" s="1694"/>
      <c r="Q20" s="1694"/>
      <c r="R20" s="1694"/>
      <c r="S20" s="1694"/>
      <c r="T20" s="1694"/>
      <c r="U20" s="1694"/>
    </row>
    <row r="21" spans="1:21">
      <c r="A21" s="1763" t="s">
        <v>1961</v>
      </c>
      <c r="B21" s="1764" t="s">
        <v>1962</v>
      </c>
      <c r="C21" s="1759">
        <f>'数据-汇总表'!E3</f>
        <v>147819.42000000001</v>
      </c>
      <c r="D21" s="1760" t="s">
        <v>1963</v>
      </c>
      <c r="E21" s="3239" t="s">
        <v>2001</v>
      </c>
      <c r="F21" s="3240"/>
      <c r="G21" s="3240"/>
      <c r="H21" s="3240"/>
      <c r="I21" s="3241"/>
      <c r="J21" s="1694"/>
      <c r="K21" s="1774"/>
      <c r="L21" s="1723"/>
      <c r="M21" s="1723"/>
      <c r="N21" s="1694"/>
      <c r="O21" s="1695"/>
      <c r="P21" s="1694"/>
      <c r="Q21" s="1694"/>
      <c r="R21" s="1694"/>
      <c r="S21" s="1694"/>
      <c r="T21" s="1694"/>
      <c r="U21" s="1694"/>
    </row>
    <row r="22" spans="1:21">
      <c r="A22" s="3149" t="s">
        <v>952</v>
      </c>
      <c r="B22" s="1661" t="s">
        <v>1964</v>
      </c>
      <c r="C22" s="1686">
        <f>'数据-汇总表'!D3</f>
        <v>15721.95</v>
      </c>
      <c r="D22" s="1687" t="s">
        <v>1963</v>
      </c>
      <c r="E22" s="3239" t="s">
        <v>2894</v>
      </c>
      <c r="F22" s="3240"/>
      <c r="G22" s="3240"/>
      <c r="H22" s="3240"/>
      <c r="I22" s="3241"/>
      <c r="J22" s="1694"/>
      <c r="K22" s="1774"/>
      <c r="L22" s="1723"/>
      <c r="M22" s="1723"/>
      <c r="N22" s="1694"/>
      <c r="O22" s="1695"/>
      <c r="P22" s="1694"/>
      <c r="Q22" s="1694"/>
      <c r="R22" s="1694"/>
      <c r="S22" s="1694"/>
      <c r="T22" s="1694"/>
      <c r="U22" s="1694"/>
    </row>
    <row r="23" spans="1:21" ht="29.2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42" t="s">
        <v>1969</v>
      </c>
      <c r="C24" s="3243"/>
      <c r="D24" s="3244" t="s">
        <v>1970</v>
      </c>
      <c r="E24" s="3245"/>
      <c r="F24" s="1708" t="s">
        <v>1971</v>
      </c>
      <c r="G24" s="1694"/>
      <c r="H24" s="1694"/>
      <c r="I24" s="1707"/>
      <c r="J24" s="1694"/>
      <c r="K24" s="3230" t="s">
        <v>1972</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30"/>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30"/>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57" t="s">
        <v>2004</v>
      </c>
      <c r="B31" s="1764" t="s">
        <v>2005</v>
      </c>
      <c r="C31" s="3255"/>
      <c r="D31" s="3256"/>
      <c r="E31" s="1694"/>
      <c r="F31" s="1694"/>
      <c r="G31" s="1694"/>
      <c r="H31" s="1694"/>
      <c r="I31" s="1707"/>
      <c r="J31" s="1694"/>
      <c r="K31" s="2459"/>
      <c r="L31" s="1694"/>
      <c r="M31" s="1694"/>
      <c r="N31" s="1694"/>
      <c r="O31" s="1694"/>
      <c r="P31" s="1694"/>
      <c r="Q31" s="1694"/>
      <c r="R31" s="1694"/>
      <c r="S31" s="1694"/>
      <c r="T31" s="1694"/>
      <c r="U31" s="1694"/>
    </row>
    <row r="32" spans="1:21">
      <c r="A32" s="3257"/>
      <c r="B32" s="1661" t="s">
        <v>2006</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57"/>
      <c r="B33" s="1661" t="s">
        <v>2007</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58"/>
      <c r="B34" s="1661" t="s">
        <v>2008</v>
      </c>
      <c r="C34" s="3259"/>
      <c r="D34" s="3260"/>
      <c r="E34" s="1694"/>
      <c r="F34" s="1694"/>
      <c r="G34" s="1694"/>
      <c r="H34" s="1694"/>
      <c r="I34" s="1707"/>
      <c r="J34" s="1694"/>
      <c r="K34" s="2459"/>
      <c r="L34" s="1694"/>
      <c r="M34" s="1694"/>
      <c r="N34" s="1694"/>
      <c r="O34" s="1694"/>
      <c r="P34" s="1694"/>
      <c r="Q34" s="1694"/>
      <c r="R34" s="1694"/>
      <c r="S34" s="1694"/>
      <c r="T34" s="1694"/>
      <c r="U34" s="1694"/>
    </row>
    <row r="35" spans="1:21">
      <c r="A35" s="3261" t="s">
        <v>847</v>
      </c>
      <c r="B35" s="1722"/>
      <c r="C35" s="1776" t="str">
        <f>IF(B35="场地平整","——","具体情况：")</f>
        <v>具体情况：</v>
      </c>
      <c r="D35" s="3263"/>
      <c r="E35" s="3264"/>
      <c r="F35" s="3264"/>
      <c r="G35" s="3264"/>
      <c r="H35" s="3264"/>
      <c r="I35" s="3265"/>
      <c r="J35" s="1694"/>
      <c r="K35" s="1775"/>
      <c r="L35" s="1723"/>
      <c r="M35" s="1723"/>
      <c r="N35" s="1694"/>
      <c r="O35" s="1695"/>
      <c r="P35" s="1694"/>
      <c r="Q35" s="1694"/>
      <c r="R35" s="1694"/>
      <c r="S35" s="1694"/>
      <c r="T35" s="1694"/>
      <c r="U35" s="1694"/>
    </row>
    <row r="36" spans="1:21">
      <c r="A36" s="3257"/>
      <c r="B36" s="3266" t="s">
        <v>2057</v>
      </c>
      <c r="C36" s="3267"/>
      <c r="D36" s="1792"/>
      <c r="E36" s="3268"/>
      <c r="F36" s="3268"/>
      <c r="G36" s="1687" t="str">
        <f>IF(B35="场地未平整","估价结果处理","")</f>
        <v/>
      </c>
      <c r="H36" s="3269"/>
      <c r="I36" s="3269"/>
      <c r="J36" s="1694"/>
      <c r="K36" s="1775"/>
      <c r="L36" s="1723"/>
      <c r="M36" s="1723"/>
      <c r="N36" s="1694"/>
      <c r="O36" s="1695"/>
      <c r="P36" s="1694"/>
      <c r="Q36" s="1694"/>
      <c r="R36" s="1694"/>
      <c r="S36" s="1694"/>
      <c r="T36" s="1694"/>
      <c r="U36" s="1694"/>
    </row>
    <row r="37" spans="1:21" ht="28.5">
      <c r="A37" s="3257"/>
      <c r="B37" s="3246"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57"/>
      <c r="B38" s="3247"/>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258"/>
      <c r="B39" s="3248"/>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29" t="s">
        <v>1988</v>
      </c>
      <c r="T40" s="1731" t="str">
        <f>NUMBERSTRING(7-K40,1)&amp;"通"</f>
        <v>七通</v>
      </c>
      <c r="U40" s="1694"/>
    </row>
    <row r="41" spans="1:21">
      <c r="A41" s="1663"/>
      <c r="B41" s="3262" t="s">
        <v>1722</v>
      </c>
      <c r="C41" s="3262"/>
      <c r="D41" s="3262"/>
      <c r="E41" s="3262"/>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29"/>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t="s">
        <v>1410</v>
      </c>
      <c r="C43" s="1738" t="s">
        <v>1410</v>
      </c>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t="s">
        <v>2995</v>
      </c>
      <c r="C44" s="1738" t="s">
        <v>2995</v>
      </c>
      <c r="D44" s="1738"/>
      <c r="E44" s="1792"/>
      <c r="F44" s="1739"/>
      <c r="G44" s="1694"/>
      <c r="H44" s="1694"/>
      <c r="I44" s="1707"/>
      <c r="J44" s="1694"/>
      <c r="K44" s="1774"/>
      <c r="L44" s="1723"/>
      <c r="M44" s="1723"/>
      <c r="N44" s="1694"/>
      <c r="O44" s="1695"/>
      <c r="P44" s="1694"/>
      <c r="Q44" s="1694"/>
      <c r="R44" s="1694"/>
      <c r="S44" s="1694"/>
      <c r="T44" s="1694"/>
      <c r="U44" s="1694"/>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S13" activePane="bottomRight" state="frozen"/>
      <selection pane="topRight" activeCell="E1" sqref="E1"/>
      <selection pane="bottomLeft" activeCell="A12" sqref="A12"/>
      <selection pane="bottomRight" activeCell="AT24" sqref="AT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16621</v>
      </c>
      <c r="B3" s="22">
        <f>IF(C3="否",G5-AT5,G5)</f>
        <v>156272.40000000002</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156272.40000000002</v>
      </c>
      <c r="H5" s="27">
        <f t="shared" ref="H5:AT5" si="0">SUM(H13:H641)</f>
        <v>143167.67000000001</v>
      </c>
      <c r="I5" s="27">
        <f t="shared" si="0"/>
        <v>50449.86</v>
      </c>
      <c r="J5" s="27">
        <f t="shared" si="0"/>
        <v>0</v>
      </c>
      <c r="K5" s="27">
        <f t="shared" si="0"/>
        <v>48978.73</v>
      </c>
      <c r="L5" s="27">
        <f t="shared" si="0"/>
        <v>0</v>
      </c>
      <c r="M5" s="27">
        <f t="shared" si="0"/>
        <v>16989.88</v>
      </c>
      <c r="N5" s="27">
        <f t="shared" si="0"/>
        <v>0</v>
      </c>
      <c r="O5" s="27">
        <f t="shared" si="0"/>
        <v>26749.200000000001</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4651.75</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4651.75</v>
      </c>
      <c r="AO5" s="27">
        <f t="shared" si="0"/>
        <v>0</v>
      </c>
      <c r="AP5" s="27">
        <f t="shared" si="0"/>
        <v>0</v>
      </c>
      <c r="AQ5" s="27">
        <f t="shared" si="0"/>
        <v>0</v>
      </c>
      <c r="AR5" s="27">
        <f t="shared" si="0"/>
        <v>0</v>
      </c>
      <c r="AS5" s="27">
        <f t="shared" si="0"/>
        <v>0</v>
      </c>
      <c r="AT5" s="27">
        <f t="shared" si="0"/>
        <v>8452.98</v>
      </c>
      <c r="AU5" s="988"/>
      <c r="AV5" s="26" t="s">
        <v>168</v>
      </c>
      <c r="AW5" s="989"/>
      <c r="AX5" s="989"/>
      <c r="AY5" s="28" t="s">
        <v>3</v>
      </c>
      <c r="AZ5" s="29">
        <f t="shared" ref="AZ5:BT5" si="1">SUM(AZ13:AZ641)</f>
        <v>147819.42000000001</v>
      </c>
      <c r="BA5" s="29">
        <f t="shared" si="1"/>
        <v>143167.67000000001</v>
      </c>
      <c r="BB5" s="29">
        <f t="shared" si="1"/>
        <v>50449.86</v>
      </c>
      <c r="BC5" s="29">
        <f t="shared" si="1"/>
        <v>48978.73</v>
      </c>
      <c r="BD5" s="29">
        <f t="shared" si="1"/>
        <v>16989.88</v>
      </c>
      <c r="BE5" s="29">
        <f t="shared" si="1"/>
        <v>26749.200000000001</v>
      </c>
      <c r="BF5" s="29">
        <f t="shared" si="1"/>
        <v>0</v>
      </c>
      <c r="BG5" s="29">
        <f t="shared" si="1"/>
        <v>0</v>
      </c>
      <c r="BH5" s="29">
        <f t="shared" si="1"/>
        <v>0</v>
      </c>
      <c r="BI5" s="29">
        <f t="shared" si="1"/>
        <v>0</v>
      </c>
      <c r="BJ5" s="29">
        <f t="shared" si="1"/>
        <v>0</v>
      </c>
      <c r="BK5" s="29">
        <f t="shared" si="1"/>
        <v>0</v>
      </c>
      <c r="BL5" s="29">
        <f t="shared" si="1"/>
        <v>4651.75</v>
      </c>
      <c r="BM5" s="29">
        <f t="shared" si="1"/>
        <v>0</v>
      </c>
      <c r="BN5" s="29">
        <f t="shared" si="1"/>
        <v>0</v>
      </c>
      <c r="BO5" s="29">
        <f t="shared" si="1"/>
        <v>0</v>
      </c>
      <c r="BP5" s="29">
        <f t="shared" si="1"/>
        <v>0</v>
      </c>
      <c r="BQ5" s="29">
        <f t="shared" si="1"/>
        <v>0</v>
      </c>
      <c r="BR5" s="29">
        <f t="shared" si="1"/>
        <v>4651.75</v>
      </c>
      <c r="BS5" s="29">
        <f t="shared" si="1"/>
        <v>0</v>
      </c>
      <c r="BT5" s="30">
        <f t="shared" si="1"/>
        <v>0</v>
      </c>
    </row>
    <row r="6" spans="1:72" s="37" customFormat="1" ht="12.75">
      <c r="A6" s="26" t="s">
        <v>169</v>
      </c>
      <c r="B6" s="31"/>
      <c r="C6" s="31"/>
      <c r="D6" s="32"/>
      <c r="E6" s="27">
        <f>H6+AC6+AT6</f>
        <v>16621</v>
      </c>
      <c r="F6" s="27" t="s">
        <v>1</v>
      </c>
      <c r="G6" s="27" t="s">
        <v>2</v>
      </c>
      <c r="H6" s="33">
        <f>SUMIF(I$12:AB$12,"总值",I6:AB6)</f>
        <v>15227.19</v>
      </c>
      <c r="I6" s="27">
        <f t="shared" ref="I6:AB6" si="2">ROUND($A$3*I5/$B$3,2)</f>
        <v>5365.8</v>
      </c>
      <c r="J6" s="27">
        <f t="shared" si="2"/>
        <v>0</v>
      </c>
      <c r="K6" s="27">
        <f t="shared" si="2"/>
        <v>5209.34</v>
      </c>
      <c r="L6" s="27">
        <f t="shared" si="2"/>
        <v>0</v>
      </c>
      <c r="M6" s="27">
        <f t="shared" si="2"/>
        <v>1807.03</v>
      </c>
      <c r="N6" s="27">
        <f t="shared" si="2"/>
        <v>0</v>
      </c>
      <c r="O6" s="27">
        <f t="shared" si="2"/>
        <v>2845.02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494.76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494.76</v>
      </c>
      <c r="AO6" s="27">
        <f t="shared" si="3"/>
        <v>0</v>
      </c>
      <c r="AP6" s="27">
        <f t="shared" si="3"/>
        <v>0</v>
      </c>
      <c r="AQ6" s="27">
        <f t="shared" si="3"/>
        <v>0</v>
      </c>
      <c r="AR6" s="27">
        <f t="shared" si="3"/>
        <v>0</v>
      </c>
      <c r="AS6" s="27">
        <f t="shared" si="3"/>
        <v>0</v>
      </c>
      <c r="AT6" s="33">
        <f>IF(C3="是",ROUND($A$3*AT5/$B$3,2),0)</f>
        <v>899.05</v>
      </c>
      <c r="AU6" s="34"/>
      <c r="AV6" s="26" t="s">
        <v>169</v>
      </c>
      <c r="AW6" s="31"/>
      <c r="AX6" s="31"/>
      <c r="AY6" s="35">
        <f>IF(AY3&gt;0,AY3,ROUND($A$3*AZ5/$B$3,2))</f>
        <v>15721.95</v>
      </c>
      <c r="AZ6" s="27" t="s">
        <v>3</v>
      </c>
      <c r="BA6" s="27">
        <f>ROUND($AY$6*BA5/$AZ$5,2)</f>
        <v>15227.19</v>
      </c>
      <c r="BB6" s="27">
        <f>ROUND($AY$6*BB5/$AZ$5,2)</f>
        <v>5365.8</v>
      </c>
      <c r="BC6" s="27">
        <f t="shared" ref="BC6:BH6" si="4">ROUND($AY$6*BC5/$AZ$5,2)</f>
        <v>5209.34</v>
      </c>
      <c r="BD6" s="27">
        <f t="shared" si="4"/>
        <v>1807.03</v>
      </c>
      <c r="BE6" s="27">
        <f t="shared" si="4"/>
        <v>2845.02</v>
      </c>
      <c r="BF6" s="27">
        <f t="shared" si="4"/>
        <v>0</v>
      </c>
      <c r="BG6" s="27">
        <f t="shared" si="4"/>
        <v>0</v>
      </c>
      <c r="BH6" s="27">
        <f t="shared" si="4"/>
        <v>0</v>
      </c>
      <c r="BI6" s="27">
        <f t="shared" ref="BI6:BT6" si="5">ROUND($AY$6*BI5/$AZ$5,2)</f>
        <v>0</v>
      </c>
      <c r="BJ6" s="27">
        <f t="shared" si="5"/>
        <v>0</v>
      </c>
      <c r="BK6" s="27">
        <f t="shared" si="5"/>
        <v>0</v>
      </c>
      <c r="BL6" s="27">
        <f t="shared" si="5"/>
        <v>494.76</v>
      </c>
      <c r="BM6" s="27">
        <f t="shared" si="5"/>
        <v>0</v>
      </c>
      <c r="BN6" s="27">
        <f t="shared" si="5"/>
        <v>0</v>
      </c>
      <c r="BO6" s="27">
        <f t="shared" si="5"/>
        <v>0</v>
      </c>
      <c r="BP6" s="27">
        <f t="shared" si="5"/>
        <v>0</v>
      </c>
      <c r="BQ6" s="27">
        <f t="shared" si="5"/>
        <v>0</v>
      </c>
      <c r="BR6" s="27">
        <f t="shared" si="5"/>
        <v>494.76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2996</v>
      </c>
      <c r="J9" s="51"/>
      <c r="K9" s="3019" t="s">
        <v>2996</v>
      </c>
      <c r="L9" s="51"/>
      <c r="M9" s="3019" t="s">
        <v>2999</v>
      </c>
      <c r="N9" s="51"/>
      <c r="O9" s="59" t="s">
        <v>2999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1678</v>
      </c>
      <c r="J10" s="51"/>
      <c r="K10" s="3021" t="s">
        <v>2994</v>
      </c>
      <c r="L10" s="51"/>
      <c r="M10" s="3021" t="s">
        <v>2994</v>
      </c>
      <c r="N10" s="51"/>
      <c r="O10" s="66" t="s">
        <v>3000</v>
      </c>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2997</v>
      </c>
      <c r="J11" s="71"/>
      <c r="K11" s="3020" t="s">
        <v>2998</v>
      </c>
      <c r="L11" s="71"/>
      <c r="M11" s="70" t="s">
        <v>2998</v>
      </c>
      <c r="N11" s="71"/>
      <c r="O11" s="70" t="s">
        <v>3001</v>
      </c>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办公楼</v>
      </c>
      <c r="BC12" s="79" t="str">
        <f>K11</f>
        <v>底商</v>
      </c>
      <c r="BD12" s="79" t="str">
        <f>M11</f>
        <v>底商</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t="s">
        <v>1679</v>
      </c>
      <c r="E13" s="27">
        <f t="shared" ref="E13:E20" si="6">IF($C$3="是",ROUND($A$3*G13/$B$3,2),ROUND($A$3*(G13-AT13)/$B$3,2))</f>
        <v>16621</v>
      </c>
      <c r="F13" s="81"/>
      <c r="G13" s="82">
        <f t="shared" ref="G13:G20" si="7">H13+AC13+AT13</f>
        <v>156272.40000000002</v>
      </c>
      <c r="H13" s="33">
        <f t="shared" ref="H13:H20" si="8">SUMIF(I$12:AB$12,"总值",I13:AB13)</f>
        <v>143167.67000000001</v>
      </c>
      <c r="I13" s="3018">
        <v>50449.86</v>
      </c>
      <c r="J13" s="3018"/>
      <c r="K13" s="3018">
        <v>48978.73</v>
      </c>
      <c r="L13" s="3018"/>
      <c r="M13" s="3018">
        <v>16989.88</v>
      </c>
      <c r="N13" s="83"/>
      <c r="O13" s="83">
        <v>26749.200000000001</v>
      </c>
      <c r="P13" s="83"/>
      <c r="Q13" s="83"/>
      <c r="R13" s="83"/>
      <c r="S13" s="83"/>
      <c r="T13" s="83"/>
      <c r="U13" s="83"/>
      <c r="V13" s="83"/>
      <c r="W13" s="83"/>
      <c r="X13" s="83"/>
      <c r="Y13" s="83"/>
      <c r="Z13" s="83"/>
      <c r="AA13" s="83"/>
      <c r="AB13" s="83"/>
      <c r="AC13" s="27">
        <f t="shared" ref="AC13:AC20" si="9">SUMIF(AD$12:AS$12,"总值",AD13:AS13)</f>
        <v>4651.75</v>
      </c>
      <c r="AD13" s="3022"/>
      <c r="AE13" s="3022"/>
      <c r="AF13" s="3022"/>
      <c r="AG13" s="3022"/>
      <c r="AH13" s="3022"/>
      <c r="AI13" s="3022"/>
      <c r="AJ13" s="3022"/>
      <c r="AK13" s="3022"/>
      <c r="AL13" s="3022"/>
      <c r="AM13" s="3022"/>
      <c r="AN13" s="3022">
        <v>4651.75</v>
      </c>
      <c r="AO13" s="3022"/>
      <c r="AP13" s="3022"/>
      <c r="AQ13" s="3022"/>
      <c r="AR13" s="3022"/>
      <c r="AS13" s="3022"/>
      <c r="AT13" s="3023">
        <v>8452.98</v>
      </c>
      <c r="AU13" s="3024"/>
      <c r="AV13" s="17">
        <f t="shared" ref="AV13:AX20" si="10">A13</f>
        <v>0</v>
      </c>
      <c r="AW13" s="17">
        <f t="shared" si="10"/>
        <v>0</v>
      </c>
      <c r="AX13" s="17">
        <f t="shared" si="10"/>
        <v>0</v>
      </c>
      <c r="AY13" s="996">
        <f t="shared" ref="AY13:AY20" si="11">ROUND($AY$6*AZ13/$AZ$5,2)</f>
        <v>15721.95</v>
      </c>
      <c r="AZ13" s="27">
        <f t="shared" ref="AZ13:AZ20" si="12">BA13+BL13</f>
        <v>147819.42000000001</v>
      </c>
      <c r="BA13" s="27">
        <f t="shared" ref="BA13:BA20" si="13">SUM(BB13:BK13)</f>
        <v>143167.67000000001</v>
      </c>
      <c r="BB13" s="27">
        <f t="shared" ref="BB13:BB20" si="14">IF($D13="是",I13-J13,0)</f>
        <v>50449.86</v>
      </c>
      <c r="BC13" s="27">
        <f t="shared" ref="BC13:BC20" si="15">IF($D13="是",K13-L13,0)</f>
        <v>48978.73</v>
      </c>
      <c r="BD13" s="27">
        <f t="shared" ref="BD13:BD20" si="16">IF($D13="是",M13-N13,0)</f>
        <v>16989.88</v>
      </c>
      <c r="BE13" s="27">
        <f t="shared" ref="BE13:BE20" si="17">IF($D13="是",O13-P13,0)</f>
        <v>26749.200000000001</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4651.75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4651.75</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D37" sqref="D3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81" t="s">
        <v>203</v>
      </c>
      <c r="B2" s="3281"/>
      <c r="C2" s="3281"/>
      <c r="D2" s="1976" t="s">
        <v>204</v>
      </c>
      <c r="E2" s="106" t="s">
        <v>205</v>
      </c>
      <c r="F2" s="1985"/>
      <c r="G2" s="1198"/>
      <c r="H2" s="1199"/>
      <c r="I2" s="1200" t="s">
        <v>857</v>
      </c>
      <c r="J2" s="1985"/>
      <c r="K2" s="1985"/>
      <c r="L2" s="1985"/>
    </row>
    <row r="3" spans="1:16" ht="15.75" thickBot="1">
      <c r="A3" s="3282" t="s">
        <v>206</v>
      </c>
      <c r="B3" s="3282"/>
      <c r="C3" s="3282"/>
      <c r="D3" s="107">
        <f>'数据-基础表'!AY6</f>
        <v>15721.95</v>
      </c>
      <c r="E3" s="107">
        <f>'数据-基础表'!AZ5</f>
        <v>147819.42000000001</v>
      </c>
      <c r="F3" s="1985"/>
      <c r="G3" s="280" t="s">
        <v>858</v>
      </c>
      <c r="H3" s="275" t="s">
        <v>859</v>
      </c>
      <c r="I3" s="1977">
        <f>ROUND('数据-基础表'!B3/'数据-基础表'!A3,2)</f>
        <v>9.4</v>
      </c>
      <c r="J3" s="1985"/>
      <c r="K3" s="1985"/>
      <c r="L3" s="1985"/>
    </row>
    <row r="4" spans="1:16" ht="15">
      <c r="A4" s="3283"/>
      <c r="B4" s="3284"/>
      <c r="C4" s="3285"/>
      <c r="D4" s="108" t="s">
        <v>204</v>
      </c>
      <c r="E4" s="109" t="s">
        <v>205</v>
      </c>
      <c r="F4" s="1985"/>
      <c r="G4" s="1201"/>
      <c r="H4" s="275" t="s">
        <v>860</v>
      </c>
      <c r="I4" s="1977">
        <f>ROUND(SUMIF('数据-基础表'!I9:AS9,"地上",'数据-基础表'!I5:AS5)/'数据-基础表'!A3,2)</f>
        <v>5.98</v>
      </c>
      <c r="J4" s="1985"/>
      <c r="K4" s="1985"/>
      <c r="L4" s="1985"/>
    </row>
    <row r="5" spans="1:16">
      <c r="A5" s="110" t="s">
        <v>207</v>
      </c>
      <c r="B5" s="3286" t="s">
        <v>230</v>
      </c>
      <c r="C5" s="3286"/>
      <c r="D5" s="111">
        <f>ROUND($D$3*E5/$E$3,2)</f>
        <v>0</v>
      </c>
      <c r="E5" s="112">
        <f>SUMIF('数据-基础表'!$11:$11,"住宅",'数据-基础表'!$5:$5)</f>
        <v>0</v>
      </c>
      <c r="F5" s="1985"/>
      <c r="G5" s="280" t="s">
        <v>861</v>
      </c>
      <c r="H5" s="275" t="s">
        <v>859</v>
      </c>
      <c r="I5" s="1977">
        <f>ROUND(E31/D31,2)</f>
        <v>9.4</v>
      </c>
      <c r="J5" s="1985"/>
      <c r="K5" s="1985"/>
      <c r="L5" s="1985"/>
    </row>
    <row r="6" spans="1:16" ht="15" thickBot="1">
      <c r="A6" s="113"/>
      <c r="B6" s="3286" t="s">
        <v>208</v>
      </c>
      <c r="C6" s="3286"/>
      <c r="D6" s="111">
        <f>ROUND($D$3*E6/$E$3,2)</f>
        <v>15721.95</v>
      </c>
      <c r="E6" s="112">
        <f>E3-E5</f>
        <v>147819.42000000001</v>
      </c>
      <c r="F6" s="1985"/>
      <c r="G6" s="1201"/>
      <c r="H6" s="275" t="s">
        <v>860</v>
      </c>
      <c r="I6" s="1977">
        <f>ROUND(F31/D31,2)</f>
        <v>6.32</v>
      </c>
      <c r="J6" s="1985"/>
      <c r="K6" s="1985"/>
      <c r="L6" s="1985"/>
    </row>
    <row r="7" spans="1:16" ht="15">
      <c r="A7" s="3278"/>
      <c r="B7" s="3279"/>
      <c r="C7" s="3280"/>
      <c r="D7" s="108" t="s">
        <v>204</v>
      </c>
      <c r="E7" s="114" t="s">
        <v>231</v>
      </c>
      <c r="F7" s="1985"/>
      <c r="G7" s="1156" t="s">
        <v>1646</v>
      </c>
      <c r="H7" s="1157"/>
      <c r="I7" s="1847">
        <v>4</v>
      </c>
      <c r="J7" s="1985"/>
      <c r="K7" s="1985"/>
      <c r="L7" s="1985"/>
    </row>
    <row r="8" spans="1:16">
      <c r="A8" s="110" t="s">
        <v>209</v>
      </c>
      <c r="B8" s="115" t="s">
        <v>210</v>
      </c>
      <c r="C8" s="111" t="s">
        <v>211</v>
      </c>
      <c r="D8" s="111">
        <f t="shared" ref="D8:D15" si="0">ROUND($D$3*E8/$E$3,2)</f>
        <v>10575.14</v>
      </c>
      <c r="E8" s="116">
        <f>SUMIF('数据-基础表'!BB10:BK10,"地上",'数据-基础表'!BB5:BK5)</f>
        <v>99428.59</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1807.03</v>
      </c>
      <c r="E10" s="116">
        <f>SUMPRODUCT(('数据-基础表'!BB10:BK10="地下")*('数据-基础表'!BB11:BK11="商业")*('数据-基础表'!BB5:BK5))</f>
        <v>16989.88</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2845.02</v>
      </c>
      <c r="E15" s="116">
        <f>SUMPRODUCT(('数据-基础表'!BB10:BK10="地下")*('数据-基础表'!BB11:BK11="车库—办公")*('数据-基础表'!BB5:BK5))</f>
        <v>26749.200000000001</v>
      </c>
      <c r="F15" s="1985"/>
      <c r="G15" s="1987"/>
      <c r="H15" s="1987"/>
      <c r="I15" s="1985"/>
      <c r="J15" s="1985"/>
      <c r="K15" s="1985"/>
      <c r="L15" s="1985"/>
    </row>
    <row r="16" spans="1:16" ht="15.75" thickBot="1">
      <c r="A16" s="113"/>
      <c r="B16" s="118"/>
      <c r="C16" s="115" t="s">
        <v>215</v>
      </c>
      <c r="D16" s="115">
        <f>SUM(D8:D15)</f>
        <v>15227.19</v>
      </c>
      <c r="E16" s="120">
        <f>SUM(E8:E15)</f>
        <v>143167.67000000001</v>
      </c>
      <c r="F16" s="1985"/>
      <c r="G16" s="1987"/>
      <c r="H16" s="968" t="s">
        <v>219</v>
      </c>
      <c r="I16" s="969"/>
      <c r="J16" s="1985"/>
      <c r="K16" s="3272" t="s">
        <v>2569</v>
      </c>
      <c r="L16" s="3273"/>
      <c r="M16" s="3273"/>
      <c r="N16" s="3273"/>
      <c r="O16" s="3273"/>
      <c r="P16" s="3274"/>
    </row>
    <row r="17" spans="1:19" ht="15">
      <c r="A17" s="121" t="s">
        <v>216</v>
      </c>
      <c r="B17" s="122" t="s">
        <v>217</v>
      </c>
      <c r="C17" s="2299" t="s">
        <v>2316</v>
      </c>
      <c r="D17" s="108" t="s">
        <v>204</v>
      </c>
      <c r="E17" s="124" t="s">
        <v>205</v>
      </c>
      <c r="F17" s="125"/>
      <c r="G17" s="1366"/>
      <c r="H17" s="970" t="s">
        <v>218</v>
      </c>
      <c r="I17" s="971" t="s">
        <v>2315</v>
      </c>
      <c r="J17" s="1985"/>
      <c r="K17" s="3275" t="s">
        <v>2570</v>
      </c>
      <c r="L17" s="3276"/>
      <c r="M17" s="3277"/>
      <c r="N17" s="3275" t="s">
        <v>2571</v>
      </c>
      <c r="O17" s="3276"/>
      <c r="P17" s="3277"/>
      <c r="R17" s="2300" t="s">
        <v>2314</v>
      </c>
      <c r="S17" s="144"/>
    </row>
    <row r="18" spans="1:19" ht="15">
      <c r="A18" s="117"/>
      <c r="B18" s="128"/>
      <c r="C18" s="129"/>
      <c r="D18" s="2643"/>
      <c r="E18" s="130" t="s">
        <v>220</v>
      </c>
      <c r="F18" s="131" t="s">
        <v>221</v>
      </c>
      <c r="G18" s="1367" t="s">
        <v>222</v>
      </c>
      <c r="H18" s="972" t="s">
        <v>223</v>
      </c>
      <c r="I18" s="973" t="s">
        <v>224</v>
      </c>
      <c r="J18" s="1985"/>
      <c r="K18" s="2606" t="s">
        <v>2572</v>
      </c>
      <c r="L18" s="2607" t="s">
        <v>2573</v>
      </c>
      <c r="M18" s="2608" t="s">
        <v>2574</v>
      </c>
      <c r="N18" s="2606" t="s">
        <v>2572</v>
      </c>
      <c r="O18" s="2607" t="s">
        <v>2573</v>
      </c>
      <c r="P18" s="2608" t="s">
        <v>2574</v>
      </c>
      <c r="R18" s="2301" t="s">
        <v>2312</v>
      </c>
      <c r="S18" s="2301" t="s">
        <v>2313</v>
      </c>
    </row>
    <row r="19" spans="1:19">
      <c r="A19" s="133"/>
      <c r="B19" s="115" t="s">
        <v>225</v>
      </c>
      <c r="C19" s="3025" t="s">
        <v>3002</v>
      </c>
      <c r="D19" s="111">
        <f t="shared" ref="D19:D26" si="1">ROUND($D$3*E19/$E$3,2)</f>
        <v>5365.8</v>
      </c>
      <c r="E19" s="134">
        <f t="shared" ref="E19:E26" si="2">SUM(F19:G19)</f>
        <v>50449.86</v>
      </c>
      <c r="F19" s="135">
        <f>'数据-基础表'!I13</f>
        <v>50449.86</v>
      </c>
      <c r="G19" s="1368"/>
      <c r="H19" s="974">
        <f>ROUND($D$3*I19/$E$3,2)</f>
        <v>174.34</v>
      </c>
      <c r="I19" s="116">
        <f>IF($I$17="自定义",P19,M19)</f>
        <v>1639.2</v>
      </c>
      <c r="J19" s="1985"/>
      <c r="K19" s="2609">
        <f t="shared" ref="K19:K26" si="3">ROUND(E$28*E19/E$27,2)</f>
        <v>1639.2</v>
      </c>
      <c r="L19" s="275">
        <f t="shared" ref="L19:L26" si="4">ROUND(IF(COUNTIF(C19,"*住宅*")&gt;0,E$29*E19/E$32,0),2)</f>
        <v>0</v>
      </c>
      <c r="M19" s="2610">
        <f>K19+L19</f>
        <v>1639.2</v>
      </c>
      <c r="N19" s="2611"/>
      <c r="O19" s="2612"/>
      <c r="P19" s="2613">
        <f>N19+O19</f>
        <v>0</v>
      </c>
      <c r="R19" s="275">
        <f t="shared" ref="R19:S26" si="5">D19+H19</f>
        <v>5540.14</v>
      </c>
      <c r="S19" s="2302">
        <f t="shared" si="5"/>
        <v>52089.06</v>
      </c>
    </row>
    <row r="20" spans="1:19">
      <c r="A20" s="138"/>
      <c r="B20" s="115" t="s">
        <v>226</v>
      </c>
      <c r="C20" s="3025" t="s">
        <v>3003</v>
      </c>
      <c r="D20" s="111">
        <f t="shared" si="1"/>
        <v>7016.37</v>
      </c>
      <c r="E20" s="134">
        <f t="shared" si="2"/>
        <v>65968.61</v>
      </c>
      <c r="F20" s="135">
        <f>'数据-基础表'!K13</f>
        <v>48978.73</v>
      </c>
      <c r="G20" s="1368">
        <f>'数据-基础表'!M13</f>
        <v>16989.88</v>
      </c>
      <c r="H20" s="974">
        <f t="shared" ref="H20:H26" si="6">ROUND($D$3*I20/$E$3,2)</f>
        <v>227.97</v>
      </c>
      <c r="I20" s="116">
        <f t="shared" ref="I20:I26" si="7">IF($I$17="自定义",P20,M20)</f>
        <v>2143.4299999999998</v>
      </c>
      <c r="J20" s="1985"/>
      <c r="K20" s="2609">
        <f t="shared" si="3"/>
        <v>2143.4299999999998</v>
      </c>
      <c r="L20" s="275">
        <f t="shared" si="4"/>
        <v>0</v>
      </c>
      <c r="M20" s="2610">
        <f t="shared" ref="M20:M26" si="8">K20+L20</f>
        <v>2143.4299999999998</v>
      </c>
      <c r="N20" s="2611"/>
      <c r="O20" s="2612"/>
      <c r="P20" s="2613">
        <f t="shared" ref="P20:P26" si="9">N20+O20</f>
        <v>0</v>
      </c>
      <c r="R20" s="275">
        <f t="shared" si="5"/>
        <v>7244.34</v>
      </c>
      <c r="S20" s="2302">
        <f t="shared" si="5"/>
        <v>68112.039999999994</v>
      </c>
    </row>
    <row r="21" spans="1:19">
      <c r="A21" s="138"/>
      <c r="B21" s="115" t="s">
        <v>226</v>
      </c>
      <c r="C21" s="3025" t="s">
        <v>3004</v>
      </c>
      <c r="D21" s="111">
        <f t="shared" si="1"/>
        <v>2845.02</v>
      </c>
      <c r="E21" s="134">
        <f t="shared" si="2"/>
        <v>26749.200000000001</v>
      </c>
      <c r="F21" s="135"/>
      <c r="G21" s="1368">
        <f>'数据-基础表'!O13</f>
        <v>26749.200000000001</v>
      </c>
      <c r="H21" s="974">
        <f t="shared" si="6"/>
        <v>92.44</v>
      </c>
      <c r="I21" s="116">
        <f t="shared" si="7"/>
        <v>869.12</v>
      </c>
      <c r="J21" s="1985"/>
      <c r="K21" s="2609">
        <f t="shared" si="3"/>
        <v>869.12</v>
      </c>
      <c r="L21" s="275">
        <f t="shared" si="4"/>
        <v>0</v>
      </c>
      <c r="M21" s="2610">
        <f t="shared" si="8"/>
        <v>869.12</v>
      </c>
      <c r="N21" s="2611"/>
      <c r="O21" s="2612"/>
      <c r="P21" s="2613">
        <f t="shared" si="9"/>
        <v>0</v>
      </c>
      <c r="R21" s="275">
        <f t="shared" si="5"/>
        <v>2937.46</v>
      </c>
      <c r="S21" s="2302">
        <f t="shared" si="5"/>
        <v>27618.32</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29.25" thickBot="1">
      <c r="A27" s="138"/>
      <c r="B27" s="111"/>
      <c r="C27" s="127" t="s">
        <v>215</v>
      </c>
      <c r="D27" s="134">
        <f>SUM(D19:D26)</f>
        <v>15227.19</v>
      </c>
      <c r="E27" s="143">
        <f>IF(SUM(E19:E26)='数据-基础表'!BA5,SUM(E19:E26),IF(F27="地上面积有误","面积有误","地下面积有误"))</f>
        <v>143167.67000000001</v>
      </c>
      <c r="F27" s="134">
        <f>IF(SUM(F19:F26)=E8,SUM(F19:F26),"地上面积有误")</f>
        <v>99428.59</v>
      </c>
      <c r="G27" s="112">
        <f>SUM(G19:G26)</f>
        <v>43739.08</v>
      </c>
      <c r="H27" s="975">
        <f>SUM(H19:H26)</f>
        <v>494.75</v>
      </c>
      <c r="I27" s="976">
        <f>SUM(I19:I26)</f>
        <v>4651.75</v>
      </c>
      <c r="J27" s="1985"/>
      <c r="K27" s="2618">
        <f>SUM(K19:K26)</f>
        <v>4651.75</v>
      </c>
      <c r="L27" s="2619">
        <f>SUM(L19:L26)</f>
        <v>0</v>
      </c>
      <c r="M27" s="2620">
        <f>SUM(M19:M26)</f>
        <v>4651.75</v>
      </c>
      <c r="N27" s="2618">
        <f t="shared" ref="N27:O27" si="10">SUM(N19:N26)</f>
        <v>0</v>
      </c>
      <c r="O27" s="2619">
        <f t="shared" si="10"/>
        <v>0</v>
      </c>
      <c r="P27" s="2621">
        <f>SUM(P19:P26)</f>
        <v>0</v>
      </c>
      <c r="R27" s="2306" t="str">
        <f>IF(SUM(R19:R26)=$D$3,SUM(R19:R26),SUM(R19:R26)&amp;"误差"&amp;ROUND(SUM(R19:R26)-$D$3,2))</f>
        <v>15721.94误差-0.01</v>
      </c>
      <c r="S27" s="275">
        <f>IF(SUM(S19:S26)=$E$3,SUM(S19:S26),SUM(S19:S26)&amp;"误差"&amp;ROUND(SUM(S19:S26)-E3,2))</f>
        <v>147819.41999999998</v>
      </c>
    </row>
    <row r="28" spans="1:19">
      <c r="A28" s="138"/>
      <c r="B28" s="115" t="s">
        <v>227</v>
      </c>
      <c r="C28" s="136" t="s">
        <v>228</v>
      </c>
      <c r="D28" s="111">
        <f>ROUND($D$3*E28/$E$3,2)</f>
        <v>494.76</v>
      </c>
      <c r="E28" s="134">
        <f>SUM(F28:G28)</f>
        <v>4651.75</v>
      </c>
      <c r="F28" s="144">
        <f>'数据-基础表'!BQ5+'数据-基础表'!BS5</f>
        <v>0</v>
      </c>
      <c r="G28" s="145">
        <f>'数据-基础表'!BR5+'数据-基础表'!BT5</f>
        <v>4651.75</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494.76</v>
      </c>
      <c r="E30" s="134">
        <f>SUM(E28:E29)</f>
        <v>4651.75</v>
      </c>
      <c r="F30" s="134">
        <f>SUM(F28:F29)</f>
        <v>0</v>
      </c>
      <c r="G30" s="112">
        <f>SUM(G28:G29)</f>
        <v>4651.75</v>
      </c>
      <c r="H30" s="1985"/>
      <c r="I30" s="1985"/>
      <c r="J30" s="1985"/>
      <c r="K30" s="1985"/>
      <c r="L30" s="1985"/>
    </row>
    <row r="31" spans="1:19" ht="32.25" customHeight="1" thickBot="1">
      <c r="A31" s="1370"/>
      <c r="B31" s="1371" t="s">
        <v>229</v>
      </c>
      <c r="C31" s="2331" t="s">
        <v>2325</v>
      </c>
      <c r="D31" s="1372">
        <f>D27+D30</f>
        <v>15721.95</v>
      </c>
      <c r="E31" s="1372">
        <f>E27+E30</f>
        <v>147819.42000000001</v>
      </c>
      <c r="F31" s="1373">
        <f>F27+F30</f>
        <v>99428.59</v>
      </c>
      <c r="G31" s="1374">
        <f>G27+G30</f>
        <v>48390.83</v>
      </c>
      <c r="H31" s="1985"/>
      <c r="I31" s="1985"/>
      <c r="J31" s="1985"/>
      <c r="K31" s="1985"/>
      <c r="L31" s="1985"/>
    </row>
    <row r="32" spans="1:19">
      <c r="A32" s="1985"/>
      <c r="B32" s="2364" t="s">
        <v>2324</v>
      </c>
      <c r="C32" s="2648"/>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I9" sqref="I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3" width="8.5" style="1203" customWidth="1"/>
    <col min="24"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43390</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2"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2"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办公</v>
      </c>
      <c r="B6" s="2338" t="str">
        <f>IF(A6=0,"","经营性")</f>
        <v>经营性</v>
      </c>
      <c r="C6" s="173" t="s">
        <v>1678</v>
      </c>
      <c r="D6" s="2309">
        <f>SUMIF(项目基本情况!D$15:I$15,C6,项目基本情况!D$18:I$18)</f>
        <v>50</v>
      </c>
      <c r="E6" s="2310">
        <f>IF(B6="","",SUMIF(项目基本情况!D$15:I$15,C6,项目基本情况!D$17:I$17))</f>
        <v>59479</v>
      </c>
      <c r="F6" s="174">
        <f>SUMIF(项目基本情况!D$15:I$15,C6,项目基本情况!D$19:I$19)</f>
        <v>44.07</v>
      </c>
      <c r="G6" s="175">
        <f>IF(ISERROR(ROUND(POWER(1+H6,D6-F6)*(POWER(1+H6,F6)-1)/(POWER(1+H6,D6)-1),3)),0,ROUND(POWER(1+H6,D6-F6)*(POWER(1+H6,F6)-1)/(POWER(1+H6,D6)-1),3))</f>
        <v>0.96799999999999997</v>
      </c>
      <c r="H6" s="3026">
        <v>0.05</v>
      </c>
      <c r="I6" s="3026">
        <v>5.5E-2</v>
      </c>
      <c r="J6" s="176">
        <v>8.5000000000000006E-2</v>
      </c>
      <c r="K6" s="179">
        <f>SUMIF('数据-汇总表'!C$19:C$33,'数据-取费表'!A6,'数据-汇总表'!E$19:E$33)</f>
        <v>50449.86</v>
      </c>
      <c r="L6" s="3027">
        <v>4500</v>
      </c>
      <c r="M6" s="177">
        <f t="shared" ref="M6:M14" si="0">ROUND(K6*L6/10000,0)</f>
        <v>22702</v>
      </c>
      <c r="N6" s="3028">
        <v>0</v>
      </c>
      <c r="O6" s="177">
        <f>IF($N$5="成新度","——",ROUND(M6*N6,0))</f>
        <v>0</v>
      </c>
      <c r="P6" s="178">
        <f>IF($N$5="成新度","——",M6-O6)</f>
        <v>22702</v>
      </c>
      <c r="Q6" s="3029">
        <v>0.2</v>
      </c>
      <c r="R6" s="179">
        <f>SUMIF('数据-汇总表'!C$19:C$33,A6,'数据-汇总表'!R$19:R$33)</f>
        <v>5540.14</v>
      </c>
      <c r="S6" s="132">
        <f>IF('数据-汇总表'!$I$17="按面积比例",SUMIF('数据-汇总表'!C$19:C$33,A6,'数据-汇总表'!K$19:K$33),SUMIF('数据-汇总表'!C$19:C$33,A6,'数据-汇总表'!N$19:N$33))</f>
        <v>1639.2</v>
      </c>
      <c r="T6" s="2235">
        <f>IF($T$4="按面积比例",IF(ISERROR(ROUND($M$14*S6/S$16,0)),"0",ROUND($M$14*S6/S$16,0)),"需自行计算录入")</f>
        <v>410</v>
      </c>
      <c r="U6" s="180">
        <v>4.2</v>
      </c>
      <c r="V6" s="181">
        <v>2.5000000000000001E-2</v>
      </c>
      <c r="W6" s="181">
        <v>0.1</v>
      </c>
      <c r="X6" s="2322"/>
      <c r="Y6" s="182">
        <v>1</v>
      </c>
      <c r="Z6" s="183"/>
      <c r="AA6" s="176"/>
      <c r="AB6" s="176"/>
      <c r="AC6" s="2325"/>
      <c r="AD6" s="184"/>
      <c r="AE6" s="972">
        <f ca="1">IF(AN6="",0,SUMIF(INDIRECT("'"&amp;AN6&amp;"'"&amp;"!E:E"),$AE$5,INDIRECT("'"&amp;AN6&amp;"'"&amp;"!F:F")))</f>
        <v>42.07</v>
      </c>
      <c r="AF6" s="141"/>
      <c r="AG6" s="1213">
        <f>IF(AF6="",0,AE6-AF6)</f>
        <v>0</v>
      </c>
      <c r="AH6" s="141"/>
      <c r="AI6" s="187">
        <v>365</v>
      </c>
      <c r="AJ6" s="188"/>
      <c r="AK6" s="189">
        <v>1.4999999999999999E-2</v>
      </c>
      <c r="AL6" s="190">
        <v>2E-3</v>
      </c>
      <c r="AM6" s="3040">
        <v>0.02</v>
      </c>
      <c r="AN6" s="2393" t="s">
        <v>3011</v>
      </c>
      <c r="AO6" s="2001"/>
      <c r="AP6" s="1204">
        <f>ROUND(1-1/(1+H6)^F6,3)</f>
        <v>0.88400000000000001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v>
      </c>
      <c r="B7" s="2338" t="str">
        <f t="shared" ref="B7:B13" si="1">IF(A7=0,"","经营性")</f>
        <v>经营性</v>
      </c>
      <c r="C7" s="173" t="s">
        <v>2994</v>
      </c>
      <c r="D7" s="2309">
        <f>SUMIF(项目基本情况!D$15:I$15,C7,项目基本情况!D$18:I$18)</f>
        <v>40</v>
      </c>
      <c r="E7" s="2310">
        <f>IF(B7="","",SUMIF(项目基本情况!D$15:I$15,C7,项目基本情况!D$17:I$17))</f>
        <v>55827</v>
      </c>
      <c r="F7" s="174">
        <f>SUMIF(项目基本情况!D$15:I$15,C7,项目基本情况!D$19:I$19)</f>
        <v>34.07</v>
      </c>
      <c r="G7" s="175">
        <f t="shared" ref="G7:G11" si="2">IF(ISERROR(ROUND(POWER(1+H7,D7-F7)*(POWER(1+H7,F7)-1)/(POWER(1+H7,D7)-1),3)),0,ROUND(POWER(1+H7,D7-F7)*(POWER(1+H7,F7)-1)/(POWER(1+H7,D7)-1),3))</f>
        <v>0.95</v>
      </c>
      <c r="H7" s="3026">
        <v>5.5E-2</v>
      </c>
      <c r="I7" s="3026">
        <v>0.06</v>
      </c>
      <c r="J7" s="176">
        <v>8.5000000000000006E-2</v>
      </c>
      <c r="K7" s="179">
        <f>SUMIF('数据-汇总表'!C$19:C$33,'数据-取费表'!A7,'数据-汇总表'!E$19:E$33)</f>
        <v>65968.61</v>
      </c>
      <c r="L7" s="3027">
        <v>4000</v>
      </c>
      <c r="M7" s="177">
        <f t="shared" si="0"/>
        <v>26387</v>
      </c>
      <c r="N7" s="3028">
        <v>0</v>
      </c>
      <c r="O7" s="177">
        <f t="shared" ref="O7:O14" si="3">IF($N$5="成新度","——",ROUND(M7*N7,0))</f>
        <v>0</v>
      </c>
      <c r="P7" s="178">
        <f t="shared" ref="P7:P14" si="4">IF($N$5="成新度","——",M7-O7)</f>
        <v>26387</v>
      </c>
      <c r="Q7" s="3029">
        <v>0.25</v>
      </c>
      <c r="R7" s="179">
        <f>SUMIF('数据-汇总表'!C$19:C$33,A7,'数据-汇总表'!R$19:R$33)</f>
        <v>7244.34</v>
      </c>
      <c r="S7" s="132">
        <f>IF('数据-汇总表'!$I$17="按面积比例",SUMIF('数据-汇总表'!C$19:C$33,A7,'数据-汇总表'!K$19:K$33),SUMIF('数据-汇总表'!C$19:C$33,A7,'数据-汇总表'!N$19:N$33))</f>
        <v>2143.4299999999998</v>
      </c>
      <c r="T7" s="2235">
        <f t="shared" ref="T7:T13" si="5">IF($T$4="按面积比例",IF(ISERROR(ROUND($M$14*S7/S$16,0)),"0",ROUND($M$14*S7/S$16,0)),"需自行计算录入")</f>
        <v>536</v>
      </c>
      <c r="U7" s="180">
        <v>5.8</v>
      </c>
      <c r="V7" s="181">
        <v>2.5000000000000001E-2</v>
      </c>
      <c r="W7" s="181">
        <v>0.1</v>
      </c>
      <c r="X7" s="2322"/>
      <c r="Y7" s="182">
        <v>1</v>
      </c>
      <c r="Z7" s="183"/>
      <c r="AA7" s="176"/>
      <c r="AB7" s="176"/>
      <c r="AC7" s="2325"/>
      <c r="AD7" s="184"/>
      <c r="AE7" s="972">
        <f t="shared" ref="AE7:AE13" ca="1" si="6">IF(AN7="",0,SUMIF(INDIRECT("'"&amp;AN7&amp;"'"&amp;"!E:E"),$AE$5,INDIRECT("'"&amp;AN7&amp;"'"&amp;"!F:F")))</f>
        <v>32.07</v>
      </c>
      <c r="AF7" s="141"/>
      <c r="AG7" s="1213">
        <f t="shared" ref="AG7:AG13" si="7">IF(AF7="",0,AE7-AF7)</f>
        <v>0</v>
      </c>
      <c r="AH7" s="141"/>
      <c r="AI7" s="187">
        <v>365</v>
      </c>
      <c r="AJ7" s="188"/>
      <c r="AK7" s="189">
        <v>1.4999999999999999E-2</v>
      </c>
      <c r="AL7" s="190">
        <v>2E-3</v>
      </c>
      <c r="AM7" s="2391">
        <v>0.02</v>
      </c>
      <c r="AN7" s="2393" t="s">
        <v>3012</v>
      </c>
      <c r="AO7" s="2001"/>
      <c r="AP7" s="1204">
        <f t="shared" ref="AP7:AP13" si="8">ROUND(1-1/(1+H7)^F7,3)</f>
        <v>0.83899999999999997</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地下车库</v>
      </c>
      <c r="B8" s="2338" t="str">
        <f t="shared" si="1"/>
        <v>经营性</v>
      </c>
      <c r="C8" s="173" t="s">
        <v>3001</v>
      </c>
      <c r="D8" s="2309">
        <f>SUMIF(项目基本情况!D$15:I$15,C8,项目基本情况!D$18:I$18)</f>
        <v>50</v>
      </c>
      <c r="E8" s="2310">
        <f>IF(B8="","",SUMIF(项目基本情况!D$15:I$15,C8,项目基本情况!D$17:I$17))</f>
        <v>59479</v>
      </c>
      <c r="F8" s="174">
        <f>SUMIF(项目基本情况!D$15:I$15,C8,项目基本情况!D$19:I$19)</f>
        <v>44.07</v>
      </c>
      <c r="G8" s="175">
        <f t="shared" si="2"/>
        <v>0.96299999999999997</v>
      </c>
      <c r="H8" s="3026">
        <v>4.4999999999999998E-2</v>
      </c>
      <c r="I8" s="3026">
        <v>0.05</v>
      </c>
      <c r="J8" s="176">
        <v>8.5000000000000006E-2</v>
      </c>
      <c r="K8" s="179">
        <f>SUMIF('数据-汇总表'!C$19:C$33,'数据-取费表'!A8,'数据-汇总表'!E$19:E$33)</f>
        <v>26749.200000000001</v>
      </c>
      <c r="L8" s="3027">
        <v>3000</v>
      </c>
      <c r="M8" s="177">
        <f>ROUND(K8*L8/10000,0)</f>
        <v>8025</v>
      </c>
      <c r="N8" s="3028">
        <v>0</v>
      </c>
      <c r="O8" s="177">
        <f t="shared" si="3"/>
        <v>0</v>
      </c>
      <c r="P8" s="178">
        <f t="shared" si="4"/>
        <v>8025</v>
      </c>
      <c r="Q8" s="3029">
        <v>0.1</v>
      </c>
      <c r="R8" s="179">
        <f>SUMIF('数据-汇总表'!C$19:C$33,A8,'数据-汇总表'!R$19:R$33)</f>
        <v>2937.46</v>
      </c>
      <c r="S8" s="132">
        <f>IF('数据-汇总表'!$I$17="按面积比例",SUMIF('数据-汇总表'!C$19:C$33,A8,'数据-汇总表'!K$19:K$33),SUMIF('数据-汇总表'!C$19:C$33,A8,'数据-汇总表'!N$19:N$33))</f>
        <v>869.12</v>
      </c>
      <c r="T8" s="2235">
        <f t="shared" si="5"/>
        <v>217</v>
      </c>
      <c r="U8" s="180">
        <v>800</v>
      </c>
      <c r="V8" s="181">
        <v>0</v>
      </c>
      <c r="W8" s="181">
        <v>0.05</v>
      </c>
      <c r="X8" s="2322"/>
      <c r="Y8" s="182">
        <v>1</v>
      </c>
      <c r="Z8" s="183"/>
      <c r="AA8" s="176"/>
      <c r="AB8" s="176"/>
      <c r="AC8" s="2325"/>
      <c r="AD8" s="184"/>
      <c r="AE8" s="972">
        <f t="shared" ca="1" si="6"/>
        <v>42.07</v>
      </c>
      <c r="AF8" s="141"/>
      <c r="AG8" s="1213">
        <f t="shared" si="7"/>
        <v>0</v>
      </c>
      <c r="AH8" s="141">
        <v>764</v>
      </c>
      <c r="AI8" s="187">
        <v>12</v>
      </c>
      <c r="AJ8" s="188"/>
      <c r="AK8" s="189">
        <v>1.4999999999999999E-2</v>
      </c>
      <c r="AL8" s="190">
        <v>1.5E-3</v>
      </c>
      <c r="AM8" s="2391">
        <v>1.4999999999999999E-2</v>
      </c>
      <c r="AN8" s="2393" t="s">
        <v>3013</v>
      </c>
      <c r="AO8" s="2001"/>
      <c r="AP8" s="1204">
        <f t="shared" si="8"/>
        <v>0.85599999999999998</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4651.75</v>
      </c>
      <c r="L14" s="193">
        <v>2500</v>
      </c>
      <c r="M14" s="177">
        <f t="shared" si="0"/>
        <v>1163</v>
      </c>
      <c r="N14" s="194">
        <v>0</v>
      </c>
      <c r="O14" s="177">
        <f t="shared" si="3"/>
        <v>0</v>
      </c>
      <c r="P14" s="178">
        <f t="shared" si="4"/>
        <v>1163</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0.95899999999999996</v>
      </c>
      <c r="H16" s="203">
        <f>ROUND(SUMPRODUCT(H6:H13,K6:K13)/SUMPRODUCT((H6:H13&gt;0)*(K6:K13)),3)</f>
        <v>5.0999999999999997E-2</v>
      </c>
      <c r="I16" s="204"/>
      <c r="J16" s="204"/>
      <c r="K16" s="205">
        <f>SUM(K6:K15)</f>
        <v>147819.42000000001</v>
      </c>
      <c r="L16" s="206">
        <f>ROUND(M16*10000/SUM(K6:K14),0)</f>
        <v>3942</v>
      </c>
      <c r="M16" s="206">
        <f>SUM(M6:M14)</f>
        <v>58277</v>
      </c>
      <c r="N16" s="207">
        <f>ROUND(SUMPRODUCT(M6:M14,N6:N14)/M16,3)</f>
        <v>0</v>
      </c>
      <c r="O16" s="206">
        <f>SUM(O6:O14)</f>
        <v>0</v>
      </c>
      <c r="P16" s="206">
        <f>SUM(P6:P14)</f>
        <v>58277</v>
      </c>
      <c r="Q16" s="208">
        <f>ROUND(SUMPRODUCT(Q6:Q13,K6:K13)/SUMPRODUCT((Q6:Q13&gt;0)*(K6:K13)),2)</f>
        <v>0.2</v>
      </c>
      <c r="R16" s="2312">
        <f>SUM(R6:R13)</f>
        <v>15721.939999999999</v>
      </c>
      <c r="S16" s="209">
        <f>SUM(S6:S13)</f>
        <v>4651.75</v>
      </c>
      <c r="T16" s="210">
        <f>IF(SUMIF(T6:T13,"&lt;9E307")=M14,SUMIF(T6:T13,"&lt;9E307"),"有误，请检查")</f>
        <v>1163</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0.85799999999999998</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2338</v>
      </c>
      <c r="D20" s="1994"/>
      <c r="E20" s="1993"/>
      <c r="F20" s="1993"/>
      <c r="G20" s="1993"/>
      <c r="H20" s="1993"/>
      <c r="I20" s="1993"/>
      <c r="J20" s="1993"/>
      <c r="K20" s="1992"/>
      <c r="L20" s="1992"/>
      <c r="M20" s="1990"/>
      <c r="N20" s="1990"/>
      <c r="O20" s="1990"/>
      <c r="P20" s="1990"/>
      <c r="Q20" s="1990"/>
      <c r="R20" s="1990"/>
      <c r="S20" s="1990"/>
      <c r="T20" s="1990">
        <v>4</v>
      </c>
      <c r="U20" s="1990">
        <f t="shared" ref="U20:U21" si="9">U$23*V20</f>
        <v>4.5</v>
      </c>
      <c r="V20" s="1990">
        <v>0.5</v>
      </c>
      <c r="W20" s="1990">
        <f>'数据-汇总表'!F20-'数据-取费表'!W23-'数据-取费表'!W22-'数据-取费表'!W21</f>
        <v>12244.690000000002</v>
      </c>
      <c r="X20" s="1990">
        <f>ROUND(W20/W$26,2)</f>
        <v>0.19</v>
      </c>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v>3</v>
      </c>
      <c r="U21" s="1990">
        <f t="shared" si="9"/>
        <v>5.3999999999999995</v>
      </c>
      <c r="V21" s="1990">
        <v>0.6</v>
      </c>
      <c r="W21" s="1990">
        <f>ROUND('数据-汇总表'!F$20/4,2)</f>
        <v>12244.68</v>
      </c>
      <c r="X21" s="1990">
        <f t="shared" ref="X21:X23" si="10">ROUND(W21/W$26,2)</f>
        <v>0.19</v>
      </c>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v>2</v>
      </c>
      <c r="U22" s="1990">
        <f>U$23*V22</f>
        <v>6.3</v>
      </c>
      <c r="V22" s="1990">
        <v>0.7</v>
      </c>
      <c r="W22" s="1990">
        <f>ROUND('数据-汇总表'!F$20/4,2)</f>
        <v>12244.68</v>
      </c>
      <c r="X22" s="1990">
        <f t="shared" si="10"/>
        <v>0.19</v>
      </c>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v>1</v>
      </c>
      <c r="U23" s="1990">
        <v>9</v>
      </c>
      <c r="V23" s="1990">
        <v>1</v>
      </c>
      <c r="W23" s="1990">
        <f>ROUND('数据-汇总表'!F$20/4,2)</f>
        <v>12244.68</v>
      </c>
      <c r="X23" s="1990">
        <f t="shared" si="10"/>
        <v>0.19</v>
      </c>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v>-1</v>
      </c>
      <c r="U24" s="1990">
        <f>U$23*V24</f>
        <v>4.5</v>
      </c>
      <c r="V24" s="1990">
        <v>0.5</v>
      </c>
      <c r="W24" s="1990">
        <f>'数据-汇总表'!G20/2</f>
        <v>8494.94</v>
      </c>
      <c r="X24" s="1990">
        <v>0.12</v>
      </c>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v>-2</v>
      </c>
      <c r="U25" s="1990">
        <f>U$23*V25</f>
        <v>4.05</v>
      </c>
      <c r="V25" s="1990">
        <v>0.45</v>
      </c>
      <c r="W25" s="1990">
        <f>W24</f>
        <v>8494.94</v>
      </c>
      <c r="X25" s="1990">
        <v>0.12</v>
      </c>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f>U20*X20+U21*X21+U22*X22+U23*X23+U24*X24+U25*X25</f>
        <v>5.8140000000000001</v>
      </c>
      <c r="V26" s="1990"/>
      <c r="W26" s="1990">
        <f>W20+W21+W22+W23+W24+W25</f>
        <v>65968.61</v>
      </c>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200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v>2956</v>
      </c>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2896</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2897</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2898</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2899</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2900</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2900</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2460</v>
      </c>
      <c r="B40" s="2482">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1">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66" t="s">
        <v>2901</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2902</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2903</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5" t="s">
        <v>2904</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6" t="s">
        <v>2905</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6" t="s">
        <v>2906</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1410</v>
      </c>
      <c r="C53" s="3077" t="s">
        <v>2907</v>
      </c>
      <c r="D53" s="3078" t="s">
        <v>2908</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0" t="s">
        <v>2909</v>
      </c>
      <c r="B54" s="186"/>
      <c r="C54" s="1995">
        <v>30</v>
      </c>
      <c r="D54" s="3079"/>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0" t="s">
        <v>2910</v>
      </c>
      <c r="B55" s="186"/>
      <c r="C55" s="1995">
        <v>24</v>
      </c>
      <c r="D55" s="3079"/>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0" t="s">
        <v>2911</v>
      </c>
      <c r="B56" s="186"/>
      <c r="C56" s="1995">
        <v>18</v>
      </c>
      <c r="D56" s="3079"/>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0" t="s">
        <v>2912</v>
      </c>
      <c r="B57" s="186"/>
      <c r="C57" s="1995">
        <v>12</v>
      </c>
      <c r="D57" s="3079"/>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0" t="s">
        <v>2913</v>
      </c>
      <c r="B58" s="186"/>
      <c r="C58" s="1995">
        <v>3</v>
      </c>
      <c r="D58" s="3079"/>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0" t="s">
        <v>2914</v>
      </c>
      <c r="B59" s="186">
        <v>1.5</v>
      </c>
      <c r="C59" s="1995">
        <v>1.5</v>
      </c>
      <c r="D59" s="3079"/>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0" t="s">
        <v>2915</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0" t="s">
        <v>2916</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0" t="s">
        <v>2917</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1" t="s">
        <v>2918</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87" t="s">
        <v>1664</v>
      </c>
      <c r="B1" s="3288"/>
      <c r="C1" s="3288"/>
      <c r="D1" s="3288"/>
      <c r="E1" s="3288"/>
      <c r="F1" s="3288"/>
      <c r="G1" s="3288"/>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2" t="s">
        <v>2925</v>
      </c>
      <c r="D3" s="2010"/>
      <c r="E3" s="1229" t="s">
        <v>1667</v>
      </c>
      <c r="F3" s="1230" t="s">
        <v>1655</v>
      </c>
      <c r="G3" s="3086" t="s">
        <v>2924</v>
      </c>
      <c r="H3" s="2009"/>
      <c r="I3" s="2009"/>
      <c r="J3" s="2009"/>
      <c r="K3" s="2009"/>
      <c r="L3" s="2009"/>
      <c r="M3" s="2009"/>
      <c r="N3" s="2009"/>
      <c r="O3" s="2009"/>
      <c r="P3" s="2009"/>
      <c r="Q3" s="2009"/>
      <c r="R3" s="2009"/>
    </row>
    <row r="4" spans="1:18" ht="41.25">
      <c r="A4" s="1229"/>
      <c r="B4" s="1231" t="s">
        <v>1668</v>
      </c>
      <c r="C4" s="3083" t="s">
        <v>2926</v>
      </c>
      <c r="D4" s="2010"/>
      <c r="E4" s="1232"/>
      <c r="F4" s="1233" t="s">
        <v>1669</v>
      </c>
      <c r="G4" s="3084" t="s">
        <v>2921</v>
      </c>
      <c r="H4" s="2009"/>
      <c r="I4" s="2009"/>
      <c r="J4" s="2009"/>
      <c r="K4" s="2009"/>
      <c r="L4" s="2009"/>
      <c r="M4" s="2009"/>
      <c r="N4" s="2009"/>
      <c r="O4" s="2009"/>
      <c r="P4" s="2009"/>
      <c r="Q4" s="2009"/>
      <c r="R4" s="2009"/>
    </row>
    <row r="5" spans="1:18" ht="41.25">
      <c r="A5" s="1229"/>
      <c r="B5" s="1231" t="s">
        <v>1670</v>
      </c>
      <c r="C5" s="3083" t="s">
        <v>2927</v>
      </c>
      <c r="D5" s="2010"/>
      <c r="E5" s="1232"/>
      <c r="F5" s="1231" t="s">
        <v>2549</v>
      </c>
      <c r="G5" s="3084" t="s">
        <v>2922</v>
      </c>
      <c r="H5" s="2009"/>
      <c r="I5" s="2009"/>
      <c r="J5" s="2009"/>
      <c r="K5" s="2009"/>
      <c r="L5" s="2009"/>
      <c r="M5" s="2009"/>
      <c r="N5" s="2009"/>
      <c r="O5" s="2009"/>
      <c r="P5" s="2009"/>
      <c r="Q5" s="2009"/>
      <c r="R5" s="2009"/>
    </row>
    <row r="6" spans="1:18" ht="54">
      <c r="A6" s="1229"/>
      <c r="B6" s="1231" t="s">
        <v>1656</v>
      </c>
      <c r="C6" s="3084" t="s">
        <v>2921</v>
      </c>
      <c r="D6" s="2010"/>
      <c r="E6" s="1232"/>
      <c r="F6" s="1231" t="s">
        <v>2550</v>
      </c>
      <c r="G6" s="3084" t="s">
        <v>2919</v>
      </c>
      <c r="H6" s="2009"/>
      <c r="I6" s="2009"/>
      <c r="J6" s="2009"/>
      <c r="K6" s="2009"/>
      <c r="L6" s="2009"/>
      <c r="M6" s="2009"/>
      <c r="N6" s="2009"/>
      <c r="O6" s="2009"/>
      <c r="P6" s="2009"/>
      <c r="Q6" s="2009"/>
      <c r="R6" s="2009"/>
    </row>
    <row r="7" spans="1:18" ht="41.25" thickBot="1">
      <c r="A7" s="1229"/>
      <c r="B7" s="1231" t="s">
        <v>2549</v>
      </c>
      <c r="C7" s="3084" t="s">
        <v>2922</v>
      </c>
      <c r="D7" s="2011"/>
      <c r="E7" s="1234"/>
      <c r="F7" s="1235" t="s">
        <v>1671</v>
      </c>
      <c r="G7" s="3087" t="s">
        <v>2923</v>
      </c>
      <c r="H7" s="2009"/>
      <c r="I7" s="2009"/>
      <c r="J7" s="2009"/>
      <c r="K7" s="2009"/>
      <c r="L7" s="2009"/>
      <c r="M7" s="2009"/>
      <c r="N7" s="2009"/>
      <c r="O7" s="2009"/>
      <c r="P7" s="2009"/>
      <c r="Q7" s="2009"/>
      <c r="R7" s="2009"/>
    </row>
    <row r="8" spans="1:18" ht="27">
      <c r="A8" s="1229"/>
      <c r="B8" s="1231" t="s">
        <v>2550</v>
      </c>
      <c r="C8" s="3084" t="s">
        <v>2919</v>
      </c>
      <c r="D8" s="2011"/>
      <c r="E8" s="2011"/>
      <c r="F8" s="1554"/>
      <c r="G8" s="1554"/>
      <c r="H8" s="2009"/>
      <c r="I8" s="2009"/>
      <c r="J8" s="2009"/>
      <c r="K8" s="2009"/>
      <c r="L8" s="2009"/>
      <c r="M8" s="2009"/>
      <c r="N8" s="2009"/>
      <c r="O8" s="2009"/>
      <c r="P8" s="2009"/>
      <c r="Q8" s="2009"/>
      <c r="R8" s="2009"/>
    </row>
    <row r="9" spans="1:18" ht="40.5">
      <c r="A9" s="1229"/>
      <c r="B9" s="1231" t="s">
        <v>1657</v>
      </c>
      <c r="C9" s="3083" t="s">
        <v>2920</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5"/>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估价对象位于XX开发区，园区建设成熟度XX，产业集聚程度XX</v>
      </c>
    </row>
    <row r="16" spans="1:18" ht="40.5">
      <c r="A16" s="2590"/>
      <c r="B16" s="1245" t="s">
        <v>1668</v>
      </c>
      <c r="C16" s="1246" t="str">
        <f>C4</f>
        <v>估价对象位于XX商圈，周边商业氛围成熟，人流量大，商业繁华度好</v>
      </c>
      <c r="D16" s="2010"/>
      <c r="E16" s="2587"/>
      <c r="F16" s="1247" t="s">
        <v>1669</v>
      </c>
      <c r="G16" s="1005" t="str">
        <f>G4</f>
        <v>估价对象周边道路状况、公共交通通达情况、停车便捷程度，综合评价交通便捷度较好</v>
      </c>
    </row>
    <row r="17" spans="1:7" ht="40.5">
      <c r="A17" s="2590"/>
      <c r="B17" s="1245" t="s">
        <v>1670</v>
      </c>
      <c r="C17" s="1246" t="str">
        <f>C5</f>
        <v>估价对象位于XX商圈，周边办公楼项目较多，入驻率高，办公集聚程度较好</v>
      </c>
      <c r="D17" s="2011"/>
      <c r="E17" s="2587"/>
      <c r="F17" s="1247" t="s">
        <v>1675</v>
      </c>
      <c r="G17" s="2795"/>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2549</v>
      </c>
      <c r="G19" s="1005" t="str">
        <f>G5</f>
        <v>估价对象所在区域公共配套设施齐备情况</v>
      </c>
    </row>
    <row r="20" spans="1:7" ht="40.5">
      <c r="A20" s="2590"/>
      <c r="B20" s="1247" t="s">
        <v>1661</v>
      </c>
      <c r="C20" s="1246" t="str">
        <f>C9</f>
        <v>区域自然环境：；人文环境；综合评价环境状况一般</v>
      </c>
      <c r="D20" s="2011"/>
      <c r="E20" s="2587"/>
      <c r="F20" s="1231" t="s">
        <v>2550</v>
      </c>
      <c r="G20" s="1005" t="str">
        <f>G6</f>
        <v>估价对象所在区域基础设施水平</v>
      </c>
    </row>
    <row r="21" spans="1:7" ht="27">
      <c r="A21" s="2590"/>
      <c r="B21" s="1231" t="s">
        <v>2549</v>
      </c>
      <c r="C21" s="1005" t="str">
        <f>C7</f>
        <v>估价对象所在区域公共配套设施齐备情况</v>
      </c>
      <c r="D21" s="2010"/>
      <c r="E21" s="2587"/>
      <c r="F21" s="1247" t="s">
        <v>1662</v>
      </c>
      <c r="G21" s="3088"/>
    </row>
    <row r="22" spans="1:7" ht="27">
      <c r="A22" s="2590"/>
      <c r="B22" s="1231" t="s">
        <v>2550</v>
      </c>
      <c r="C22" s="1005" t="str">
        <f>C8</f>
        <v>估价对象所在区域基础设施水平</v>
      </c>
      <c r="D22" s="2010"/>
      <c r="E22" s="2587"/>
      <c r="F22" s="1247" t="s">
        <v>1672</v>
      </c>
      <c r="G22" s="2795"/>
    </row>
    <row r="23" spans="1:7" ht="15" thickBot="1">
      <c r="A23" s="2590"/>
      <c r="B23" s="1247" t="s">
        <v>1662</v>
      </c>
      <c r="C23" s="3088"/>
      <c r="E23" s="2588"/>
      <c r="F23" s="1248" t="s">
        <v>1676</v>
      </c>
      <c r="G23" s="3089"/>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2847</v>
      </c>
      <c r="B1" s="3046">
        <f>SUM(B14:B23)</f>
        <v>147819.42000000001</v>
      </c>
      <c r="C1" s="3047"/>
      <c r="D1" s="3047"/>
      <c r="E1" s="3047"/>
      <c r="F1" s="3047"/>
    </row>
    <row r="2" spans="1:9" ht="16.5">
      <c r="A2" s="3046" t="s">
        <v>2848</v>
      </c>
      <c r="B2" s="3046">
        <f>SUM(C14:C23)</f>
        <v>15721.95</v>
      </c>
      <c r="C2" s="3047"/>
      <c r="D2" s="3047"/>
      <c r="E2" s="3047"/>
      <c r="F2" s="3047"/>
    </row>
    <row r="3" spans="1:9" ht="16.5">
      <c r="A3" s="3046" t="s">
        <v>2849</v>
      </c>
      <c r="B3" s="3048">
        <f>项目基本情况!D3</f>
        <v>43390</v>
      </c>
      <c r="C3" s="3047"/>
      <c r="D3" s="3047"/>
      <c r="E3" s="3047"/>
      <c r="F3" s="3047"/>
    </row>
    <row r="4" spans="1:9" ht="33">
      <c r="A4" s="3046" t="s">
        <v>2850</v>
      </c>
      <c r="B4" s="3046" t="s">
        <v>2851</v>
      </c>
      <c r="C4" s="3046" t="s">
        <v>2852</v>
      </c>
      <c r="D4" s="3046" t="s">
        <v>2853</v>
      </c>
      <c r="E4" s="3047"/>
      <c r="F4" s="3047"/>
    </row>
    <row r="5" spans="1:9" ht="16.5">
      <c r="A5" s="3046" t="s">
        <v>2854</v>
      </c>
      <c r="B5" s="3046">
        <f ca="1">SUM(D14:D23)</f>
        <v>154381</v>
      </c>
      <c r="C5" s="3046">
        <f ca="1">ROUND(B5*10000/$B$1,0)</f>
        <v>10444</v>
      </c>
      <c r="D5" s="3046">
        <f ca="1">ROUND(B5*10000/$B$2,0)</f>
        <v>98195</v>
      </c>
      <c r="E5" s="3047"/>
      <c r="F5" s="3047"/>
    </row>
    <row r="6" spans="1:9" ht="16.5">
      <c r="A6" s="3046" t="s">
        <v>2855</v>
      </c>
      <c r="B6" s="3046">
        <f ca="1">SUM(G14:G23)</f>
        <v>154381</v>
      </c>
      <c r="C6" s="3046">
        <f t="shared" ref="C6:C8" ca="1" si="0">ROUND(B6*10000/$B$1,0)</f>
        <v>10444</v>
      </c>
      <c r="D6" s="3046">
        <f t="shared" ref="D6:D8" ca="1" si="1">ROUND(B6*10000/$B$2,0)</f>
        <v>98195</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147819.42000000001</v>
      </c>
      <c r="C14" s="3050">
        <f>结果表!K38</f>
        <v>15721.95</v>
      </c>
      <c r="D14" s="3050">
        <f ca="1">结果表!C42</f>
        <v>154381</v>
      </c>
      <c r="E14" s="3050">
        <f ca="1">ROUND(D14*10000/B14,0)</f>
        <v>10444</v>
      </c>
      <c r="F14" s="3050">
        <f ca="1">ROUND(D14*10000/C14,0)</f>
        <v>98195</v>
      </c>
      <c r="G14" s="3050">
        <f ca="1">结果表!C44</f>
        <v>154381</v>
      </c>
      <c r="H14" s="3050" t="str">
        <f>结果表!C45</f>
        <v>——</v>
      </c>
      <c r="I14" s="3050" t="str">
        <f>结果表!C46</f>
        <v>——</v>
      </c>
    </row>
    <row r="15" spans="1:9" ht="16.5">
      <c r="A15" s="3053" t="s">
        <v>2864</v>
      </c>
      <c r="B15" s="3054"/>
      <c r="C15" s="3054"/>
      <c r="D15" s="3054"/>
      <c r="E15" s="3050" t="e">
        <f t="shared" ref="E15:E23" si="2">ROUND(D15*10000/B15,0)</f>
        <v>#DIV/0!</v>
      </c>
      <c r="F15" s="3050" t="e">
        <f t="shared" ref="F15:F23" si="3">ROUND(D15*10000/C15,0)</f>
        <v>#DIV/0!</v>
      </c>
      <c r="G15" s="3051"/>
      <c r="H15" s="3051"/>
      <c r="I15" s="3054"/>
    </row>
    <row r="16" spans="1:9" ht="16.5">
      <c r="A16" s="3053" t="s">
        <v>2865</v>
      </c>
      <c r="B16" s="3054"/>
      <c r="C16" s="3054"/>
      <c r="D16" s="3054"/>
      <c r="E16" s="3050" t="e">
        <f t="shared" si="2"/>
        <v>#DIV/0!</v>
      </c>
      <c r="F16" s="3050" t="e">
        <f t="shared" si="3"/>
        <v>#DIV/0!</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Normal="100" zoomScaleSheetLayoutView="100" zoomScalePageLayoutView="80" workbookViewId="0">
      <selection activeCell="F36" sqref="F36:I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30"/>
      <c r="K1" s="2030"/>
      <c r="L1" s="2030"/>
      <c r="M1" s="2030"/>
      <c r="N1" s="2030"/>
      <c r="O1" s="2030"/>
      <c r="P1" s="2030"/>
      <c r="Q1" s="2030"/>
      <c r="R1" s="2030"/>
      <c r="S1" s="2030"/>
      <c r="T1" s="2030"/>
      <c r="U1" s="2030"/>
      <c r="V1" s="2030"/>
    </row>
    <row r="2" spans="1:22" ht="21.75" customHeight="1" thickBot="1">
      <c r="A2" s="3334" t="str">
        <f>项目基本情况!K2</f>
        <v>北京市出让国有建设用地使用权</v>
      </c>
      <c r="B2" s="3335"/>
      <c r="C2" s="3336"/>
      <c r="D2" s="3336"/>
      <c r="E2" s="3336"/>
      <c r="F2" s="3336"/>
      <c r="G2" s="3335"/>
      <c r="H2" s="3335"/>
      <c r="I2" s="3337"/>
      <c r="J2" s="2031"/>
      <c r="K2" s="2030"/>
      <c r="L2" s="2030"/>
      <c r="M2" s="2030"/>
      <c r="N2" s="2030"/>
      <c r="O2" s="2030"/>
      <c r="P2" s="2030"/>
      <c r="Q2" s="2030"/>
      <c r="R2" s="2030"/>
      <c r="S2" s="2030"/>
      <c r="T2" s="2030"/>
      <c r="U2" s="2030"/>
      <c r="V2" s="2030"/>
    </row>
    <row r="3" spans="1:22" ht="14.25">
      <c r="A3" s="3345" t="s">
        <v>298</v>
      </c>
      <c r="B3" s="3346"/>
      <c r="C3" s="3346"/>
      <c r="D3" s="3346"/>
      <c r="E3" s="3346"/>
      <c r="F3" s="3346"/>
      <c r="G3" s="3346"/>
      <c r="H3" s="3346"/>
      <c r="I3" s="3346"/>
      <c r="J3" s="2031"/>
      <c r="K3" s="2030"/>
      <c r="L3" s="2030"/>
      <c r="M3" s="2030"/>
      <c r="N3" s="2030"/>
      <c r="O3" s="2030"/>
      <c r="P3" s="2030"/>
      <c r="Q3" s="2030"/>
      <c r="R3" s="2030"/>
      <c r="S3" s="2030"/>
      <c r="T3" s="2030"/>
      <c r="U3" s="2030"/>
      <c r="V3" s="2030"/>
    </row>
    <row r="4" spans="1:22" ht="14.25">
      <c r="A4" s="258" t="s">
        <v>299</v>
      </c>
      <c r="B4" s="259" t="s">
        <v>300</v>
      </c>
      <c r="C4" s="260" t="s">
        <v>3084</v>
      </c>
      <c r="D4" s="260" t="s">
        <v>3085</v>
      </c>
      <c r="E4" s="3309" t="s">
        <v>301</v>
      </c>
      <c r="F4" s="3351"/>
      <c r="G4" s="3351"/>
      <c r="H4" s="3351"/>
      <c r="I4" s="3310"/>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38" t="s">
        <v>302</v>
      </c>
      <c r="B5" s="3339">
        <v>25</v>
      </c>
      <c r="C5" s="3347"/>
      <c r="D5" s="3350"/>
      <c r="E5" s="261" t="s">
        <v>303</v>
      </c>
      <c r="F5" s="262"/>
      <c r="G5" s="262"/>
      <c r="H5" s="262"/>
      <c r="I5" s="263"/>
      <c r="J5" s="2031"/>
      <c r="K5" s="2030"/>
      <c r="L5" s="2030"/>
      <c r="M5" s="2030"/>
      <c r="N5" s="2030"/>
      <c r="O5" s="2030"/>
      <c r="P5" s="2030"/>
      <c r="Q5" s="2030"/>
      <c r="R5" s="2030"/>
      <c r="S5" s="2030"/>
      <c r="T5" s="2030"/>
      <c r="U5" s="2030"/>
      <c r="V5" s="2030"/>
    </row>
    <row r="6" spans="1:22" ht="14.25">
      <c r="A6" s="3338"/>
      <c r="B6" s="3339"/>
      <c r="C6" s="3348"/>
      <c r="D6" s="3350"/>
      <c r="E6" s="261" t="s">
        <v>304</v>
      </c>
      <c r="F6" s="262"/>
      <c r="G6" s="262"/>
      <c r="H6" s="262"/>
      <c r="I6" s="263"/>
      <c r="J6" s="2031"/>
      <c r="K6" s="2030"/>
      <c r="L6" s="2030"/>
      <c r="M6" s="2030"/>
      <c r="N6" s="2030"/>
      <c r="O6" s="2030"/>
      <c r="P6" s="2030"/>
      <c r="Q6" s="2030"/>
      <c r="R6" s="2030"/>
      <c r="S6" s="2030"/>
      <c r="T6" s="2030"/>
      <c r="U6" s="2030"/>
      <c r="V6" s="2030"/>
    </row>
    <row r="7" spans="1:22" ht="14.25">
      <c r="A7" s="3338"/>
      <c r="B7" s="3339"/>
      <c r="C7" s="3349"/>
      <c r="D7" s="3350"/>
      <c r="E7" s="261" t="s">
        <v>305</v>
      </c>
      <c r="F7" s="262"/>
      <c r="G7" s="262"/>
      <c r="H7" s="262"/>
      <c r="I7" s="263"/>
      <c r="J7" s="2031"/>
      <c r="K7" s="2030"/>
      <c r="L7" s="2030"/>
      <c r="M7" s="2030"/>
      <c r="N7" s="2030"/>
      <c r="O7" s="2030"/>
      <c r="P7" s="2030"/>
      <c r="Q7" s="2030"/>
      <c r="R7" s="2030"/>
      <c r="S7" s="2030"/>
      <c r="T7" s="2030"/>
      <c r="U7" s="2030"/>
      <c r="V7" s="2030"/>
    </row>
    <row r="8" spans="1:22" ht="14.25">
      <c r="A8" s="3338" t="s">
        <v>306</v>
      </c>
      <c r="B8" s="3339">
        <v>15</v>
      </c>
      <c r="C8" s="3347"/>
      <c r="D8" s="3350"/>
      <c r="E8" s="261" t="s">
        <v>307</v>
      </c>
      <c r="F8" s="262"/>
      <c r="G8" s="262"/>
      <c r="H8" s="262"/>
      <c r="I8" s="263"/>
      <c r="J8" s="2031"/>
      <c r="K8" s="2030"/>
      <c r="L8" s="2030"/>
      <c r="M8" s="2030"/>
      <c r="N8" s="2030"/>
      <c r="O8" s="2030"/>
      <c r="P8" s="2030"/>
      <c r="Q8" s="2030"/>
      <c r="R8" s="2030"/>
      <c r="S8" s="2030"/>
      <c r="T8" s="2030"/>
      <c r="U8" s="2030"/>
      <c r="V8" s="2030"/>
    </row>
    <row r="9" spans="1:22" ht="14.25">
      <c r="A9" s="3338"/>
      <c r="B9" s="3339"/>
      <c r="C9" s="3349"/>
      <c r="D9" s="3350"/>
      <c r="E9" s="261" t="s">
        <v>308</v>
      </c>
      <c r="F9" s="262"/>
      <c r="G9" s="262"/>
      <c r="H9" s="262"/>
      <c r="I9" s="263"/>
      <c r="J9" s="2031"/>
      <c r="K9" s="2030"/>
      <c r="L9" s="2030"/>
      <c r="M9" s="2030"/>
      <c r="N9" s="2030"/>
      <c r="O9" s="2030"/>
      <c r="P9" s="2030"/>
      <c r="Q9" s="2030"/>
      <c r="R9" s="2030"/>
      <c r="S9" s="2030"/>
      <c r="T9" s="2030"/>
      <c r="U9" s="2030"/>
      <c r="V9" s="2030"/>
    </row>
    <row r="10" spans="1:22" ht="14.25">
      <c r="A10" s="3338" t="s">
        <v>309</v>
      </c>
      <c r="B10" s="3339">
        <v>15</v>
      </c>
      <c r="C10" s="3347"/>
      <c r="D10" s="3350"/>
      <c r="E10" s="261" t="s">
        <v>310</v>
      </c>
      <c r="F10" s="262"/>
      <c r="G10" s="262"/>
      <c r="H10" s="262"/>
      <c r="I10" s="263"/>
      <c r="J10" s="2031"/>
      <c r="K10" s="2030"/>
      <c r="L10" s="2030"/>
      <c r="M10" s="2030"/>
      <c r="N10" s="2030"/>
      <c r="O10" s="2030"/>
      <c r="P10" s="2030"/>
      <c r="Q10" s="2030"/>
      <c r="R10" s="2030"/>
      <c r="S10" s="2030"/>
      <c r="T10" s="2030"/>
      <c r="U10" s="2030"/>
      <c r="V10" s="2030"/>
    </row>
    <row r="11" spans="1:22" ht="14.25">
      <c r="A11" s="3338"/>
      <c r="B11" s="3339"/>
      <c r="C11" s="3349"/>
      <c r="D11" s="3350"/>
      <c r="E11" s="261" t="s">
        <v>311</v>
      </c>
      <c r="F11" s="262"/>
      <c r="G11" s="262"/>
      <c r="H11" s="262"/>
      <c r="I11" s="263"/>
      <c r="J11" s="2031"/>
      <c r="K11" s="2030"/>
      <c r="L11" s="2030"/>
      <c r="M11" s="2030"/>
      <c r="N11" s="2030"/>
      <c r="O11" s="2030"/>
      <c r="P11" s="2030"/>
      <c r="Q11" s="2030"/>
      <c r="R11" s="2030"/>
      <c r="S11" s="2030"/>
      <c r="T11" s="2030"/>
      <c r="U11" s="2030"/>
      <c r="V11" s="2030"/>
    </row>
    <row r="12" spans="1:22" ht="14.25">
      <c r="A12" s="3338" t="s">
        <v>312</v>
      </c>
      <c r="B12" s="3339">
        <v>15</v>
      </c>
      <c r="C12" s="3347"/>
      <c r="D12" s="3350"/>
      <c r="E12" s="261" t="s">
        <v>313</v>
      </c>
      <c r="F12" s="262"/>
      <c r="G12" s="262"/>
      <c r="H12" s="262"/>
      <c r="I12" s="263"/>
      <c r="J12" s="2031"/>
      <c r="K12" s="2030"/>
      <c r="L12" s="2030"/>
      <c r="M12" s="2030"/>
      <c r="N12" s="2030"/>
      <c r="O12" s="2030"/>
      <c r="P12" s="2030"/>
      <c r="Q12" s="2030"/>
      <c r="R12" s="2030"/>
      <c r="S12" s="2030"/>
      <c r="T12" s="2030"/>
      <c r="U12" s="2030"/>
      <c r="V12" s="2030"/>
    </row>
    <row r="13" spans="1:22" ht="14.25">
      <c r="A13" s="3338"/>
      <c r="B13" s="3339"/>
      <c r="C13" s="3349"/>
      <c r="D13" s="3350"/>
      <c r="E13" s="261" t="s">
        <v>314</v>
      </c>
      <c r="F13" s="262"/>
      <c r="G13" s="262"/>
      <c r="H13" s="262"/>
      <c r="I13" s="263"/>
      <c r="J13" s="2031"/>
      <c r="K13" s="2030"/>
      <c r="L13" s="2030"/>
      <c r="M13" s="2030"/>
      <c r="N13" s="2030"/>
      <c r="O13" s="2030"/>
      <c r="P13" s="2030"/>
      <c r="Q13" s="2030"/>
      <c r="R13" s="2030"/>
      <c r="S13" s="2030"/>
      <c r="T13" s="2030"/>
      <c r="U13" s="2030"/>
      <c r="V13" s="2030"/>
    </row>
    <row r="14" spans="1:22" ht="14.25">
      <c r="A14" s="3338" t="s">
        <v>315</v>
      </c>
      <c r="B14" s="3339">
        <v>30</v>
      </c>
      <c r="C14" s="3347">
        <v>5</v>
      </c>
      <c r="D14" s="3350">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38"/>
      <c r="B15" s="3339"/>
      <c r="C15" s="3348"/>
      <c r="D15" s="3350"/>
      <c r="E15" s="261" t="s">
        <v>317</v>
      </c>
      <c r="F15" s="262"/>
      <c r="G15" s="262"/>
      <c r="H15" s="262"/>
      <c r="I15" s="263"/>
      <c r="J15" s="2031"/>
      <c r="K15" s="2030"/>
      <c r="L15" s="2030"/>
      <c r="M15" s="2030"/>
      <c r="N15" s="2030"/>
      <c r="O15" s="2030"/>
      <c r="P15" s="2030"/>
      <c r="Q15" s="2030"/>
      <c r="R15" s="2030"/>
      <c r="S15" s="2030"/>
      <c r="T15" s="2030"/>
      <c r="U15" s="2030"/>
      <c r="V15" s="2030"/>
    </row>
    <row r="16" spans="1:22" ht="14.25">
      <c r="A16" s="3338"/>
      <c r="B16" s="3339"/>
      <c r="C16" s="3349"/>
      <c r="D16" s="3350"/>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160572</v>
      </c>
      <c r="D19" s="271">
        <f ca="1">SUMIF(INDIRECT("'"&amp;D4&amp;"'"&amp;"!A:A"),结果表!B19,INDIRECT("'"&amp;D4&amp;"'"&amp;"!B:B"))</f>
        <v>148189</v>
      </c>
      <c r="E19" s="268" t="s">
        <v>323</v>
      </c>
      <c r="F19" s="269" t="s">
        <v>322</v>
      </c>
      <c r="G19" s="272">
        <f ca="1">ROUND(C19*$C$18+D19*$D$18,0)</f>
        <v>154381</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10863</v>
      </c>
      <c r="D20" s="277">
        <f ca="1">SUMIF(INDIRECT("'"&amp;D4&amp;"'"&amp;"!A:A"),结果表!B20,INDIRECT("'"&amp;D4&amp;"'"&amp;"!B:B"))</f>
        <v>10025</v>
      </c>
      <c r="E20" s="274"/>
      <c r="F20" s="275" t="s">
        <v>325</v>
      </c>
      <c r="G20" s="278">
        <f ca="1">ROUND(C20*$C$18+D20*$D$18,0)</f>
        <v>10444</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102132</v>
      </c>
      <c r="D21" s="151">
        <f ca="1">SUMIF(INDIRECT("'"&amp;D4&amp;"'"&amp;"!A:A"),结果表!B21,INDIRECT("'"&amp;D4&amp;"'"&amp;"!B:B"))</f>
        <v>94256</v>
      </c>
      <c r="E21" s="274"/>
      <c r="F21" s="280" t="s">
        <v>327</v>
      </c>
      <c r="G21" s="282">
        <f ca="1">ROUND(C21*$C$18+D21*$D$18,0)</f>
        <v>98194</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8.3562207721220805E-2</v>
      </c>
      <c r="E22" s="284"/>
      <c r="F22" s="285"/>
      <c r="G22" s="286">
        <f ca="1">ROUND(G19/('数据-汇总表'!D3/666.67),0)</f>
        <v>6546</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11"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53"/>
      <c r="B25" s="1321" t="s">
        <v>331</v>
      </c>
      <c r="C25" s="290">
        <f>IF(B30=0,0,C30)</f>
        <v>0</v>
      </c>
      <c r="D25" s="291"/>
      <c r="E25" s="311"/>
      <c r="F25" s="311"/>
      <c r="G25" s="311"/>
      <c r="H25" s="311"/>
      <c r="I25" s="311"/>
      <c r="J25" s="2030"/>
      <c r="K25" s="1255" t="str">
        <f ca="1">项目基本情况!B16&amp;"国有建设用地使用权价格："&amp;O38&amp;"万元"</f>
        <v>出让国有建设用地使用权价格：154381万元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大写金额：人民币壹拾伍亿肆仟叁佰捌拾壹万元整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单位面积地价：98195元/平方米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楼面地价：10444元/平方米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抵押价格：154381万元</v>
      </c>
      <c r="L29" s="1252"/>
      <c r="M29" s="1252"/>
      <c r="N29" s="1252"/>
      <c r="O29" s="1251"/>
      <c r="P29" s="2030"/>
      <c r="V29" s="2030"/>
    </row>
    <row r="30" spans="1:26" ht="18.75" thickBot="1">
      <c r="A30" s="3131" t="s">
        <v>336</v>
      </c>
      <c r="B30" s="309"/>
      <c r="C30" s="309"/>
      <c r="D30" s="310"/>
      <c r="E30" s="3132" t="s">
        <v>2974</v>
      </c>
      <c r="F30" s="311"/>
      <c r="G30" s="311"/>
      <c r="H30" s="311"/>
      <c r="I30" s="311"/>
      <c r="J30" s="2030"/>
      <c r="K30" s="1258" t="str">
        <f ca="1">IF(K29="——","——","大写金额：人民币"&amp;NUMBERSTRING(INT(O39*10000),2)&amp;"元整")</f>
        <v>大写金额：人民币壹拾伍亿肆仟叁佰捌拾壹万元整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337</v>
      </c>
      <c r="B32" s="1382" t="s">
        <v>1689</v>
      </c>
      <c r="C32" s="1383">
        <f ca="1">G19-C24</f>
        <v>154381</v>
      </c>
      <c r="D32" s="1384" t="s">
        <v>1690</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340</v>
      </c>
      <c r="B33" s="1385" t="s">
        <v>1691</v>
      </c>
      <c r="C33" s="264">
        <f ca="1">ROUND(C32*10000/'数据-汇总表'!E3,0)</f>
        <v>10444</v>
      </c>
      <c r="D33" s="1386" t="s">
        <v>1692</v>
      </c>
      <c r="E33" s="3311"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98195</v>
      </c>
      <c r="D34" s="1388" t="s">
        <v>1692</v>
      </c>
      <c r="E34" s="3312"/>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6546</v>
      </c>
      <c r="D35" s="1391" t="s">
        <v>1694</v>
      </c>
      <c r="E35" s="3313"/>
      <c r="F35" s="301" t="s">
        <v>342</v>
      </c>
      <c r="G35" s="982"/>
      <c r="H35" s="981" t="s">
        <v>343</v>
      </c>
      <c r="I35" s="311"/>
      <c r="J35" s="2030"/>
      <c r="K35" s="3317" t="s">
        <v>350</v>
      </c>
      <c r="L35" s="3317" t="s">
        <v>351</v>
      </c>
      <c r="M35" s="1264" t="s">
        <v>352</v>
      </c>
      <c r="N35" s="3317" t="s">
        <v>353</v>
      </c>
      <c r="O35" s="3317" t="s">
        <v>354</v>
      </c>
      <c r="P35" s="2030"/>
      <c r="V35" s="2030"/>
    </row>
    <row r="36" spans="1:26" ht="16.5" customHeight="1">
      <c r="A36" s="303" t="s">
        <v>344</v>
      </c>
      <c r="B36" s="304" t="s">
        <v>333</v>
      </c>
      <c r="C36" s="305" t="s">
        <v>345</v>
      </c>
      <c r="D36" s="305" t="s">
        <v>346</v>
      </c>
      <c r="E36" s="306" t="s">
        <v>347</v>
      </c>
      <c r="F36" s="311"/>
      <c r="G36" s="311"/>
      <c r="H36" s="311"/>
      <c r="I36" s="311"/>
      <c r="J36" s="2032"/>
      <c r="K36" s="3318"/>
      <c r="L36" s="3318"/>
      <c r="M36" s="1266" t="s">
        <v>355</v>
      </c>
      <c r="N36" s="3318"/>
      <c r="O36" s="3318"/>
      <c r="P36" s="2030"/>
      <c r="V36" s="2030"/>
    </row>
    <row r="37" spans="1:26" ht="16.5" customHeight="1" thickBot="1">
      <c r="A37" s="1260" t="s">
        <v>348</v>
      </c>
      <c r="B37" s="307"/>
      <c r="C37" s="294"/>
      <c r="D37" s="294"/>
      <c r="E37" s="295"/>
      <c r="F37" s="311"/>
      <c r="G37" s="311"/>
      <c r="H37" s="311"/>
      <c r="I37" s="311"/>
      <c r="J37" s="2032"/>
      <c r="K37" s="3319"/>
      <c r="L37" s="3319"/>
      <c r="M37" s="1267"/>
      <c r="N37" s="3319"/>
      <c r="O37" s="3319"/>
      <c r="P37" s="2030"/>
      <c r="V37" s="2030"/>
    </row>
    <row r="38" spans="1:26" ht="16.5" customHeight="1" thickBot="1">
      <c r="A38" s="1260" t="s">
        <v>349</v>
      </c>
      <c r="B38" s="307"/>
      <c r="C38" s="294"/>
      <c r="D38" s="294"/>
      <c r="E38" s="295"/>
      <c r="F38" s="311"/>
      <c r="G38" s="311"/>
      <c r="H38" s="311"/>
      <c r="I38" s="311"/>
      <c r="J38" s="2032"/>
      <c r="K38" s="1268">
        <f>'数据-汇总表'!D3</f>
        <v>15721.95</v>
      </c>
      <c r="L38" s="1269">
        <f>'数据-汇总表'!E3</f>
        <v>147819.42000000001</v>
      </c>
      <c r="M38" s="1269">
        <f ca="1">C34</f>
        <v>98195</v>
      </c>
      <c r="N38" s="1269">
        <f ca="1">C33</f>
        <v>10444</v>
      </c>
      <c r="O38" s="1270">
        <f ca="1">C32</f>
        <v>154381</v>
      </c>
      <c r="P38" s="2030"/>
      <c r="V38" s="2030"/>
    </row>
    <row r="39" spans="1:26" ht="16.5" customHeight="1" thickBot="1">
      <c r="A39" s="1265"/>
      <c r="B39" s="308"/>
      <c r="C39" s="309"/>
      <c r="D39" s="309"/>
      <c r="E39" s="310"/>
      <c r="F39" s="311"/>
      <c r="G39" s="311"/>
      <c r="H39" s="311"/>
      <c r="I39" s="311"/>
      <c r="J39" s="2032"/>
      <c r="K39" s="3294" t="str">
        <f>MID(A44,3,LEN(A44)-2)</f>
        <v>抵押价格</v>
      </c>
      <c r="L39" s="3295"/>
      <c r="M39" s="3295"/>
      <c r="N39" s="3296"/>
      <c r="O39" s="1393">
        <f ca="1">C44</f>
        <v>154381</v>
      </c>
      <c r="P39" s="2030"/>
      <c r="V39" s="2030"/>
    </row>
    <row r="40" spans="1:26" ht="19.5" thickBot="1">
      <c r="A40" s="104" t="s">
        <v>873</v>
      </c>
      <c r="B40" s="311"/>
      <c r="C40" s="311"/>
      <c r="D40" s="311"/>
      <c r="E40" s="311"/>
      <c r="F40" s="311"/>
      <c r="G40" s="311"/>
      <c r="H40" s="311"/>
      <c r="I40" s="311"/>
      <c r="J40" s="2032"/>
      <c r="K40" s="3294" t="str">
        <f t="shared" ref="K40:K41" si="0">MID(A45,3,LEN(A45)-2)</f>
        <v/>
      </c>
      <c r="L40" s="3295"/>
      <c r="M40" s="3295"/>
      <c r="N40" s="3296"/>
      <c r="O40" s="1393" t="str">
        <f>C45</f>
        <v>——</v>
      </c>
      <c r="P40" s="2030"/>
      <c r="V40" s="2030"/>
    </row>
    <row r="41" spans="1:26" ht="16.5" thickBot="1">
      <c r="A41" s="312" t="s">
        <v>356</v>
      </c>
      <c r="B41" s="313"/>
      <c r="C41" s="314" t="s">
        <v>357</v>
      </c>
      <c r="D41" s="315" t="s">
        <v>358</v>
      </c>
      <c r="E41" s="315" t="s">
        <v>359</v>
      </c>
      <c r="F41" s="316" t="s">
        <v>360</v>
      </c>
      <c r="G41" s="311"/>
      <c r="H41" s="311"/>
      <c r="I41" s="311"/>
      <c r="J41" s="2032"/>
      <c r="K41" s="3294" t="str">
        <f t="shared" si="0"/>
        <v/>
      </c>
      <c r="L41" s="3295"/>
      <c r="M41" s="3295"/>
      <c r="N41" s="3296"/>
      <c r="O41" s="1393" t="str">
        <f>C46</f>
        <v>——</v>
      </c>
      <c r="P41" s="2030"/>
      <c r="V41" s="2030"/>
    </row>
    <row r="42" spans="1:26" ht="29.25">
      <c r="A42" s="3354" t="s">
        <v>2070</v>
      </c>
      <c r="B42" s="3355"/>
      <c r="C42" s="264">
        <f ca="1">C32</f>
        <v>154381</v>
      </c>
      <c r="D42" s="317">
        <f ca="1">C33</f>
        <v>10444</v>
      </c>
      <c r="E42" s="317">
        <f ca="1">C34</f>
        <v>98195</v>
      </c>
      <c r="F42" s="318">
        <f ca="1">C35</f>
        <v>6546</v>
      </c>
      <c r="G42" s="311"/>
      <c r="H42" s="311"/>
      <c r="I42" s="319"/>
      <c r="J42" s="2032"/>
      <c r="K42" s="1271" t="s">
        <v>361</v>
      </c>
      <c r="L42" s="2049" t="s">
        <v>362</v>
      </c>
      <c r="M42" s="1272" t="s">
        <v>363</v>
      </c>
      <c r="N42" s="2050" t="s">
        <v>364</v>
      </c>
      <c r="O42" s="2051" t="s">
        <v>365</v>
      </c>
      <c r="P42" s="2030"/>
      <c r="V42" s="2030"/>
    </row>
    <row r="43" spans="1:26" ht="30">
      <c r="A43" s="3364" t="s">
        <v>2733</v>
      </c>
      <c r="B43" s="3365"/>
      <c r="C43" s="264">
        <f>IF(H33="正常操作",G33+G34+G35,G34+G35)</f>
        <v>0</v>
      </c>
      <c r="D43" s="317" t="s">
        <v>43</v>
      </c>
      <c r="E43" s="317" t="s">
        <v>44</v>
      </c>
      <c r="F43" s="318" t="s">
        <v>44</v>
      </c>
      <c r="G43" s="2868" t="s">
        <v>952</v>
      </c>
      <c r="H43" s="311"/>
      <c r="I43" s="319"/>
      <c r="J43" s="2032"/>
      <c r="K43" s="1273" t="str">
        <f>C4</f>
        <v>比较法-住宅、综合</v>
      </c>
      <c r="L43" s="1274">
        <f ca="1">IF(L42="估价结果/万元",C19,C20)</f>
        <v>160572</v>
      </c>
      <c r="M43" s="1275">
        <f>C18</f>
        <v>0.5</v>
      </c>
      <c r="N43" s="1276">
        <f ca="1">IF(N42="测算结果/万元",G19,G20)</f>
        <v>154381</v>
      </c>
      <c r="O43" s="1277">
        <f ca="1">IF(O42="最终结果/万元",C32,C33)</f>
        <v>154381</v>
      </c>
      <c r="P43" s="2030"/>
      <c r="V43" s="2030"/>
    </row>
    <row r="44" spans="1:26" ht="30.75" thickBot="1">
      <c r="A44" s="3354" t="str">
        <f>IF(OR(项目基本情况!E8="抵押价格",项目基本情况!E8="已注销及未注销"),"3.抵押价格","——")</f>
        <v>3.抵押价格</v>
      </c>
      <c r="B44" s="3355"/>
      <c r="C44" s="264">
        <f ca="1">IF(A44="——","——",C42-C43)</f>
        <v>154381</v>
      </c>
      <c r="D44" s="317">
        <f ca="1">ROUND(C44*10000/'数据-汇总表'!E3,0)</f>
        <v>10444</v>
      </c>
      <c r="E44" s="317">
        <f ca="1">ROUND(C44*10000/'数据-汇总表'!D3,0)</f>
        <v>98195</v>
      </c>
      <c r="F44" s="318">
        <f ca="1">ROUND(C44/('数据-汇总表'!D3/666.67),0)</f>
        <v>6546</v>
      </c>
      <c r="G44" s="311"/>
      <c r="H44" s="311"/>
      <c r="I44" s="319"/>
      <c r="J44" s="2032"/>
      <c r="K44" s="1278" t="str">
        <f>D4</f>
        <v>剩余法-待开发</v>
      </c>
      <c r="L44" s="1279">
        <f ca="1">IF(L42="估价结果/万元",D19,D20)</f>
        <v>148189</v>
      </c>
      <c r="M44" s="1280">
        <f>D18</f>
        <v>0.5</v>
      </c>
      <c r="N44" s="1281"/>
      <c r="O44" s="1282"/>
      <c r="P44" s="2030"/>
      <c r="V44" s="2030"/>
    </row>
    <row r="45" spans="1:26" ht="15">
      <c r="A45" s="3359" t="str">
        <f>IF(项目基本情况!E8="已注销及未注销","4.抵押担保权已注销时的抵押价格",IF(项目基本情况!E8="已注销","3.抵押担保权已注销时的抵押价格","——"))</f>
        <v>——</v>
      </c>
      <c r="B45" s="3360"/>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56" t="str">
        <f>IF(项目基本情况!E9="抵押净值",IF(A45="——","4.抵押净值","5.抵押净值"),"——")</f>
        <v>——</v>
      </c>
      <c r="B46" s="3357"/>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2" t="s">
        <v>374</v>
      </c>
      <c r="B63" s="3323"/>
      <c r="C63" s="3324"/>
      <c r="D63" s="341">
        <f ca="1">ROUND(C42*F63,0)</f>
        <v>92629</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61" t="s">
        <v>378</v>
      </c>
      <c r="B64" s="3362"/>
      <c r="C64" s="3362"/>
      <c r="D64" s="3362"/>
      <c r="E64" s="3362"/>
      <c r="F64" s="3362"/>
      <c r="G64" s="3363"/>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58" t="s">
        <v>386</v>
      </c>
      <c r="B66" s="3329"/>
      <c r="C66" s="3329"/>
      <c r="D66" s="261">
        <f ca="1">IF(H66="情况1",0,IF(H66="情况2",D70,IF(H66="情况3",D71,IF(H66="情况4",D72))))</f>
        <v>4852</v>
      </c>
      <c r="E66" s="993" t="str">
        <f>IF(H66="情况4","(销售额-原购置价)×税（费）率","销售额×税（费）率")</f>
        <v>销售额×税（费）率</v>
      </c>
      <c r="F66" s="350">
        <f>IF(H66="情况1","免征",'数据-取费表'!B41)</f>
        <v>5.5000000000000007E-2</v>
      </c>
      <c r="G66" s="351" t="s">
        <v>387</v>
      </c>
      <c r="H66" s="191" t="s">
        <v>388</v>
      </c>
      <c r="I66" s="1288"/>
      <c r="J66" s="2036"/>
      <c r="K66" s="1291">
        <v>1</v>
      </c>
      <c r="L66" s="3298" t="s">
        <v>385</v>
      </c>
      <c r="M66" s="3299"/>
      <c r="N66" s="2460"/>
      <c r="O66" s="2461"/>
      <c r="P66" s="2462"/>
      <c r="Q66" s="2030"/>
      <c r="R66" s="2030"/>
      <c r="S66" s="2030"/>
      <c r="T66" s="2030"/>
      <c r="U66" s="2030"/>
      <c r="V66" s="2030"/>
    </row>
    <row r="67" spans="1:22" ht="25.5" customHeight="1">
      <c r="A67" s="352" t="s">
        <v>390</v>
      </c>
      <c r="B67" s="3341" t="s">
        <v>391</v>
      </c>
      <c r="C67" s="3341"/>
      <c r="D67" s="353">
        <v>0</v>
      </c>
      <c r="E67" s="41" t="s">
        <v>392</v>
      </c>
      <c r="F67" s="62" t="s">
        <v>21</v>
      </c>
      <c r="G67" s="3325"/>
      <c r="H67" s="311"/>
      <c r="I67" s="1292"/>
      <c r="J67" s="2037"/>
      <c r="K67" s="1978">
        <v>2</v>
      </c>
      <c r="L67" s="3297" t="s">
        <v>389</v>
      </c>
      <c r="M67" s="3297"/>
      <c r="N67" s="1325">
        <f>'数据-取费表'!B2</f>
        <v>43390</v>
      </c>
      <c r="O67" s="1325"/>
      <c r="P67" s="1325"/>
      <c r="Q67" s="2030"/>
      <c r="R67" s="2030"/>
      <c r="S67" s="2030"/>
      <c r="T67" s="2030"/>
      <c r="U67" s="2030"/>
      <c r="V67" s="2030"/>
    </row>
    <row r="68" spans="1:22" ht="25.5" customHeight="1">
      <c r="A68" s="354"/>
      <c r="B68" s="3341" t="s">
        <v>394</v>
      </c>
      <c r="C68" s="3341"/>
      <c r="D68" s="355"/>
      <c r="E68" s="77"/>
      <c r="F68" s="356"/>
      <c r="G68" s="3326"/>
      <c r="H68" s="311"/>
      <c r="I68" s="1292"/>
      <c r="J68" s="2037"/>
      <c r="K68" s="1978">
        <v>3</v>
      </c>
      <c r="L68" s="3297" t="s">
        <v>393</v>
      </c>
      <c r="M68" s="3297"/>
      <c r="N68" s="1293">
        <f ca="1">C42</f>
        <v>154381</v>
      </c>
      <c r="O68" s="1293"/>
      <c r="P68" s="1293"/>
      <c r="Q68" s="2030"/>
      <c r="R68" s="2030"/>
      <c r="S68" s="2030"/>
      <c r="T68" s="2030"/>
      <c r="U68" s="2030"/>
      <c r="V68" s="2030"/>
    </row>
    <row r="69" spans="1:22" ht="12" customHeight="1">
      <c r="A69" s="357"/>
      <c r="B69" s="3341" t="s">
        <v>395</v>
      </c>
      <c r="C69" s="3341"/>
      <c r="D69" s="358"/>
      <c r="E69" s="73"/>
      <c r="F69" s="356"/>
      <c r="G69" s="3327"/>
      <c r="H69" s="311"/>
      <c r="I69" s="1292"/>
      <c r="J69" s="2037"/>
      <c r="K69" s="1294">
        <v>4</v>
      </c>
      <c r="L69" s="3303" t="s">
        <v>2886</v>
      </c>
      <c r="M69" s="3304"/>
      <c r="N69" s="1295">
        <f ca="1">C44</f>
        <v>154381</v>
      </c>
      <c r="O69" s="1295"/>
      <c r="P69" s="1295"/>
      <c r="Q69" s="2030"/>
      <c r="R69" s="2030"/>
      <c r="S69" s="2030"/>
      <c r="T69" s="2030"/>
      <c r="U69" s="2030"/>
      <c r="V69" s="2030"/>
    </row>
    <row r="70" spans="1:22" ht="24" customHeight="1">
      <c r="A70" s="359" t="s">
        <v>396</v>
      </c>
      <c r="B70" s="3341" t="s">
        <v>397</v>
      </c>
      <c r="C70" s="3341"/>
      <c r="D70" s="358">
        <f ca="1">ROUND(D63*'数据-取费表'!B41/(1+'数据-取费表'!C42),0)</f>
        <v>4852</v>
      </c>
      <c r="E70" s="17" t="s">
        <v>398</v>
      </c>
      <c r="F70" s="360">
        <f>'数据-取费表'!B41</f>
        <v>5.5000000000000007E-2</v>
      </c>
      <c r="G70" s="361"/>
      <c r="H70" s="311"/>
      <c r="I70" s="1292"/>
      <c r="J70" s="2037"/>
      <c r="K70" s="3063"/>
      <c r="L70" s="3064"/>
      <c r="M70" s="3064"/>
      <c r="N70" s="3065" t="s">
        <v>2891</v>
      </c>
      <c r="O70" s="3064"/>
      <c r="P70" s="3066"/>
      <c r="Q70" s="2030"/>
      <c r="R70" s="2030"/>
      <c r="S70" s="2030"/>
      <c r="T70" s="2030"/>
      <c r="U70" s="2030"/>
      <c r="V70" s="2030"/>
    </row>
    <row r="71" spans="1:22" ht="12" customHeight="1">
      <c r="A71" s="359" t="s">
        <v>404</v>
      </c>
      <c r="B71" s="3340" t="s">
        <v>405</v>
      </c>
      <c r="C71" s="3352"/>
      <c r="D71" s="358">
        <f ca="1">ROUND(D63*'数据-取费表'!B41/(1+'数据-取费表'!C42),0)</f>
        <v>4852</v>
      </c>
      <c r="E71" s="17" t="s">
        <v>398</v>
      </c>
      <c r="F71" s="360">
        <f>'数据-取费表'!B41</f>
        <v>5.5000000000000007E-2</v>
      </c>
      <c r="G71" s="361"/>
      <c r="H71" s="311"/>
      <c r="I71" s="1292"/>
      <c r="J71" s="2037"/>
      <c r="K71" s="3062" t="s">
        <v>399</v>
      </c>
      <c r="L71" s="3305" t="s">
        <v>400</v>
      </c>
      <c r="M71" s="3305"/>
      <c r="N71" s="3062" t="s">
        <v>401</v>
      </c>
      <c r="O71" s="3062" t="s">
        <v>402</v>
      </c>
      <c r="P71" s="3062" t="s">
        <v>403</v>
      </c>
      <c r="Q71" s="2030"/>
      <c r="R71" s="2030"/>
      <c r="S71" s="2030"/>
      <c r="T71" s="2030"/>
      <c r="U71" s="2030"/>
      <c r="V71" s="2030"/>
    </row>
    <row r="72" spans="1:22" ht="12" customHeight="1">
      <c r="A72" s="359" t="s">
        <v>407</v>
      </c>
      <c r="B72" s="3340" t="s">
        <v>408</v>
      </c>
      <c r="C72" s="3352"/>
      <c r="D72" s="358">
        <f ca="1">C86</f>
        <v>4742</v>
      </c>
      <c r="E72" s="73" t="s">
        <v>409</v>
      </c>
      <c r="F72" s="360">
        <f>'数据-取费表'!B41</f>
        <v>5.5000000000000007E-2</v>
      </c>
      <c r="G72" s="361"/>
      <c r="H72" s="1298"/>
      <c r="I72" s="1292"/>
      <c r="J72" s="2037"/>
      <c r="K72" s="1978">
        <v>1</v>
      </c>
      <c r="L72" s="3302" t="s">
        <v>406</v>
      </c>
      <c r="M72" s="3302"/>
      <c r="N72" s="1296">
        <f ca="1">D66</f>
        <v>4852</v>
      </c>
      <c r="O72" s="1861" t="str">
        <f>E66</f>
        <v>销售额×税（费）率</v>
      </c>
      <c r="P72" s="1297">
        <f>F66</f>
        <v>5.5000000000000007E-2</v>
      </c>
      <c r="Q72" s="2030"/>
      <c r="R72" s="2030"/>
      <c r="S72" s="2030"/>
      <c r="T72" s="2030"/>
      <c r="U72" s="2030"/>
      <c r="V72" s="2030"/>
    </row>
    <row r="73" spans="1:22" ht="24" customHeight="1">
      <c r="A73" s="3328" t="s">
        <v>411</v>
      </c>
      <c r="B73" s="3329"/>
      <c r="C73" s="3329"/>
      <c r="D73" s="362">
        <f>IF(H73="个人住宅",0,ROUND(D63*I73,0))</f>
        <v>0</v>
      </c>
      <c r="E73" s="17" t="s">
        <v>412</v>
      </c>
      <c r="F73" s="360" t="str">
        <f>IF(H73="正常",I73,"免征")</f>
        <v>免征</v>
      </c>
      <c r="G73" s="361"/>
      <c r="H73" s="191" t="s">
        <v>2458</v>
      </c>
      <c r="I73" s="360">
        <f>'数据-取费表'!B49</f>
        <v>5.0000000000000001E-4</v>
      </c>
      <c r="J73" s="2037"/>
      <c r="K73" s="1978">
        <v>2</v>
      </c>
      <c r="L73" s="3302" t="s">
        <v>410</v>
      </c>
      <c r="M73" s="3302"/>
      <c r="N73" s="1296">
        <f t="shared" ref="N73:P74" si="1">D73</f>
        <v>0</v>
      </c>
      <c r="O73" s="1861" t="str">
        <f t="shared" si="1"/>
        <v>销售额×税（费）率</v>
      </c>
      <c r="P73" s="1297" t="str">
        <f t="shared" si="1"/>
        <v>免征</v>
      </c>
      <c r="Q73" s="2030"/>
      <c r="R73" s="2030"/>
      <c r="S73" s="2030"/>
      <c r="T73" s="2030"/>
      <c r="U73" s="2030"/>
      <c r="V73" s="2030"/>
    </row>
    <row r="74" spans="1:22" ht="24.75">
      <c r="A74" s="3328" t="s">
        <v>415</v>
      </c>
      <c r="B74" s="3329"/>
      <c r="C74" s="3329"/>
      <c r="D74" s="362">
        <f ca="1">IF(H74="个人住宅",D75,D76)</f>
        <v>51856</v>
      </c>
      <c r="E74" s="17" t="s">
        <v>416</v>
      </c>
      <c r="F74" s="360" t="str">
        <f>IF(H74="正常",F76,"免征")</f>
        <v>——</v>
      </c>
      <c r="G74" s="983" t="s">
        <v>417</v>
      </c>
      <c r="H74" s="363" t="s">
        <v>413</v>
      </c>
      <c r="I74" s="42"/>
      <c r="J74" s="2037"/>
      <c r="K74" s="1978">
        <v>3</v>
      </c>
      <c r="L74" s="3302" t="s">
        <v>414</v>
      </c>
      <c r="M74" s="3302"/>
      <c r="N74" s="1296">
        <f t="shared" ca="1" si="1"/>
        <v>51856</v>
      </c>
      <c r="O74" s="1861" t="str">
        <f t="shared" si="1"/>
        <v>增值额×税（费）率</v>
      </c>
      <c r="P74" s="1299" t="str">
        <f t="shared" si="1"/>
        <v>——</v>
      </c>
      <c r="Q74" s="2030"/>
      <c r="R74" s="2030"/>
      <c r="S74" s="2030"/>
      <c r="T74" s="2030"/>
      <c r="U74" s="2030"/>
      <c r="V74" s="2030"/>
    </row>
    <row r="75" spans="1:22" ht="24">
      <c r="A75" s="359" t="s">
        <v>418</v>
      </c>
      <c r="B75" s="3309" t="s">
        <v>419</v>
      </c>
      <c r="C75" s="3310"/>
      <c r="D75" s="364">
        <v>0</v>
      </c>
      <c r="E75" s="41" t="s">
        <v>420</v>
      </c>
      <c r="F75" s="365"/>
      <c r="G75" s="361"/>
      <c r="H75" s="42"/>
      <c r="I75" s="42"/>
      <c r="J75" s="2037"/>
      <c r="K75" s="3055">
        <f>IF(H77="非个人房产","",4)</f>
        <v>4</v>
      </c>
      <c r="L75" s="3302" t="str">
        <f>IF(H77="非个人房产","——","个人所得税")</f>
        <v>个人所得税</v>
      </c>
      <c r="M75" s="3302"/>
      <c r="N75" s="1300">
        <f ca="1">D77</f>
        <v>926</v>
      </c>
      <c r="O75" s="1874" t="str">
        <f>E77</f>
        <v>销售额×税（费）率</v>
      </c>
      <c r="P75" s="1301">
        <f>F77</f>
        <v>0.01</v>
      </c>
      <c r="Q75" s="2030"/>
      <c r="R75" s="2030"/>
      <c r="S75" s="2030"/>
      <c r="T75" s="2030"/>
      <c r="U75" s="2030"/>
      <c r="V75" s="2030"/>
    </row>
    <row r="76" spans="1:22" ht="24.75">
      <c r="A76" s="359" t="s">
        <v>396</v>
      </c>
      <c r="B76" s="3309" t="s">
        <v>422</v>
      </c>
      <c r="C76" s="3351"/>
      <c r="D76" s="362">
        <f ca="1">IF(H76="转让取得",C99,C115)</f>
        <v>51856</v>
      </c>
      <c r="E76" s="17" t="s">
        <v>423</v>
      </c>
      <c r="F76" s="53" t="s">
        <v>21</v>
      </c>
      <c r="G76" s="361"/>
      <c r="H76" s="363" t="s">
        <v>424</v>
      </c>
      <c r="I76" s="42"/>
      <c r="J76" s="2037"/>
      <c r="K76" s="3055" t="str">
        <f>IF(项目基本情况!K6="上海银行",IF(K75="",4,K75+1),"")</f>
        <v/>
      </c>
      <c r="L76" s="3290" t="str">
        <f>IF(项目基本情况!K6="上海银行","其他处置费用","")</f>
        <v/>
      </c>
      <c r="M76" s="3291"/>
      <c r="N76" s="1296" t="str">
        <f>IF(项目基本情况!K6="上海银行",N89,"")</f>
        <v/>
      </c>
      <c r="O76" s="3292" t="str">
        <f>IF(项目基本情况!K6="上海银行","包含处置中涉及的律师、诉讼、拍卖、评估等费用","")</f>
        <v/>
      </c>
      <c r="P76" s="3293"/>
      <c r="Q76" s="2030"/>
      <c r="R76" s="2030"/>
      <c r="S76" s="2030"/>
      <c r="T76" s="2030"/>
      <c r="U76" s="2030"/>
      <c r="V76" s="2030"/>
    </row>
    <row r="77" spans="1:22" ht="26.25" thickBot="1">
      <c r="A77" s="3320" t="s">
        <v>426</v>
      </c>
      <c r="B77" s="3321"/>
      <c r="C77" s="3321"/>
      <c r="D77" s="366">
        <f ca="1">IF(H77="非个人房产","——",IF(H77="个人住宅",0,ROUND(D63*I77,0)))</f>
        <v>926</v>
      </c>
      <c r="E77" s="367" t="str">
        <f>IF(H77="非个人房产","——","销售额×税（费）率")</f>
        <v>销售额×税（费）率</v>
      </c>
      <c r="F77" s="368">
        <f>IF(H77="非个人房产","——",IF(H77="个人住宅","免征",I77))</f>
        <v>0.01</v>
      </c>
      <c r="G77" s="984" t="s">
        <v>417</v>
      </c>
      <c r="H77" s="363" t="s">
        <v>2887</v>
      </c>
      <c r="I77" s="369">
        <v>0.01</v>
      </c>
      <c r="J77" s="2037"/>
      <c r="K77" s="3316">
        <f>IF(AND(K75="",K76=""),4,IF(项目基本情况!K6="上海银行",K76+1,K75+1))</f>
        <v>5</v>
      </c>
      <c r="L77" s="3302" t="s">
        <v>2888</v>
      </c>
      <c r="M77" s="3061" t="s">
        <v>421</v>
      </c>
      <c r="N77" s="1302"/>
      <c r="O77" s="1303">
        <f ca="1">SUMIF(N72:N76,"&lt;9e307")</f>
        <v>57634</v>
      </c>
      <c r="P77" s="1304"/>
      <c r="Q77" s="3059">
        <f ca="1">O77/N69</f>
        <v>0.37332314209650153</v>
      </c>
      <c r="R77" s="2030"/>
      <c r="S77" s="2030"/>
      <c r="T77" s="2030"/>
      <c r="U77" s="2030"/>
      <c r="V77" s="2030"/>
    </row>
    <row r="78" spans="1:22" ht="12" customHeight="1">
      <c r="A78" s="1305"/>
      <c r="B78" s="311"/>
      <c r="C78" s="311"/>
      <c r="D78" s="311"/>
      <c r="E78" s="42"/>
      <c r="F78" s="42"/>
      <c r="G78" s="42"/>
      <c r="H78" s="1003"/>
      <c r="I78" s="311"/>
      <c r="J78" s="2037"/>
      <c r="K78" s="3316"/>
      <c r="L78" s="3302"/>
      <c r="M78" s="3061" t="s">
        <v>425</v>
      </c>
      <c r="N78" s="1302"/>
      <c r="O78" s="1303" t="str">
        <f ca="1">NUMBERSTRING(INT(O77*10000),2)&amp;"元整"</f>
        <v>伍亿柒仟陆佰叁拾肆万元整</v>
      </c>
      <c r="P78" s="1304"/>
      <c r="Q78" s="2030"/>
      <c r="R78" s="2030"/>
      <c r="S78" s="2030"/>
      <c r="T78" s="2030"/>
      <c r="U78" s="2030"/>
      <c r="V78" s="2030"/>
    </row>
    <row r="79" spans="1:22" ht="13.5" thickBot="1">
      <c r="A79" s="3306" t="s">
        <v>427</v>
      </c>
      <c r="B79" s="3306"/>
      <c r="C79" s="3306"/>
      <c r="D79" s="3306"/>
      <c r="E79" s="3306"/>
      <c r="F79" s="42"/>
      <c r="G79" s="42"/>
      <c r="H79" s="1003"/>
      <c r="I79" s="311"/>
      <c r="J79" s="2037"/>
      <c r="K79" s="3300">
        <f>K77+1</f>
        <v>6</v>
      </c>
      <c r="L79" s="3302" t="s">
        <v>2889</v>
      </c>
      <c r="M79" s="3061" t="s">
        <v>421</v>
      </c>
      <c r="N79" s="1302"/>
      <c r="O79" s="1303">
        <f ca="1">N69-O77</f>
        <v>96747</v>
      </c>
      <c r="P79" s="1304"/>
      <c r="Q79" s="2030"/>
      <c r="R79" s="2030"/>
      <c r="S79" s="2030"/>
      <c r="T79" s="2030"/>
      <c r="U79" s="2030"/>
      <c r="V79" s="2030"/>
    </row>
    <row r="80" spans="1:22" ht="25.5">
      <c r="A80" s="3307" t="s">
        <v>428</v>
      </c>
      <c r="B80" s="3308"/>
      <c r="C80" s="994"/>
      <c r="D80" s="994" t="s">
        <v>429</v>
      </c>
      <c r="E80" s="370" t="s">
        <v>430</v>
      </c>
      <c r="F80" s="42"/>
      <c r="G80" s="42"/>
      <c r="H80" s="1003"/>
      <c r="I80" s="311"/>
      <c r="J80" s="2030"/>
      <c r="K80" s="3301"/>
      <c r="L80" s="3302"/>
      <c r="M80" s="3061" t="s">
        <v>425</v>
      </c>
      <c r="N80" s="1302"/>
      <c r="O80" s="1303" t="str">
        <f ca="1">NUMBERSTRING(INT(O79*10000),2)&amp;"元整"</f>
        <v>玖亿陆仟柒佰肆拾柒万元整</v>
      </c>
      <c r="P80" s="1304"/>
      <c r="Q80" s="2030"/>
      <c r="R80" s="2030"/>
      <c r="S80" s="2030"/>
      <c r="T80" s="2030"/>
      <c r="U80" s="2030"/>
      <c r="V80" s="2030"/>
    </row>
    <row r="81" spans="1:26" ht="13.5" thickBot="1">
      <c r="A81" s="381" t="s">
        <v>1824</v>
      </c>
      <c r="B81" s="371" t="s">
        <v>431</v>
      </c>
      <c r="C81" s="372">
        <f ca="1">ROUND((C82+C83)/(1+'数据-取费表'!C42),0)</f>
        <v>88218</v>
      </c>
      <c r="D81" s="373"/>
      <c r="E81" s="374"/>
      <c r="F81" s="42"/>
      <c r="G81" s="42"/>
      <c r="H81" s="1003"/>
      <c r="I81" s="311"/>
      <c r="J81" s="2030"/>
      <c r="K81" s="3055">
        <f>K79+1</f>
        <v>7</v>
      </c>
      <c r="L81" s="3314" t="s">
        <v>2890</v>
      </c>
      <c r="M81" s="3315"/>
      <c r="N81" s="1306"/>
      <c r="O81" s="1307">
        <f ca="1">ROUND(O79*10000/'数据-汇总表'!E3,0)</f>
        <v>6545</v>
      </c>
      <c r="P81" s="1308"/>
      <c r="Q81" s="2030"/>
      <c r="R81" s="2030"/>
      <c r="S81" s="2030"/>
      <c r="T81" s="2030"/>
      <c r="U81" s="2030"/>
      <c r="V81" s="2030"/>
    </row>
    <row r="82" spans="1:26" ht="13.5" thickTop="1">
      <c r="A82" s="375" t="s">
        <v>1825</v>
      </c>
      <c r="B82" s="376" t="s">
        <v>432</v>
      </c>
      <c r="C82" s="377">
        <f ca="1">D63</f>
        <v>92629</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289" t="s">
        <v>2877</v>
      </c>
      <c r="L83" s="3067" t="s">
        <v>2878</v>
      </c>
      <c r="M83" s="3057">
        <f ca="1">IF(N69&gt;10000,N69*0.5%,IF(AND(N69&gt;1000,N69&lt;=10000),N69*1%,IF(AND(N69&gt;100,N69&lt;=1000),N69*3%,IF(AND(N69&gt;10,N69&lt;=100),N69*5%,N69*8%))))</f>
        <v>771.90499999999997</v>
      </c>
      <c r="N83" s="53">
        <f ca="1">ROUND(M83,1)</f>
        <v>771.9</v>
      </c>
      <c r="O83" s="3060"/>
      <c r="P83" s="2030"/>
      <c r="Q83" s="2030"/>
      <c r="R83" s="2030"/>
      <c r="S83" s="2030"/>
      <c r="T83" s="2030"/>
      <c r="U83" s="2030"/>
      <c r="V83" s="2030"/>
    </row>
    <row r="84" spans="1:26" ht="12.75">
      <c r="A84" s="381" t="s">
        <v>1827</v>
      </c>
      <c r="B84" s="382" t="s">
        <v>434</v>
      </c>
      <c r="C84" s="383">
        <v>2000</v>
      </c>
      <c r="D84" s="384" t="s">
        <v>19</v>
      </c>
      <c r="E84" s="3102" t="s">
        <v>2946</v>
      </c>
      <c r="F84" s="42"/>
      <c r="G84" s="42"/>
      <c r="H84" s="1003"/>
      <c r="I84" s="311"/>
      <c r="J84" s="2030"/>
      <c r="K84" s="3289"/>
      <c r="L84" s="3067" t="s">
        <v>2879</v>
      </c>
      <c r="M84" s="3057">
        <f ca="1">IF(N69&gt;2000,N69*0.5%,IF(AND(N69&gt;1000,N69&lt;=2000),N69*0.6%,IF(AND(N69&gt;500,N69&lt;=1000),N69*0.7%,IF(AND(N69&gt;200,N69&lt;=500),N69*0.8%,IF(AND(N69&gt;100,N69&lt;=200),N69*0.9%,IF(AND(N69&gt;50,N69&lt;=100),N69*1%,IF(AND(N69&gt;20,N69&lt;=50),N69*1.5%,IF(AND(N69&gt;10,N69&lt;=20),N69*2%,IF(AND(N69&gt;1,N69&lt;=10),N69*2.5%)))))))))</f>
        <v>771.90499999999997</v>
      </c>
      <c r="N84" s="53">
        <f t="shared" ref="N84:N85" ca="1" si="2">ROUND(M84,1)</f>
        <v>771.9</v>
      </c>
      <c r="O84" s="2030" t="s">
        <v>2880</v>
      </c>
      <c r="P84" s="2030"/>
      <c r="Q84" s="2030"/>
      <c r="R84" s="2030"/>
      <c r="S84" s="2030"/>
      <c r="T84" s="2030"/>
      <c r="U84" s="2030"/>
      <c r="V84" s="2030"/>
    </row>
    <row r="85" spans="1:26" ht="12.75">
      <c r="A85" s="381" t="s">
        <v>1828</v>
      </c>
      <c r="B85" s="382" t="s">
        <v>435</v>
      </c>
      <c r="C85" s="385">
        <f ca="1">C81-C84</f>
        <v>86218</v>
      </c>
      <c r="D85" s="378" t="s">
        <v>19</v>
      </c>
      <c r="E85" s="379"/>
      <c r="F85" s="42"/>
      <c r="G85" s="42"/>
      <c r="H85" s="1003"/>
      <c r="I85" s="311"/>
      <c r="J85" s="2030"/>
      <c r="K85" s="3289"/>
      <c r="L85" s="3067" t="s">
        <v>2881</v>
      </c>
      <c r="M85" s="3057">
        <f ca="1">IF(N69&gt;1000,N69*0.1%,IF(AND(N69&gt;500,N69&lt;=1000),N69*0.5%,IF(AND(N69&gt;50,N69&lt;=500),N69*1%,IF(AND(N69&gt;1,N69&lt;=50),N69*1.5%))))</f>
        <v>154.381</v>
      </c>
      <c r="N85" s="53">
        <f t="shared" ca="1" si="2"/>
        <v>154.4</v>
      </c>
      <c r="O85" s="2030" t="s">
        <v>2880</v>
      </c>
      <c r="P85" s="2030"/>
      <c r="Q85" s="2030"/>
      <c r="R85" s="2030"/>
      <c r="S85" s="2030"/>
      <c r="T85" s="2030"/>
      <c r="U85" s="2030"/>
      <c r="V85" s="2030"/>
    </row>
    <row r="86" spans="1:26" ht="13.5" thickBot="1">
      <c r="A86" s="386" t="s">
        <v>1829</v>
      </c>
      <c r="B86" s="387" t="s">
        <v>436</v>
      </c>
      <c r="C86" s="388">
        <f ca="1">IF(C85&lt;=0,0,ROUND(C85*D86,0))</f>
        <v>4742</v>
      </c>
      <c r="D86" s="389">
        <f>'数据-取费表'!B41</f>
        <v>5.5000000000000007E-2</v>
      </c>
      <c r="E86" s="390"/>
      <c r="F86" s="42"/>
      <c r="G86" s="42"/>
      <c r="H86" s="1003"/>
      <c r="I86" s="311"/>
      <c r="J86" s="2030"/>
      <c r="K86" s="3289"/>
      <c r="L86" s="3067" t="s">
        <v>2882</v>
      </c>
      <c r="M86" s="3057">
        <f ca="1">N69*0.5%</f>
        <v>771.90499999999997</v>
      </c>
      <c r="N86" s="53">
        <f ca="1">IF(M86&gt;0.5,0.5,ROUND(M86,0))</f>
        <v>0.5</v>
      </c>
      <c r="O86" s="2030" t="s">
        <v>2883</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89"/>
      <c r="L87" s="3067" t="s">
        <v>2884</v>
      </c>
      <c r="M87" s="3057">
        <f ca="1">IF(N69&gt;=10000,(8.25+(N69-10000)*0.01%),IF(AND(N69&gt;=8000,N69&lt;10000),(7.85+(N69-8000)*0.02%),IF(AND(N69&gt;=5000,N69&lt;8000),(6.65+(N69-5000)*0.04%),IF(AND(N69&gt;=2000,N69&lt;5000),(4.25+(PN69-2000)*0.08%),IF(AND(N69&gt;=1000,N69&lt;2000),(2.75+(N69-1000)*0.15%),IF(AND(N69&gt;=100,N69&lt;1000),(0.5+(N69-100)*0.25%),IF(AND(N69&gt;0,N69&lt;100),N69*0.5%)))))))</f>
        <v>22.688099999999999</v>
      </c>
      <c r="N87" s="53">
        <f ca="1">ROUND(M87*0.9,1)</f>
        <v>20.399999999999999</v>
      </c>
      <c r="O87" s="3060"/>
      <c r="P87" s="311"/>
      <c r="Q87" s="2030"/>
      <c r="R87" s="2030"/>
      <c r="S87" s="2030"/>
      <c r="T87" s="2030"/>
      <c r="U87" s="2030"/>
      <c r="V87" s="2030"/>
      <c r="W87" s="292"/>
      <c r="X87" s="292"/>
      <c r="Y87" s="292"/>
      <c r="Z87" s="292"/>
    </row>
    <row r="88" spans="1:26" s="1314" customFormat="1" ht="15" thickBot="1">
      <c r="A88" s="3343" t="s">
        <v>437</v>
      </c>
      <c r="B88" s="3344"/>
      <c r="C88" s="3344"/>
      <c r="D88" s="3344"/>
      <c r="E88" s="3344"/>
      <c r="F88" s="3344"/>
      <c r="G88" s="3344"/>
      <c r="H88" s="3344"/>
      <c r="I88" s="1315"/>
      <c r="J88" s="2038"/>
      <c r="K88" s="3289"/>
      <c r="L88" s="3067" t="s">
        <v>2885</v>
      </c>
      <c r="M88" s="3057">
        <f ca="1">IF(N69&gt;10000,N69*0.5%,IF(AND(N69&gt;5000,N69&lt;=10000),N69*1%,IF(AND(N69&gt;1000,N69&lt;=5000),N69*2%,IF(AND(N69&gt;200,N69&lt;=1000),N69*3%,N69*5%))))</f>
        <v>771.90499999999997</v>
      </c>
      <c r="N88" s="53">
        <f ca="1">ROUND(M88,1)</f>
        <v>771.9</v>
      </c>
      <c r="O88" s="3060"/>
      <c r="P88" s="11"/>
      <c r="Q88" s="2035"/>
      <c r="R88" s="2035"/>
      <c r="S88" s="2035"/>
      <c r="T88" s="2035"/>
      <c r="U88" s="2035"/>
      <c r="V88" s="2035"/>
      <c r="W88" s="2039"/>
      <c r="X88" s="2039"/>
      <c r="Y88" s="2039"/>
      <c r="Z88" s="2039"/>
    </row>
    <row r="89" spans="1:26" s="1314" customFormat="1" ht="14.25">
      <c r="A89" s="3307" t="s">
        <v>428</v>
      </c>
      <c r="B89" s="3308"/>
      <c r="C89" s="994"/>
      <c r="D89" s="994" t="s">
        <v>429</v>
      </c>
      <c r="E89" s="391" t="s">
        <v>438</v>
      </c>
      <c r="F89" s="392"/>
      <c r="G89" s="392"/>
      <c r="H89" s="393"/>
      <c r="I89" s="1316"/>
      <c r="J89" s="2040"/>
      <c r="K89" s="3289"/>
      <c r="L89" s="3067" t="s">
        <v>27</v>
      </c>
      <c r="M89" s="3058"/>
      <c r="N89" s="53">
        <f ca="1">ROUND(SUM(N83:N88),0)</f>
        <v>2491</v>
      </c>
      <c r="O89" s="3068">
        <f ca="1">N89/N69</f>
        <v>1.6135405263601091E-2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88218</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3002</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40" t="s">
        <v>447</v>
      </c>
      <c r="F94" s="3341"/>
      <c r="G94" s="3341"/>
      <c r="H94" s="3342"/>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441</v>
      </c>
      <c r="D96" s="406">
        <f>'数据-取费表'!B43</f>
        <v>5.000000000000001E-3</v>
      </c>
      <c r="E96" s="3330" t="s">
        <v>2431</v>
      </c>
      <c r="F96" s="3331"/>
      <c r="G96" s="3331"/>
      <c r="H96" s="3332"/>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85216</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28.386409060626249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50079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3" t="s">
        <v>454</v>
      </c>
      <c r="B101" s="3344"/>
      <c r="C101" s="3344"/>
      <c r="D101" s="3344"/>
      <c r="E101" s="3344"/>
      <c r="F101" s="3344"/>
      <c r="G101" s="3344"/>
      <c r="H101" s="3344"/>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07" t="s">
        <v>428</v>
      </c>
      <c r="B102" s="3308"/>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88218</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1131</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33" t="s">
        <v>462</v>
      </c>
      <c r="F109" s="3331"/>
      <c r="G109" s="3331"/>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33" t="s">
        <v>464</v>
      </c>
      <c r="F110" s="3331"/>
      <c r="G110" s="3331"/>
      <c r="H110" s="3332"/>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441</v>
      </c>
      <c r="D111" s="406">
        <f>'数据-取费表'!B43</f>
        <v>5.000000000000001E-3</v>
      </c>
      <c r="E111" s="3330" t="s">
        <v>2431</v>
      </c>
      <c r="F111" s="3331"/>
      <c r="G111" s="3331"/>
      <c r="H111" s="3332"/>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33" t="s">
        <v>2456</v>
      </c>
      <c r="F112" s="3331"/>
      <c r="G112" s="3331"/>
      <c r="H112" s="3332"/>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87087</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77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51856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37" zoomScale="80" zoomScaleNormal="95" zoomScaleSheetLayoutView="80" workbookViewId="0">
      <selection activeCell="F59" sqref="F59:F6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7.2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160572</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10863</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102132</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6809</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88" t="s">
        <v>522</v>
      </c>
      <c r="D6" s="3389"/>
      <c r="E6" s="3388" t="s">
        <v>523</v>
      </c>
      <c r="F6" s="3389"/>
      <c r="G6" s="3388" t="s">
        <v>524</v>
      </c>
      <c r="H6" s="3389"/>
      <c r="I6" s="3388" t="s">
        <v>525</v>
      </c>
      <c r="J6" s="3389"/>
      <c r="K6" s="514" t="s">
        <v>526</v>
      </c>
      <c r="L6" s="2135"/>
      <c r="M6" s="2134"/>
      <c r="N6" s="2134"/>
      <c r="O6" s="2136"/>
      <c r="P6" s="3390" t="s">
        <v>527</v>
      </c>
      <c r="Q6" s="3391"/>
      <c r="R6" s="3376" t="s">
        <v>523</v>
      </c>
      <c r="S6" s="3377"/>
      <c r="T6" s="3376" t="s">
        <v>524</v>
      </c>
      <c r="U6" s="3377"/>
      <c r="V6" s="3396" t="s">
        <v>525</v>
      </c>
      <c r="W6" s="3396"/>
      <c r="X6" s="1568"/>
      <c r="Y6" s="3376" t="s">
        <v>527</v>
      </c>
      <c r="Z6" s="3377"/>
      <c r="AA6" s="3371" t="s">
        <v>523</v>
      </c>
      <c r="AB6" s="3372" t="s">
        <v>524</v>
      </c>
      <c r="AC6" s="3371" t="s">
        <v>525</v>
      </c>
    </row>
    <row r="7" spans="1:30" ht="20.25">
      <c r="A7" s="515"/>
      <c r="B7" s="516"/>
      <c r="C7" s="3399" t="s">
        <v>2933</v>
      </c>
      <c r="D7" s="3400"/>
      <c r="E7" s="3399" t="str">
        <f>土地案例!A12</f>
        <v>通州区运河核心区Ⅸ-06地块F3其它类多功能用地</v>
      </c>
      <c r="F7" s="3400"/>
      <c r="G7" s="3399" t="str">
        <f>土地案例!A13</f>
        <v>通州区运河核心区Ⅸ-02地块F3其它类多功能用地</v>
      </c>
      <c r="H7" s="3400"/>
      <c r="I7" s="3399" t="str">
        <f>土地案例!A15</f>
        <v>通州区运河核心区Ⅸ-07地块F3其它类多功能用地</v>
      </c>
      <c r="J7" s="3400"/>
      <c r="K7" s="514"/>
      <c r="L7" s="2135"/>
      <c r="M7" s="2134"/>
      <c r="N7" s="2134"/>
      <c r="O7" s="2136"/>
      <c r="P7" s="3392"/>
      <c r="Q7" s="3393"/>
      <c r="R7" s="3378"/>
      <c r="S7" s="3379"/>
      <c r="T7" s="3378"/>
      <c r="U7" s="3379"/>
      <c r="V7" s="3396"/>
      <c r="W7" s="3396"/>
      <c r="X7" s="1568"/>
      <c r="Y7" s="3378"/>
      <c r="Z7" s="3379"/>
      <c r="AA7" s="3372"/>
      <c r="AB7" s="3372"/>
      <c r="AC7" s="3372"/>
    </row>
    <row r="8" spans="1:30" ht="21" thickBot="1">
      <c r="A8" s="515"/>
      <c r="B8" s="516"/>
      <c r="C8" s="3401" t="s">
        <v>2937</v>
      </c>
      <c r="D8" s="3402"/>
      <c r="E8" s="3401" t="s">
        <v>2937</v>
      </c>
      <c r="F8" s="3402"/>
      <c r="G8" s="3397" t="s">
        <v>2937</v>
      </c>
      <c r="H8" s="3398"/>
      <c r="I8" s="3397" t="s">
        <v>2937</v>
      </c>
      <c r="J8" s="3398"/>
      <c r="K8" s="514" t="s">
        <v>528</v>
      </c>
      <c r="L8" s="2135"/>
      <c r="M8" s="2134"/>
      <c r="N8" s="2134"/>
      <c r="O8" s="2136"/>
      <c r="P8" s="3394"/>
      <c r="Q8" s="3395"/>
      <c r="R8" s="3378"/>
      <c r="S8" s="3379"/>
      <c r="T8" s="3380"/>
      <c r="U8" s="3381"/>
      <c r="V8" s="3396"/>
      <c r="W8" s="3396"/>
      <c r="X8" s="1568"/>
      <c r="Y8" s="3380"/>
      <c r="Z8" s="3381"/>
      <c r="AA8" s="3373"/>
      <c r="AB8" s="3373"/>
      <c r="AC8" s="3373"/>
    </row>
    <row r="9" spans="1:30" s="1220" customFormat="1" ht="21" thickBot="1">
      <c r="A9" s="2913"/>
      <c r="B9" s="2920" t="s">
        <v>529</v>
      </c>
      <c r="C9" s="2912">
        <f>'数据-取费表'!B2</f>
        <v>43390</v>
      </c>
      <c r="D9" s="520">
        <v>100</v>
      </c>
      <c r="E9" s="521" t="str">
        <f>土地案例!H12</f>
        <v>2014-05-06</v>
      </c>
      <c r="F9" s="522">
        <f>SUMIF(72:72,YEAR(E9)&amp;"-"&amp;INT((MONTH(E9)+2)/3),73:73)</f>
        <v>82</v>
      </c>
      <c r="G9" s="523" t="str">
        <f>土地案例!H13</f>
        <v>2014-05-06</v>
      </c>
      <c r="H9" s="520">
        <f>SUMIF(72:72,YEAR(G9)&amp;"-"&amp;INT((MONTH(G9)+2)/3),73:73)</f>
        <v>82</v>
      </c>
      <c r="I9" s="523" t="str">
        <f>土地案例!H15</f>
        <v>2014-04-04</v>
      </c>
      <c r="J9" s="520">
        <f>SUMIF(72:72,YEAR(I9)&amp;"-"&amp;INT((MONTH(I9)+2)/3),73:73)</f>
        <v>82</v>
      </c>
      <c r="K9" s="524"/>
      <c r="L9" s="2137"/>
      <c r="M9" s="2134"/>
      <c r="N9" s="2134"/>
      <c r="O9" s="2138"/>
      <c r="P9" s="3374" t="s">
        <v>530</v>
      </c>
      <c r="Q9" s="3383"/>
      <c r="R9" s="1569" t="s">
        <v>8</v>
      </c>
      <c r="S9" s="1570">
        <f t="shared" ref="S9:S17" si="0">F9</f>
        <v>82</v>
      </c>
      <c r="T9" s="1569" t="s">
        <v>8</v>
      </c>
      <c r="U9" s="1570">
        <f t="shared" ref="U9:U17" si="1">H9</f>
        <v>82</v>
      </c>
      <c r="V9" s="1569" t="s">
        <v>8</v>
      </c>
      <c r="W9" s="1570">
        <f t="shared" ref="W9:W17" si="2">J9</f>
        <v>82</v>
      </c>
      <c r="X9" s="1571"/>
      <c r="Y9" s="3374" t="s">
        <v>530</v>
      </c>
      <c r="Z9" s="3375"/>
      <c r="AA9" s="1572">
        <f>D9/F9</f>
        <v>1.2195121951219512</v>
      </c>
      <c r="AB9" s="1572">
        <f>D9/H9</f>
        <v>1.2195121951219512</v>
      </c>
      <c r="AC9" s="1572">
        <f>D9/J9</f>
        <v>1.2195121951219512</v>
      </c>
    </row>
    <row r="10" spans="1:30" s="1220" customFormat="1" ht="21" thickBot="1">
      <c r="A10" s="2914"/>
      <c r="B10" s="2921" t="s">
        <v>531</v>
      </c>
      <c r="C10" s="856" t="s">
        <v>532</v>
      </c>
      <c r="D10" s="520">
        <v>100</v>
      </c>
      <c r="E10" s="3197" t="s">
        <v>3063</v>
      </c>
      <c r="F10" s="522">
        <f>SUMIF(75:75,E10,76:76)-SUMIF(75:75,C10,76:76)+100</f>
        <v>100</v>
      </c>
      <c r="G10" s="3197" t="s">
        <v>3063</v>
      </c>
      <c r="H10" s="520">
        <f>SUMIF(75:75,G10,76:76)-SUMIF(75:75,C10,76:76)+100</f>
        <v>100</v>
      </c>
      <c r="I10" s="3197" t="s">
        <v>3064</v>
      </c>
      <c r="J10" s="520">
        <f>SUMIF(75:75,I10,76:76)-SUMIF(75:75,C10,76:76)+100</f>
        <v>100</v>
      </c>
      <c r="K10" s="524"/>
      <c r="L10" s="2137"/>
      <c r="M10" s="2134"/>
      <c r="N10" s="2134"/>
      <c r="O10" s="2138"/>
      <c r="P10" s="3374" t="s">
        <v>533</v>
      </c>
      <c r="Q10" s="3375"/>
      <c r="R10" s="1569" t="s">
        <v>8</v>
      </c>
      <c r="S10" s="1570">
        <f t="shared" si="0"/>
        <v>100</v>
      </c>
      <c r="T10" s="1569" t="s">
        <v>8</v>
      </c>
      <c r="U10" s="1570">
        <f t="shared" si="1"/>
        <v>100</v>
      </c>
      <c r="V10" s="1569" t="s">
        <v>8</v>
      </c>
      <c r="W10" s="1570">
        <f t="shared" si="2"/>
        <v>100</v>
      </c>
      <c r="X10" s="1571"/>
      <c r="Y10" s="3374" t="s">
        <v>533</v>
      </c>
      <c r="Z10" s="3375"/>
      <c r="AA10" s="1572">
        <f t="shared" ref="AA10:AA47" si="3">D10/F10</f>
        <v>1</v>
      </c>
      <c r="AB10" s="1572">
        <f t="shared" ref="AB10:AB47" si="4">D10/H10</f>
        <v>1</v>
      </c>
      <c r="AC10" s="1572">
        <f t="shared" ref="AC10:AC47" si="5">D10/J10</f>
        <v>1</v>
      </c>
    </row>
    <row r="11" spans="1:30" s="1220" customFormat="1" ht="20.25">
      <c r="A11" s="2915"/>
      <c r="B11" s="2922" t="s">
        <v>2759</v>
      </c>
      <c r="C11" s="3196" t="s">
        <v>3067</v>
      </c>
      <c r="D11" s="254">
        <v>100</v>
      </c>
      <c r="E11" s="3192" t="s">
        <v>3066</v>
      </c>
      <c r="F11" s="254">
        <f>SUMIF(77:77,E11,78:78)-SUMIF(77:77,C11,78:78)+100</f>
        <v>100</v>
      </c>
      <c r="G11" s="3192" t="s">
        <v>3066</v>
      </c>
      <c r="H11" s="254">
        <f>SUMIF(77:77,G11,78:78)-SUMIF(77:77,C11,78:78)+100</f>
        <v>100</v>
      </c>
      <c r="I11" s="3192" t="s">
        <v>3066</v>
      </c>
      <c r="J11" s="254">
        <f>SUMIF(77:77,I11,78:78)-SUMIF(77:77,C11,78:78)+100</f>
        <v>100</v>
      </c>
      <c r="K11" s="524"/>
      <c r="L11" s="2137"/>
      <c r="M11" s="2134"/>
      <c r="N11" s="2134"/>
      <c r="O11" s="2139"/>
      <c r="P11" s="3382" t="s">
        <v>535</v>
      </c>
      <c r="Q11" s="1151" t="str">
        <f t="shared" ref="Q11:Q17" si="6">B11</f>
        <v>用途</v>
      </c>
      <c r="R11" s="1569" t="s">
        <v>8</v>
      </c>
      <c r="S11" s="1570">
        <f t="shared" si="0"/>
        <v>100</v>
      </c>
      <c r="T11" s="1569" t="s">
        <v>8</v>
      </c>
      <c r="U11" s="1570">
        <f t="shared" si="1"/>
        <v>100</v>
      </c>
      <c r="V11" s="1569" t="s">
        <v>8</v>
      </c>
      <c r="W11" s="1570">
        <f t="shared" si="2"/>
        <v>100</v>
      </c>
      <c r="X11" s="1571"/>
      <c r="Y11" s="3339" t="s">
        <v>536</v>
      </c>
      <c r="Z11" s="1150" t="str">
        <f t="shared" ref="Z11:Z17" si="7">Q11</f>
        <v>用途</v>
      </c>
      <c r="AA11" s="1572">
        <f t="shared" si="3"/>
        <v>1</v>
      </c>
      <c r="AB11" s="1572">
        <f t="shared" si="4"/>
        <v>1</v>
      </c>
      <c r="AC11" s="1572">
        <f t="shared" si="5"/>
        <v>1</v>
      </c>
    </row>
    <row r="12" spans="1:30" s="1338" customFormat="1" ht="27">
      <c r="A12" s="2916"/>
      <c r="B12" s="2921" t="s">
        <v>2760</v>
      </c>
      <c r="C12" s="910">
        <f>项目基本情况!F19</f>
        <v>44.07</v>
      </c>
      <c r="D12" s="255">
        <v>100</v>
      </c>
      <c r="E12" s="529" t="s">
        <v>3065</v>
      </c>
      <c r="F12" s="255">
        <f>ROUND(100/'数据-取费表'!G16,0)</f>
        <v>104</v>
      </c>
      <c r="G12" s="530" t="s">
        <v>3065</v>
      </c>
      <c r="H12" s="255">
        <f>ROUND(100/'数据-取费表'!G16,0)</f>
        <v>104</v>
      </c>
      <c r="I12" s="530" t="s">
        <v>3065</v>
      </c>
      <c r="J12" s="255">
        <f>ROUND(100/'数据-取费表'!G16,0)</f>
        <v>104</v>
      </c>
      <c r="K12" s="531"/>
      <c r="L12" s="2140"/>
      <c r="M12" s="2134"/>
      <c r="N12" s="2134"/>
      <c r="O12" s="2141"/>
      <c r="P12" s="3382"/>
      <c r="Q12" s="1151" t="str">
        <f t="shared" si="6"/>
        <v>土地使用年限（年）</v>
      </c>
      <c r="R12" s="1569" t="s">
        <v>8</v>
      </c>
      <c r="S12" s="1570">
        <f t="shared" si="0"/>
        <v>104</v>
      </c>
      <c r="T12" s="1569" t="s">
        <v>8</v>
      </c>
      <c r="U12" s="1570">
        <f t="shared" si="1"/>
        <v>104</v>
      </c>
      <c r="V12" s="1569" t="s">
        <v>8</v>
      </c>
      <c r="W12" s="1570">
        <f t="shared" si="2"/>
        <v>104</v>
      </c>
      <c r="X12" s="1571"/>
      <c r="Y12" s="3339"/>
      <c r="Z12" s="1150" t="str">
        <f t="shared" si="7"/>
        <v>土地使用年限（年）</v>
      </c>
      <c r="AA12" s="1572">
        <f t="shared" si="3"/>
        <v>0.96153846153846156</v>
      </c>
      <c r="AB12" s="1572">
        <f t="shared" si="4"/>
        <v>0.96153846153846156</v>
      </c>
      <c r="AC12" s="1572">
        <f t="shared" si="5"/>
        <v>0.96153846153846156</v>
      </c>
    </row>
    <row r="13" spans="1:30" ht="20.25">
      <c r="A13" s="2917"/>
      <c r="B13" s="2921" t="s">
        <v>2761</v>
      </c>
      <c r="C13" s="534">
        <f>'数据-汇总表'!I6</f>
        <v>6.32</v>
      </c>
      <c r="D13" s="255">
        <v>100</v>
      </c>
      <c r="E13" s="533">
        <f>土地案例!F12</f>
        <v>7.49</v>
      </c>
      <c r="F13" s="255">
        <f>LOOKUP(E13,82:82,83:83)-LOOKUP(C13,82:82,83:83)+100</f>
        <v>98</v>
      </c>
      <c r="G13" s="534">
        <f>土地案例!F13</f>
        <v>9.9499999999999993</v>
      </c>
      <c r="H13" s="255">
        <f>LOOKUP(G13,82:82,83:83)-LOOKUP(C13,82:82,83:83)+100</f>
        <v>94</v>
      </c>
      <c r="I13" s="533">
        <f>土地案例!F15</f>
        <v>7.52</v>
      </c>
      <c r="J13" s="255">
        <f>LOOKUP(I13,82:82,83:83)-LOOKUP(C13,82:82,83:83)+100</f>
        <v>98</v>
      </c>
      <c r="K13" s="535">
        <v>2</v>
      </c>
      <c r="L13" s="2142"/>
      <c r="M13" s="2134"/>
      <c r="N13" s="2134"/>
      <c r="O13" s="2143"/>
      <c r="P13" s="3382"/>
      <c r="Q13" s="1151" t="str">
        <f t="shared" si="6"/>
        <v>容积率</v>
      </c>
      <c r="R13" s="1569" t="s">
        <v>8</v>
      </c>
      <c r="S13" s="1570">
        <f t="shared" si="0"/>
        <v>98</v>
      </c>
      <c r="T13" s="1569" t="s">
        <v>8</v>
      </c>
      <c r="U13" s="1570">
        <f t="shared" si="1"/>
        <v>94</v>
      </c>
      <c r="V13" s="1569" t="s">
        <v>8</v>
      </c>
      <c r="W13" s="1570">
        <f t="shared" si="2"/>
        <v>98</v>
      </c>
      <c r="X13" s="1571"/>
      <c r="Y13" s="3339"/>
      <c r="Z13" s="1150" t="str">
        <f t="shared" si="7"/>
        <v>容积率</v>
      </c>
      <c r="AA13" s="1572">
        <f t="shared" si="3"/>
        <v>1.0204081632653061</v>
      </c>
      <c r="AB13" s="1572">
        <f t="shared" si="4"/>
        <v>1.0638297872340425</v>
      </c>
      <c r="AC13" s="1572">
        <f t="shared" si="5"/>
        <v>1.0204081632653061</v>
      </c>
    </row>
    <row r="14" spans="1:30" s="1220" customFormat="1" ht="20.25">
      <c r="A14" s="2914"/>
      <c r="B14" s="2923" t="s">
        <v>2762</v>
      </c>
      <c r="C14" s="2910"/>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82"/>
      <c r="Q14" s="1151" t="str">
        <f t="shared" si="6"/>
        <v>配建</v>
      </c>
      <c r="R14" s="1569" t="s">
        <v>8</v>
      </c>
      <c r="S14" s="1570">
        <f t="shared" si="0"/>
        <v>100</v>
      </c>
      <c r="T14" s="1569" t="s">
        <v>8</v>
      </c>
      <c r="U14" s="1570">
        <f t="shared" si="1"/>
        <v>100</v>
      </c>
      <c r="V14" s="1569" t="s">
        <v>8</v>
      </c>
      <c r="W14" s="1570">
        <f t="shared" si="2"/>
        <v>100</v>
      </c>
      <c r="X14" s="1571"/>
      <c r="Y14" s="3339"/>
      <c r="Z14" s="1150" t="str">
        <f t="shared" si="7"/>
        <v>配建</v>
      </c>
      <c r="AA14" s="1572">
        <f>D14/F14</f>
        <v>1</v>
      </c>
      <c r="AB14" s="1572">
        <f>D14/H14</f>
        <v>1</v>
      </c>
      <c r="AC14" s="1572">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82"/>
      <c r="Q15" s="1151">
        <f t="shared" si="6"/>
        <v>111</v>
      </c>
      <c r="R15" s="1569" t="s">
        <v>8</v>
      </c>
      <c r="S15" s="1570">
        <f t="shared" si="0"/>
        <v>100</v>
      </c>
      <c r="T15" s="1569" t="s">
        <v>8</v>
      </c>
      <c r="U15" s="1570">
        <f t="shared" si="1"/>
        <v>100</v>
      </c>
      <c r="V15" s="1569" t="s">
        <v>8</v>
      </c>
      <c r="W15" s="1570">
        <f t="shared" si="2"/>
        <v>100</v>
      </c>
      <c r="X15" s="1571"/>
      <c r="Y15" s="3339"/>
      <c r="Z15" s="1150">
        <f t="shared" si="7"/>
        <v>111</v>
      </c>
      <c r="AA15" s="1572">
        <f>D15/F15</f>
        <v>1</v>
      </c>
      <c r="AB15" s="1572">
        <f>D15/H15</f>
        <v>1</v>
      </c>
      <c r="AC15" s="1572">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82"/>
      <c r="Q16" s="1151">
        <f t="shared" si="6"/>
        <v>111</v>
      </c>
      <c r="R16" s="1569" t="s">
        <v>8</v>
      </c>
      <c r="S16" s="1570">
        <f t="shared" si="0"/>
        <v>100</v>
      </c>
      <c r="T16" s="1569" t="s">
        <v>8</v>
      </c>
      <c r="U16" s="1570">
        <f t="shared" si="1"/>
        <v>100</v>
      </c>
      <c r="V16" s="1569" t="s">
        <v>8</v>
      </c>
      <c r="W16" s="1570">
        <f t="shared" si="2"/>
        <v>100</v>
      </c>
      <c r="X16" s="1571"/>
      <c r="Y16" s="3339"/>
      <c r="Z16" s="1150">
        <f t="shared" si="7"/>
        <v>111</v>
      </c>
      <c r="AA16" s="1572">
        <f>D16/F16</f>
        <v>1</v>
      </c>
      <c r="AB16" s="1572">
        <f>D16/H16</f>
        <v>1</v>
      </c>
      <c r="AC16" s="1572">
        <f>D16/J16</f>
        <v>1</v>
      </c>
    </row>
    <row r="17" spans="1:29" ht="99.75" hidden="1">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384" t="s">
        <v>540</v>
      </c>
      <c r="Q17" s="1573" t="str">
        <f t="shared" si="6"/>
        <v>居住社区成熟度</v>
      </c>
      <c r="R17" s="1574" t="s">
        <v>8</v>
      </c>
      <c r="S17" s="1575">
        <f t="shared" si="0"/>
        <v>100</v>
      </c>
      <c r="T17" s="1574" t="s">
        <v>8</v>
      </c>
      <c r="U17" s="1575">
        <f t="shared" si="1"/>
        <v>100</v>
      </c>
      <c r="V17" s="1574" t="s">
        <v>8</v>
      </c>
      <c r="W17" s="1575">
        <f t="shared" si="2"/>
        <v>100</v>
      </c>
      <c r="X17" s="1568"/>
      <c r="Y17" s="3384" t="s">
        <v>540</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6"/>
      <c r="H18" s="559"/>
      <c r="I18" s="558"/>
      <c r="J18" s="555"/>
      <c r="K18" s="531"/>
      <c r="L18" s="2144"/>
      <c r="M18" s="2134"/>
      <c r="N18" s="2134"/>
      <c r="O18" s="2143"/>
      <c r="P18" s="3385"/>
      <c r="Q18" s="1573"/>
      <c r="R18" s="1574"/>
      <c r="S18" s="1575"/>
      <c r="T18" s="1574"/>
      <c r="U18" s="1575"/>
      <c r="V18" s="1574"/>
      <c r="W18" s="1575"/>
      <c r="X18" s="1568"/>
      <c r="Y18" s="338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385"/>
      <c r="Q19" s="1573" t="str">
        <f>B19</f>
        <v>商业繁华度</v>
      </c>
      <c r="R19" s="1574" t="s">
        <v>8</v>
      </c>
      <c r="S19" s="1575">
        <f>F19</f>
        <v>100</v>
      </c>
      <c r="T19" s="1574" t="s">
        <v>8</v>
      </c>
      <c r="U19" s="1575">
        <f>H19</f>
        <v>100</v>
      </c>
      <c r="V19" s="1574" t="s">
        <v>8</v>
      </c>
      <c r="W19" s="1575">
        <f>J19</f>
        <v>100</v>
      </c>
      <c r="X19" s="1568"/>
      <c r="Y19" s="3385"/>
      <c r="Z19" s="1576" t="str">
        <f>Q19</f>
        <v>商业繁华度</v>
      </c>
      <c r="AA19" s="1577">
        <f t="shared" si="3"/>
        <v>1</v>
      </c>
      <c r="AB19" s="1577">
        <f t="shared" si="4"/>
        <v>1</v>
      </c>
      <c r="AC19" s="1577">
        <f t="shared" si="5"/>
        <v>1</v>
      </c>
    </row>
    <row r="20" spans="1:29" ht="20.25">
      <c r="A20" s="532"/>
      <c r="B20" s="566"/>
      <c r="C20" s="3194" t="s">
        <v>3068</v>
      </c>
      <c r="D20" s="563"/>
      <c r="E20" s="3190" t="s">
        <v>3068</v>
      </c>
      <c r="F20" s="559"/>
      <c r="G20" s="3191" t="s">
        <v>3069</v>
      </c>
      <c r="H20" s="555"/>
      <c r="I20" s="3190" t="s">
        <v>3068</v>
      </c>
      <c r="J20" s="555"/>
      <c r="K20" s="531"/>
      <c r="L20" s="2144"/>
      <c r="M20" s="2134"/>
      <c r="N20" s="2134"/>
      <c r="O20" s="2143"/>
      <c r="P20" s="3385"/>
      <c r="Q20" s="1573"/>
      <c r="R20" s="1574"/>
      <c r="S20" s="1575"/>
      <c r="T20" s="1574"/>
      <c r="U20" s="1575"/>
      <c r="V20" s="1574"/>
      <c r="W20" s="1575"/>
      <c r="X20" s="1568"/>
      <c r="Y20" s="3385"/>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4"/>
      <c r="M21" s="2134"/>
      <c r="N21" s="2134"/>
      <c r="O21" s="2143"/>
      <c r="P21" s="3385"/>
      <c r="Q21" s="1573" t="str">
        <f>B21</f>
        <v>办公集聚程度</v>
      </c>
      <c r="R21" s="1574" t="s">
        <v>8</v>
      </c>
      <c r="S21" s="1575">
        <f>F21</f>
        <v>100</v>
      </c>
      <c r="T21" s="1574" t="s">
        <v>8</v>
      </c>
      <c r="U21" s="1575">
        <f>H21</f>
        <v>100</v>
      </c>
      <c r="V21" s="1574" t="s">
        <v>8</v>
      </c>
      <c r="W21" s="1575">
        <f>J21</f>
        <v>100</v>
      </c>
      <c r="X21" s="1568"/>
      <c r="Y21" s="3385"/>
      <c r="Z21" s="1576" t="str">
        <f>Q21</f>
        <v>办公集聚程度</v>
      </c>
      <c r="AA21" s="1577">
        <f t="shared" si="3"/>
        <v>1</v>
      </c>
      <c r="AB21" s="1577">
        <f t="shared" si="4"/>
        <v>1</v>
      </c>
      <c r="AC21" s="1577">
        <f t="shared" si="5"/>
        <v>1</v>
      </c>
    </row>
    <row r="22" spans="1:29" ht="20.25">
      <c r="A22" s="532"/>
      <c r="B22" s="566"/>
      <c r="C22" s="3189" t="s">
        <v>3068</v>
      </c>
      <c r="D22" s="557"/>
      <c r="E22" s="3188" t="s">
        <v>3068</v>
      </c>
      <c r="F22" s="555"/>
      <c r="G22" s="3187" t="s">
        <v>3070</v>
      </c>
      <c r="H22" s="555"/>
      <c r="I22" s="3188" t="s">
        <v>3068</v>
      </c>
      <c r="J22" s="555"/>
      <c r="K22" s="531"/>
      <c r="L22" s="2144"/>
      <c r="M22" s="2134"/>
      <c r="N22" s="2134"/>
      <c r="O22" s="2143"/>
      <c r="P22" s="3385"/>
      <c r="Q22" s="1573"/>
      <c r="R22" s="1574"/>
      <c r="S22" s="1575"/>
      <c r="T22" s="1574"/>
      <c r="U22" s="1575"/>
      <c r="V22" s="1574"/>
      <c r="W22" s="1575"/>
      <c r="X22" s="1568"/>
      <c r="Y22" s="338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4"/>
      <c r="M23" s="2134"/>
      <c r="N23" s="2134"/>
      <c r="O23" s="2143"/>
      <c r="P23" s="3385"/>
      <c r="Q23" s="1573" t="str">
        <f>B23</f>
        <v>交通便捷度</v>
      </c>
      <c r="R23" s="1574" t="s">
        <v>8</v>
      </c>
      <c r="S23" s="1575">
        <f>F23</f>
        <v>100</v>
      </c>
      <c r="T23" s="1574" t="s">
        <v>8</v>
      </c>
      <c r="U23" s="1575">
        <f>H23</f>
        <v>100</v>
      </c>
      <c r="V23" s="1574" t="s">
        <v>8</v>
      </c>
      <c r="W23" s="1575">
        <f>J23</f>
        <v>100</v>
      </c>
      <c r="X23" s="1568"/>
      <c r="Y23" s="3385"/>
      <c r="Z23" s="1576" t="str">
        <f>Q23</f>
        <v>交通便捷度</v>
      </c>
      <c r="AA23" s="1577">
        <f t="shared" si="3"/>
        <v>1</v>
      </c>
      <c r="AB23" s="1577">
        <f t="shared" si="4"/>
        <v>1</v>
      </c>
      <c r="AC23" s="1577">
        <f t="shared" si="5"/>
        <v>1</v>
      </c>
    </row>
    <row r="24" spans="1:29" ht="20.25">
      <c r="A24" s="532"/>
      <c r="B24" s="578"/>
      <c r="C24" s="3189" t="s">
        <v>3071</v>
      </c>
      <c r="D24" s="557"/>
      <c r="E24" s="3188" t="s">
        <v>3072</v>
      </c>
      <c r="F24" s="555"/>
      <c r="G24" s="3187" t="s">
        <v>3071</v>
      </c>
      <c r="H24" s="555"/>
      <c r="I24" s="3188" t="s">
        <v>3071</v>
      </c>
      <c r="J24" s="555"/>
      <c r="K24" s="531"/>
      <c r="L24" s="2144"/>
      <c r="M24" s="2134"/>
      <c r="N24" s="2134"/>
      <c r="O24" s="2143"/>
      <c r="P24" s="3385"/>
      <c r="Q24" s="1573"/>
      <c r="R24" s="1574"/>
      <c r="S24" s="1575"/>
      <c r="T24" s="1574"/>
      <c r="U24" s="1575"/>
      <c r="V24" s="1574"/>
      <c r="W24" s="1575"/>
      <c r="X24" s="1568"/>
      <c r="Y24" s="338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385"/>
      <c r="Q25" s="1573" t="str">
        <f t="shared" ref="Q25:Q39" si="8">B25</f>
        <v>区域土地利用方向</v>
      </c>
      <c r="R25" s="1574" t="s">
        <v>8</v>
      </c>
      <c r="S25" s="1575">
        <f>F25</f>
        <v>100</v>
      </c>
      <c r="T25" s="1574" t="s">
        <v>8</v>
      </c>
      <c r="U25" s="1575">
        <f>H25</f>
        <v>100</v>
      </c>
      <c r="V25" s="1574" t="s">
        <v>8</v>
      </c>
      <c r="W25" s="1575">
        <f>J25</f>
        <v>100</v>
      </c>
      <c r="X25" s="1568"/>
      <c r="Y25" s="3385"/>
      <c r="Z25" s="1576" t="str">
        <f>Q25</f>
        <v>区域土地利用方向</v>
      </c>
      <c r="AA25" s="1577">
        <f t="shared" si="3"/>
        <v>1</v>
      </c>
      <c r="AB25" s="1577">
        <f t="shared" si="4"/>
        <v>1</v>
      </c>
      <c r="AC25" s="1577">
        <f t="shared" si="5"/>
        <v>1</v>
      </c>
    </row>
    <row r="26" spans="1:29" ht="20.25">
      <c r="A26" s="515"/>
      <c r="B26" s="1007"/>
      <c r="C26" s="3189" t="s">
        <v>3071</v>
      </c>
      <c r="D26" s="557"/>
      <c r="E26" s="3188" t="s">
        <v>3071</v>
      </c>
      <c r="F26" s="555"/>
      <c r="G26" s="3187" t="s">
        <v>3073</v>
      </c>
      <c r="H26" s="555"/>
      <c r="I26" s="3188" t="s">
        <v>3072</v>
      </c>
      <c r="J26" s="555"/>
      <c r="K26" s="531"/>
      <c r="L26" s="2144"/>
      <c r="M26" s="2134"/>
      <c r="N26" s="2134"/>
      <c r="O26" s="2143"/>
      <c r="P26" s="3385"/>
      <c r="Q26" s="1573"/>
      <c r="R26" s="1574"/>
      <c r="S26" s="1575"/>
      <c r="T26" s="1574"/>
      <c r="U26" s="1575"/>
      <c r="V26" s="1574"/>
      <c r="W26" s="1575"/>
      <c r="X26" s="1568"/>
      <c r="Y26" s="338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4"/>
      <c r="M27" s="2134"/>
      <c r="N27" s="2134"/>
      <c r="O27" s="2143"/>
      <c r="P27" s="3385"/>
      <c r="Q27" s="1573" t="str">
        <f t="shared" si="8"/>
        <v>自然及人文环境状况</v>
      </c>
      <c r="R27" s="1574" t="s">
        <v>8</v>
      </c>
      <c r="S27" s="1575">
        <f>F27</f>
        <v>100</v>
      </c>
      <c r="T27" s="1574" t="s">
        <v>8</v>
      </c>
      <c r="U27" s="1575">
        <f>H27</f>
        <v>100</v>
      </c>
      <c r="V27" s="1574" t="s">
        <v>8</v>
      </c>
      <c r="W27" s="1575">
        <f>J27</f>
        <v>100</v>
      </c>
      <c r="X27" s="1568"/>
      <c r="Y27" s="3385"/>
      <c r="Z27" s="1576" t="str">
        <f>Q27</f>
        <v>自然及人文环境状况</v>
      </c>
      <c r="AA27" s="1577">
        <f t="shared" si="3"/>
        <v>1</v>
      </c>
      <c r="AB27" s="1577">
        <f t="shared" si="4"/>
        <v>1</v>
      </c>
      <c r="AC27" s="1577">
        <f t="shared" si="5"/>
        <v>1</v>
      </c>
    </row>
    <row r="28" spans="1:29" ht="20.25">
      <c r="A28" s="515"/>
      <c r="B28" s="566"/>
      <c r="C28" s="3189" t="s">
        <v>3071</v>
      </c>
      <c r="D28" s="557"/>
      <c r="E28" s="3193" t="s">
        <v>3071</v>
      </c>
      <c r="F28" s="555"/>
      <c r="G28" s="3189" t="s">
        <v>3071</v>
      </c>
      <c r="H28" s="555"/>
      <c r="I28" s="3193" t="s">
        <v>3071</v>
      </c>
      <c r="J28" s="555"/>
      <c r="K28" s="531"/>
      <c r="L28" s="2144"/>
      <c r="M28" s="2134"/>
      <c r="N28" s="2134"/>
      <c r="O28" s="2143"/>
      <c r="P28" s="3385"/>
      <c r="Q28" s="1573"/>
      <c r="R28" s="1574"/>
      <c r="S28" s="1575"/>
      <c r="T28" s="1574"/>
      <c r="U28" s="1575"/>
      <c r="V28" s="1574"/>
      <c r="W28" s="1575"/>
      <c r="X28" s="1568"/>
      <c r="Y28" s="3385"/>
      <c r="Z28" s="1576"/>
      <c r="AA28" s="1577">
        <v>1</v>
      </c>
      <c r="AB28" s="1577">
        <v>1</v>
      </c>
      <c r="AC28" s="1577">
        <v>1</v>
      </c>
    </row>
    <row r="29" spans="1:29" s="1220" customFormat="1" ht="42.75">
      <c r="A29" s="577"/>
      <c r="B29" s="2593"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385"/>
      <c r="Q29" s="1151" t="str">
        <f t="shared" si="8"/>
        <v>公共配套设施</v>
      </c>
      <c r="R29" s="1569" t="s">
        <v>8</v>
      </c>
      <c r="S29" s="1570">
        <f>F29</f>
        <v>100</v>
      </c>
      <c r="T29" s="1569" t="s">
        <v>8</v>
      </c>
      <c r="U29" s="1570">
        <f>H29</f>
        <v>100</v>
      </c>
      <c r="V29" s="1569" t="s">
        <v>8</v>
      </c>
      <c r="W29" s="1570">
        <f>J29</f>
        <v>100</v>
      </c>
      <c r="X29" s="1571"/>
      <c r="Y29" s="3385"/>
      <c r="Z29" s="1150" t="str">
        <f>Q29</f>
        <v>公共配套设施</v>
      </c>
      <c r="AA29" s="1577">
        <f>D29/F29</f>
        <v>1</v>
      </c>
      <c r="AB29" s="1577">
        <f>D29/H29</f>
        <v>1</v>
      </c>
      <c r="AC29" s="1577">
        <f>D29/J29</f>
        <v>1</v>
      </c>
    </row>
    <row r="30" spans="1:29" s="1220" customFormat="1" ht="20.25">
      <c r="A30" s="577"/>
      <c r="B30" s="566"/>
      <c r="C30" s="3186" t="s">
        <v>3072</v>
      </c>
      <c r="D30" s="557"/>
      <c r="E30" s="3193" t="s">
        <v>3072</v>
      </c>
      <c r="F30" s="555"/>
      <c r="G30" s="3189" t="s">
        <v>3073</v>
      </c>
      <c r="H30" s="555"/>
      <c r="I30" s="3193" t="s">
        <v>3071</v>
      </c>
      <c r="J30" s="555"/>
      <c r="K30" s="531"/>
      <c r="L30" s="2137"/>
      <c r="M30" s="2134"/>
      <c r="N30" s="2134"/>
      <c r="O30" s="2139"/>
      <c r="P30" s="3385"/>
      <c r="Q30" s="1151"/>
      <c r="R30" s="1569"/>
      <c r="S30" s="1570"/>
      <c r="T30" s="1569"/>
      <c r="U30" s="1570"/>
      <c r="V30" s="1569"/>
      <c r="W30" s="1570"/>
      <c r="X30" s="1571"/>
      <c r="Y30" s="3385"/>
      <c r="Z30" s="1150"/>
      <c r="AA30" s="1577">
        <v>1</v>
      </c>
      <c r="AB30" s="1577">
        <v>1</v>
      </c>
      <c r="AC30" s="1577">
        <v>1</v>
      </c>
    </row>
    <row r="31" spans="1:29" s="1220" customFormat="1" ht="28.5">
      <c r="A31" s="577"/>
      <c r="B31" s="2593"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385"/>
      <c r="Q31" s="2580" t="str">
        <f t="shared" ref="Q31" si="9">B31</f>
        <v>基础设施水平</v>
      </c>
      <c r="R31" s="1569" t="s">
        <v>8</v>
      </c>
      <c r="S31" s="1570">
        <f>F31</f>
        <v>100</v>
      </c>
      <c r="T31" s="1569" t="s">
        <v>8</v>
      </c>
      <c r="U31" s="1570">
        <f>H31</f>
        <v>100</v>
      </c>
      <c r="V31" s="1569" t="s">
        <v>8</v>
      </c>
      <c r="W31" s="1570">
        <f>J31</f>
        <v>100</v>
      </c>
      <c r="X31" s="1571"/>
      <c r="Y31" s="3385"/>
      <c r="Z31" s="2577" t="str">
        <f>Q31</f>
        <v>基础设施水平</v>
      </c>
      <c r="AA31" s="1577">
        <f>D31/F31</f>
        <v>1</v>
      </c>
      <c r="AB31" s="1577">
        <f>D31/H31</f>
        <v>1</v>
      </c>
      <c r="AC31" s="1577">
        <f>D31/J31</f>
        <v>1</v>
      </c>
    </row>
    <row r="32" spans="1:29" s="1220" customFormat="1" ht="20.25">
      <c r="A32" s="577"/>
      <c r="B32" s="566"/>
      <c r="C32" s="3186" t="s">
        <v>3074</v>
      </c>
      <c r="D32" s="557"/>
      <c r="E32" s="3195" t="s">
        <v>3074</v>
      </c>
      <c r="F32" s="555"/>
      <c r="G32" s="3186" t="s">
        <v>3074</v>
      </c>
      <c r="H32" s="555"/>
      <c r="I32" s="3186" t="s">
        <v>3075</v>
      </c>
      <c r="J32" s="555"/>
      <c r="K32" s="531"/>
      <c r="L32" s="2137"/>
      <c r="M32" s="2134"/>
      <c r="N32" s="2134"/>
      <c r="O32" s="2139"/>
      <c r="P32" s="3385"/>
      <c r="Q32" s="2580"/>
      <c r="R32" s="1569"/>
      <c r="S32" s="1570"/>
      <c r="T32" s="1569"/>
      <c r="U32" s="1570"/>
      <c r="V32" s="1569"/>
      <c r="W32" s="1570"/>
      <c r="X32" s="1571"/>
      <c r="Y32" s="3385"/>
      <c r="Z32" s="2577"/>
      <c r="AA32" s="1577">
        <v>1</v>
      </c>
      <c r="AB32" s="1577">
        <v>1</v>
      </c>
      <c r="AC32" s="1577">
        <v>1</v>
      </c>
    </row>
    <row r="33" spans="1:29" ht="20.25">
      <c r="A33" s="532"/>
      <c r="B33" s="566" t="s">
        <v>547</v>
      </c>
      <c r="C33" s="580" t="s">
        <v>3076</v>
      </c>
      <c r="D33" s="575">
        <v>100</v>
      </c>
      <c r="E33" s="583" t="s">
        <v>3076</v>
      </c>
      <c r="F33" s="540">
        <f>SUMIF(106:106,E33,107:107)-SUMIF(106:106,C33,107:107)+100</f>
        <v>100</v>
      </c>
      <c r="G33" s="580" t="s">
        <v>3076</v>
      </c>
      <c r="H33" s="540">
        <f>SUMIF(106:106,G33,107:107)-SUMIF(106:106,C33,107:107)+100</f>
        <v>100</v>
      </c>
      <c r="I33" s="580" t="s">
        <v>3076</v>
      </c>
      <c r="J33" s="540">
        <f>SUMIF(106:106,I33,107:107)-SUMIF(106:106,C33,107:107)+100</f>
        <v>100</v>
      </c>
      <c r="K33" s="535">
        <v>2</v>
      </c>
      <c r="L33" s="2144"/>
      <c r="M33" s="2134"/>
      <c r="N33" s="2134"/>
      <c r="O33" s="2143"/>
      <c r="P33" s="338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5"/>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85"/>
      <c r="Q34" s="1573" t="str">
        <f t="shared" si="8"/>
        <v>毗邻道路的类型与等级</v>
      </c>
      <c r="R34" s="1574" t="s">
        <v>8</v>
      </c>
      <c r="S34" s="1575">
        <f t="shared" si="10"/>
        <v>100</v>
      </c>
      <c r="T34" s="1574" t="s">
        <v>8</v>
      </c>
      <c r="U34" s="1575">
        <f t="shared" si="11"/>
        <v>100</v>
      </c>
      <c r="V34" s="1574" t="s">
        <v>8</v>
      </c>
      <c r="W34" s="1575">
        <f t="shared" si="12"/>
        <v>100</v>
      </c>
      <c r="X34" s="1568"/>
      <c r="Y34" s="3385"/>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385"/>
      <c r="Q35" s="1573"/>
      <c r="R35" s="1574"/>
      <c r="S35" s="1575"/>
      <c r="T35" s="1574"/>
      <c r="U35" s="1575"/>
      <c r="V35" s="1574"/>
      <c r="W35" s="1575"/>
      <c r="X35" s="1568"/>
      <c r="Y35" s="338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85"/>
      <c r="Q36" s="1573" t="str">
        <f t="shared" si="8"/>
        <v>土地级别</v>
      </c>
      <c r="R36" s="1574" t="s">
        <v>8</v>
      </c>
      <c r="S36" s="1575">
        <f t="shared" si="10"/>
        <v>100</v>
      </c>
      <c r="T36" s="1574" t="s">
        <v>8</v>
      </c>
      <c r="U36" s="1575">
        <f t="shared" si="11"/>
        <v>100</v>
      </c>
      <c r="V36" s="1574" t="s">
        <v>8</v>
      </c>
      <c r="W36" s="1575">
        <f t="shared" si="12"/>
        <v>100</v>
      </c>
      <c r="X36" s="1568"/>
      <c r="Y36" s="3385"/>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85"/>
      <c r="Q37" s="1573">
        <f t="shared" si="8"/>
        <v>111</v>
      </c>
      <c r="R37" s="1574" t="s">
        <v>8</v>
      </c>
      <c r="S37" s="1575">
        <f t="shared" si="10"/>
        <v>100</v>
      </c>
      <c r="T37" s="1574" t="s">
        <v>8</v>
      </c>
      <c r="U37" s="1575">
        <f t="shared" si="11"/>
        <v>100</v>
      </c>
      <c r="V37" s="1574" t="s">
        <v>8</v>
      </c>
      <c r="W37" s="1575">
        <f t="shared" si="12"/>
        <v>100</v>
      </c>
      <c r="X37" s="1568"/>
      <c r="Y37" s="3385"/>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86" t="s">
        <v>550</v>
      </c>
      <c r="Q38" s="1573">
        <f t="shared" si="8"/>
        <v>111</v>
      </c>
      <c r="R38" s="1574" t="s">
        <v>8</v>
      </c>
      <c r="S38" s="1575">
        <f t="shared" si="10"/>
        <v>100</v>
      </c>
      <c r="T38" s="1574" t="s">
        <v>8</v>
      </c>
      <c r="U38" s="1575">
        <f t="shared" si="11"/>
        <v>100</v>
      </c>
      <c r="V38" s="1574" t="s">
        <v>8</v>
      </c>
      <c r="W38" s="1575">
        <f t="shared" si="12"/>
        <v>100</v>
      </c>
      <c r="X38" s="1568"/>
      <c r="Y38" s="3387"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87"/>
      <c r="Q39" s="1573">
        <f t="shared" si="8"/>
        <v>111</v>
      </c>
      <c r="R39" s="1578" t="s">
        <v>8</v>
      </c>
      <c r="S39" s="1579">
        <f t="shared" si="10"/>
        <v>100</v>
      </c>
      <c r="T39" s="1578" t="s">
        <v>8</v>
      </c>
      <c r="U39" s="1579">
        <f t="shared" si="11"/>
        <v>100</v>
      </c>
      <c r="V39" s="1578" t="s">
        <v>8</v>
      </c>
      <c r="W39" s="1579">
        <f t="shared" si="12"/>
        <v>100</v>
      </c>
      <c r="X39" s="1580"/>
      <c r="Y39" s="3387"/>
      <c r="Z39" s="1581">
        <f t="shared" si="13"/>
        <v>111</v>
      </c>
      <c r="AA39" s="1577">
        <f t="shared" si="3"/>
        <v>1</v>
      </c>
      <c r="AB39" s="1577">
        <f t="shared" si="4"/>
        <v>1</v>
      </c>
      <c r="AC39" s="1577">
        <f t="shared" si="5"/>
        <v>1</v>
      </c>
    </row>
    <row r="40" spans="1:29" ht="20.25">
      <c r="A40" s="2909" t="s">
        <v>2758</v>
      </c>
      <c r="B40" s="595" t="s">
        <v>552</v>
      </c>
      <c r="C40" s="596">
        <f>'数据-基础表'!A3</f>
        <v>16621</v>
      </c>
      <c r="D40" s="597">
        <v>100</v>
      </c>
      <c r="E40" s="596">
        <f>土地案例!D12</f>
        <v>17815</v>
      </c>
      <c r="F40" s="597">
        <f>LOOKUP(E40,119:119,120:120)-LOOKUP(C40,119:119,120:120)+100</f>
        <v>100</v>
      </c>
      <c r="G40" s="596">
        <f>土地案例!D13</f>
        <v>8949</v>
      </c>
      <c r="H40" s="597">
        <f>LOOKUP(G40,119:119,120:120)-LOOKUP(C40,119:119,120:120)+100</f>
        <v>99</v>
      </c>
      <c r="I40" s="598">
        <f>土地案例!D15</f>
        <v>17064</v>
      </c>
      <c r="J40" s="597">
        <f>LOOKUP(I40,119:119,120:120)-LOOKUP(C40,119:119,120:120)+100</f>
        <v>100</v>
      </c>
      <c r="K40" s="581"/>
      <c r="L40" s="2144"/>
      <c r="M40" s="2134"/>
      <c r="N40" s="2134"/>
      <c r="O40" s="2143"/>
      <c r="P40" s="3387"/>
      <c r="Q40" s="1573" t="str">
        <f>B40</f>
        <v>宗地面积</v>
      </c>
      <c r="R40" s="1574" t="s">
        <v>8</v>
      </c>
      <c r="S40" s="1575">
        <f t="shared" si="10"/>
        <v>100</v>
      </c>
      <c r="T40" s="1574" t="s">
        <v>8</v>
      </c>
      <c r="U40" s="1575">
        <f t="shared" si="11"/>
        <v>99</v>
      </c>
      <c r="V40" s="1574" t="s">
        <v>8</v>
      </c>
      <c r="W40" s="1575">
        <f t="shared" si="12"/>
        <v>100</v>
      </c>
      <c r="X40" s="1568"/>
      <c r="Y40" s="3387"/>
      <c r="Z40" s="1576" t="str">
        <f t="shared" si="13"/>
        <v>宗地面积</v>
      </c>
      <c r="AA40" s="1577">
        <f t="shared" si="3"/>
        <v>1</v>
      </c>
      <c r="AB40" s="1577">
        <f t="shared" si="4"/>
        <v>1.0101010101010102</v>
      </c>
      <c r="AC40" s="1577">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v>3</v>
      </c>
      <c r="L41" s="2144"/>
      <c r="M41" s="2134"/>
      <c r="N41" s="2134"/>
      <c r="O41" s="2143"/>
      <c r="P41" s="3387"/>
      <c r="Q41" s="1573" t="str">
        <f t="shared" ref="Q41:Q47" si="14">B41</f>
        <v>宗地形状</v>
      </c>
      <c r="R41" s="1574" t="s">
        <v>8</v>
      </c>
      <c r="S41" s="1575">
        <f t="shared" si="10"/>
        <v>100</v>
      </c>
      <c r="T41" s="1574" t="s">
        <v>8</v>
      </c>
      <c r="U41" s="1575">
        <f t="shared" si="11"/>
        <v>100</v>
      </c>
      <c r="V41" s="1574" t="s">
        <v>8</v>
      </c>
      <c r="W41" s="1575">
        <f t="shared" si="12"/>
        <v>100</v>
      </c>
      <c r="X41" s="1568"/>
      <c r="Y41" s="3387"/>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4"/>
      <c r="M42" s="2134"/>
      <c r="N42" s="2134"/>
      <c r="O42" s="2143"/>
      <c r="P42" s="3387"/>
      <c r="Q42" s="1573" t="str">
        <f t="shared" si="14"/>
        <v>临街宽度及深度</v>
      </c>
      <c r="R42" s="1574" t="s">
        <v>8</v>
      </c>
      <c r="S42" s="1575">
        <f t="shared" si="10"/>
        <v>100</v>
      </c>
      <c r="T42" s="1574" t="s">
        <v>8</v>
      </c>
      <c r="U42" s="1575">
        <f t="shared" si="11"/>
        <v>100</v>
      </c>
      <c r="V42" s="1574" t="s">
        <v>8</v>
      </c>
      <c r="W42" s="1575">
        <f t="shared" si="12"/>
        <v>100</v>
      </c>
      <c r="X42" s="1568"/>
      <c r="Y42" s="3387"/>
      <c r="Z42" s="1576" t="str">
        <f t="shared" si="13"/>
        <v>临街宽度及深度</v>
      </c>
      <c r="AA42" s="1577">
        <f t="shared" si="3"/>
        <v>1</v>
      </c>
      <c r="AB42" s="1577">
        <f t="shared" si="4"/>
        <v>1</v>
      </c>
      <c r="AC42" s="1577">
        <f t="shared" si="5"/>
        <v>1</v>
      </c>
    </row>
    <row r="43" spans="1:29" s="1220" customFormat="1" ht="20.25">
      <c r="A43" s="600"/>
      <c r="B43" s="1897"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v>2</v>
      </c>
      <c r="L43" s="2137"/>
      <c r="M43" s="2134"/>
      <c r="N43" s="2134"/>
      <c r="O43" s="2139"/>
      <c r="P43" s="3387"/>
      <c r="Q43" s="1573" t="str">
        <f t="shared" si="14"/>
        <v>宗地开发程度</v>
      </c>
      <c r="R43" s="1569" t="s">
        <v>8</v>
      </c>
      <c r="S43" s="1570">
        <f t="shared" si="10"/>
        <v>100</v>
      </c>
      <c r="T43" s="1569" t="s">
        <v>8</v>
      </c>
      <c r="U43" s="1570">
        <f t="shared" si="11"/>
        <v>100</v>
      </c>
      <c r="V43" s="1569" t="s">
        <v>8</v>
      </c>
      <c r="W43" s="1570">
        <f t="shared" si="12"/>
        <v>100</v>
      </c>
      <c r="X43" s="1571"/>
      <c r="Y43" s="3387"/>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44"/>
      <c r="M44" s="2134"/>
      <c r="N44" s="2134"/>
      <c r="O44" s="2143"/>
      <c r="P44" s="3387" t="s">
        <v>550</v>
      </c>
      <c r="Q44" s="1573" t="str">
        <f t="shared" si="14"/>
        <v>工程地质条件</v>
      </c>
      <c r="R44" s="1574" t="s">
        <v>8</v>
      </c>
      <c r="S44" s="1575">
        <f t="shared" si="10"/>
        <v>100</v>
      </c>
      <c r="T44" s="1574" t="s">
        <v>8</v>
      </c>
      <c r="U44" s="1575">
        <f t="shared" si="11"/>
        <v>100</v>
      </c>
      <c r="V44" s="1574" t="s">
        <v>8</v>
      </c>
      <c r="W44" s="1575">
        <f t="shared" si="12"/>
        <v>100</v>
      </c>
      <c r="X44" s="1568"/>
      <c r="Y44" s="3387"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87"/>
      <c r="Q45" s="1573">
        <f t="shared" si="14"/>
        <v>111</v>
      </c>
      <c r="R45" s="1574" t="s">
        <v>8</v>
      </c>
      <c r="S45" s="1575">
        <f t="shared" si="10"/>
        <v>100</v>
      </c>
      <c r="T45" s="1574" t="s">
        <v>8</v>
      </c>
      <c r="U45" s="1575">
        <f t="shared" si="11"/>
        <v>100</v>
      </c>
      <c r="V45" s="1574" t="s">
        <v>8</v>
      </c>
      <c r="W45" s="1575">
        <f t="shared" si="12"/>
        <v>100</v>
      </c>
      <c r="X45" s="1568"/>
      <c r="Y45" s="3387"/>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87"/>
      <c r="Q46" s="1573">
        <f t="shared" si="14"/>
        <v>111</v>
      </c>
      <c r="R46" s="1574" t="s">
        <v>8</v>
      </c>
      <c r="S46" s="1575">
        <f t="shared" si="10"/>
        <v>100</v>
      </c>
      <c r="T46" s="1574" t="s">
        <v>8</v>
      </c>
      <c r="U46" s="1575">
        <f t="shared" si="11"/>
        <v>100</v>
      </c>
      <c r="V46" s="1574" t="s">
        <v>8</v>
      </c>
      <c r="W46" s="1575">
        <f t="shared" si="12"/>
        <v>100</v>
      </c>
      <c r="X46" s="1568"/>
      <c r="Y46" s="3387"/>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87"/>
      <c r="Q47" s="1573">
        <f t="shared" si="14"/>
        <v>111</v>
      </c>
      <c r="R47" s="1578" t="s">
        <v>8</v>
      </c>
      <c r="S47" s="1579">
        <f t="shared" si="10"/>
        <v>100</v>
      </c>
      <c r="T47" s="1578" t="s">
        <v>8</v>
      </c>
      <c r="U47" s="1579">
        <f t="shared" si="11"/>
        <v>100</v>
      </c>
      <c r="V47" s="1578" t="s">
        <v>8</v>
      </c>
      <c r="W47" s="1579">
        <f t="shared" si="12"/>
        <v>100</v>
      </c>
      <c r="X47" s="1580"/>
      <c r="Y47" s="3387"/>
      <c r="Z47" s="1581">
        <f t="shared" si="13"/>
        <v>111</v>
      </c>
      <c r="AA47" s="1577">
        <f t="shared" si="3"/>
        <v>1</v>
      </c>
      <c r="AB47" s="1577">
        <f t="shared" si="4"/>
        <v>1</v>
      </c>
      <c r="AC47" s="1577">
        <f t="shared" si="5"/>
        <v>1</v>
      </c>
    </row>
    <row r="48" spans="1:29" ht="20.25">
      <c r="A48" s="607" t="s">
        <v>556</v>
      </c>
      <c r="B48" s="608" t="s">
        <v>3086</v>
      </c>
      <c r="C48" s="609" t="s">
        <v>1</v>
      </c>
      <c r="D48" s="610"/>
      <c r="E48" s="611">
        <v>13371</v>
      </c>
      <c r="F48" s="612"/>
      <c r="G48" s="613">
        <v>12022</v>
      </c>
      <c r="H48" s="614"/>
      <c r="I48" s="611">
        <v>13016</v>
      </c>
      <c r="J48" s="614"/>
      <c r="K48" s="1340"/>
      <c r="L48" s="2146"/>
      <c r="M48" s="2134"/>
      <c r="N48" s="2134"/>
      <c r="O48" s="2147"/>
      <c r="P48" s="3382" t="str">
        <f>A48</f>
        <v>成交单价</v>
      </c>
      <c r="Q48" s="3382"/>
      <c r="R48" s="3396">
        <f>E48</f>
        <v>13371</v>
      </c>
      <c r="S48" s="3396"/>
      <c r="T48" s="3396">
        <f>G48</f>
        <v>12022</v>
      </c>
      <c r="U48" s="3396"/>
      <c r="V48" s="3396">
        <f>I48</f>
        <v>13016</v>
      </c>
      <c r="W48" s="3396"/>
      <c r="X48" s="1560"/>
      <c r="Y48" s="1582"/>
      <c r="Z48" s="1560"/>
      <c r="AA48" s="1560"/>
      <c r="AB48" s="1560"/>
      <c r="AC48" s="1560"/>
    </row>
    <row r="49" spans="1:29" ht="21" thickBot="1">
      <c r="A49" s="615" t="s">
        <v>2696</v>
      </c>
      <c r="B49" s="616"/>
      <c r="C49" s="617">
        <f>R50</f>
        <v>15574</v>
      </c>
      <c r="D49" s="618"/>
      <c r="E49" s="617">
        <f>R49</f>
        <v>15999</v>
      </c>
      <c r="F49" s="619"/>
      <c r="G49" s="620">
        <f>T49</f>
        <v>15148</v>
      </c>
      <c r="H49" s="618"/>
      <c r="I49" s="617">
        <f>V49</f>
        <v>15574</v>
      </c>
      <c r="J49" s="618"/>
      <c r="K49" s="1341"/>
      <c r="L49" s="2146"/>
      <c r="M49" s="2134"/>
      <c r="N49" s="2134"/>
      <c r="O49" s="2147"/>
      <c r="P49" s="3382" t="str">
        <f>A49</f>
        <v>比较价格（元/平方米）</v>
      </c>
      <c r="Q49" s="3382"/>
      <c r="R49" s="3406">
        <f>ROUND(PRODUCT(R48,AA9:AA47),0)</f>
        <v>15999</v>
      </c>
      <c r="S49" s="3406"/>
      <c r="T49" s="3406">
        <f>ROUND(PRODUCT(T48,AB9:AB47),0)</f>
        <v>15148</v>
      </c>
      <c r="U49" s="3406"/>
      <c r="V49" s="3406">
        <f>ROUND(PRODUCT(V48,AC9:AC47),0)</f>
        <v>15574</v>
      </c>
      <c r="W49" s="3406"/>
      <c r="X49" s="1560"/>
      <c r="Y49" s="1560"/>
      <c r="Z49" s="1560"/>
      <c r="AA49" s="1560"/>
      <c r="AB49" s="1560"/>
      <c r="AC49" s="1560"/>
    </row>
    <row r="50" spans="1:29" ht="21" thickBot="1">
      <c r="A50" s="621" t="s">
        <v>2939</v>
      </c>
      <c r="B50" s="622"/>
      <c r="C50" s="623">
        <f>R50</f>
        <v>15574</v>
      </c>
      <c r="D50" s="623"/>
      <c r="E50" s="623"/>
      <c r="F50" s="623"/>
      <c r="G50" s="623"/>
      <c r="H50" s="623"/>
      <c r="I50" s="623"/>
      <c r="J50" s="623"/>
      <c r="K50" s="1342"/>
      <c r="L50" s="2146"/>
      <c r="M50" s="2134"/>
      <c r="N50" s="2134"/>
      <c r="O50" s="2147"/>
      <c r="P50" s="3403" t="str">
        <f>A50</f>
        <v>估价对象XX用房的比较价格（楼面单价，元/平方米）</v>
      </c>
      <c r="Q50" s="3404"/>
      <c r="R50" s="3405">
        <f>ROUND(AVERAGE(R49:V49),0)</f>
        <v>15574</v>
      </c>
      <c r="S50" s="3405"/>
      <c r="T50" s="3405"/>
      <c r="U50" s="3405"/>
      <c r="V50" s="3405"/>
      <c r="W50" s="3405"/>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0.19654476105003371</v>
      </c>
      <c r="F53" s="627" t="str">
        <f>IF(OR(E53&gt;=0.3,E53&lt;=-0.3),"超过30%","")</f>
        <v/>
      </c>
      <c r="G53" s="626">
        <f>IF(G48&lt;G49,G49/G48-1,G48/G49-1)</f>
        <v>0.260023290633838</v>
      </c>
      <c r="H53" s="627" t="str">
        <f>IF(OR(G53&gt;=0.3,G53&lt;=-0.3),"超过30%","")</f>
        <v/>
      </c>
      <c r="I53" s="626">
        <f>IF(I48&lt;I49,I49/I48-1,I48/I49-1)</f>
        <v>0.19652735095267371</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5.6179033535780354E-2</v>
      </c>
      <c r="F54" s="627" t="str">
        <f>IF(OR(E54&gt;=0.2,E54&lt;=-0.2),"超过20%","")</f>
        <v/>
      </c>
      <c r="G54" s="626">
        <f>IF(G49&lt;I49,I49/G49-1,G49/I49-1)</f>
        <v>2.8122524425666651E-2</v>
      </c>
      <c r="H54" s="627" t="str">
        <f>IF(OR(G54&gt;=0.2,G54&lt;=-0.2),"超过20%","")</f>
        <v/>
      </c>
      <c r="I54" s="626">
        <f>IF(I49&lt;E49,E49/I49-1,I49/E49-1)</f>
        <v>2.7289071529472242E-2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0.11221094659790376</v>
      </c>
      <c r="F55" s="627" t="str">
        <f>IF(OR(E55&gt;=0.3,E55&lt;=-0.3),"超过30%","")</f>
        <v/>
      </c>
      <c r="G55" s="626">
        <f>IF(G48&lt;I48,I48/G48-1,G48/I48-1)</f>
        <v>8.2681750124771192E-2</v>
      </c>
      <c r="H55" s="627" t="str">
        <f>IF(OR(G55&gt;=0.3,G55&lt;=-0.3),"超过30%","")</f>
        <v/>
      </c>
      <c r="I55" s="626">
        <f>IF(I48&lt;E48,E48/I48-1,I48/E48-1)</f>
        <v>2.7274124154886392E-2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366" t="s">
        <v>2284</v>
      </c>
      <c r="H57" s="3367"/>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15574</v>
      </c>
      <c r="C58" s="635">
        <v>1</v>
      </c>
      <c r="D58" s="2230">
        <v>1</v>
      </c>
      <c r="E58" s="635">
        <f>'数据-汇总表'!E8+'数据-汇总表'!E9</f>
        <v>99428.59</v>
      </c>
      <c r="F58" s="636">
        <f t="shared" ref="F58:F67" si="15">ROUND(B58*E58/10000,0)</f>
        <v>154850</v>
      </c>
      <c r="G58" s="3368"/>
      <c r="H58" s="3369"/>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2725</v>
      </c>
      <c r="C59" s="378">
        <f t="shared" ref="C59:C67" si="16">IF($C$57="北京市系数",I59,J59)</f>
        <v>0.7</v>
      </c>
      <c r="D59" s="2231">
        <v>0.25</v>
      </c>
      <c r="E59" s="639">
        <f>'数据-汇总表'!G20/2</f>
        <v>8494.94</v>
      </c>
      <c r="F59" s="636">
        <f t="shared" si="15"/>
        <v>2315</v>
      </c>
      <c r="G59" s="3370" t="s">
        <v>2285</v>
      </c>
      <c r="H59" s="1950" t="str">
        <f>项目基本情况!B43</f>
        <v>六级</v>
      </c>
      <c r="I59" s="1557">
        <f>SUMIF(修正!$A$45:$A$56,H59,修正!B45:B56)</f>
        <v>0.7</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1557</v>
      </c>
      <c r="C60" s="378">
        <f t="shared" si="16"/>
        <v>0.4</v>
      </c>
      <c r="D60" s="2231">
        <v>0.25</v>
      </c>
      <c r="E60" s="639">
        <f>E59</f>
        <v>8494.94</v>
      </c>
      <c r="F60" s="636">
        <f t="shared" si="15"/>
        <v>1323</v>
      </c>
      <c r="G60" s="3370"/>
      <c r="H60" s="1950" t="str">
        <f>项目基本情况!B43</f>
        <v>六级</v>
      </c>
      <c r="I60" s="1557">
        <f>SUMIF(修正!$A$45:$A$56,H60,修正!C45:C56)</f>
        <v>0.4</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1090</v>
      </c>
      <c r="C61" s="378">
        <f t="shared" si="16"/>
        <v>0.28000000000000003</v>
      </c>
      <c r="D61" s="2231">
        <v>0.25</v>
      </c>
      <c r="E61" s="639">
        <v>0</v>
      </c>
      <c r="F61" s="636">
        <f t="shared" si="15"/>
        <v>0</v>
      </c>
      <c r="G61" s="3370"/>
      <c r="H61" s="1950" t="str">
        <f>项目基本情况!B43</f>
        <v>六级</v>
      </c>
      <c r="I61" s="1557">
        <f>SUMIF(修正!$A$45:$A$56,H61,修正!D45:D56)</f>
        <v>0.28000000000000003</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973</v>
      </c>
      <c r="C62" s="378">
        <f t="shared" si="16"/>
        <v>0.25</v>
      </c>
      <c r="D62" s="2231">
        <v>0.25</v>
      </c>
      <c r="E62" s="639">
        <v>0</v>
      </c>
      <c r="F62" s="636">
        <f t="shared" si="15"/>
        <v>0</v>
      </c>
      <c r="G62" s="3370"/>
      <c r="H62" s="1950" t="str">
        <f>项目基本情况!B43</f>
        <v>六级</v>
      </c>
      <c r="I62" s="1557">
        <f>SUMIF(修正!$A$45:$A$56,H62,修正!E45:E56)</f>
        <v>0.25</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973</v>
      </c>
      <c r="C63" s="378">
        <f t="shared" si="16"/>
        <v>0.25</v>
      </c>
      <c r="D63" s="2231">
        <v>0.25</v>
      </c>
      <c r="E63" s="641">
        <f>'数据-汇总表'!E11</f>
        <v>0</v>
      </c>
      <c r="F63" s="636">
        <f t="shared" si="15"/>
        <v>0</v>
      </c>
      <c r="G63" s="1947" t="s">
        <v>2286</v>
      </c>
      <c r="H63" s="1950" t="str">
        <f>项目基本情况!C43</f>
        <v>六级</v>
      </c>
      <c r="I63" s="1557">
        <f>SUMIF(修正!$A$45:$A$56,H63,修正!F45:F56)</f>
        <v>0.25</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973</v>
      </c>
      <c r="C64" s="378">
        <f t="shared" si="16"/>
        <v>0.25</v>
      </c>
      <c r="D64" s="2231">
        <v>0.25</v>
      </c>
      <c r="E64" s="641">
        <f>'数据-汇总表'!E12</f>
        <v>0</v>
      </c>
      <c r="F64" s="636">
        <f t="shared" si="15"/>
        <v>0</v>
      </c>
      <c r="G64" s="1948" t="s">
        <v>1678</v>
      </c>
      <c r="H64" s="1946" t="str">
        <f>IF(G64="商业",项目基本情况!B43,IF(G64="办公",项目基本情况!C43,IF(G64="住宅",项目基本情况!D43,项目基本情况!E43)))</f>
        <v>六级</v>
      </c>
      <c r="I64" s="1557">
        <f>SUMIF(修正!$A$45:$A$56,H64,修正!G45:G56)</f>
        <v>0.25</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779</v>
      </c>
      <c r="C66" s="378">
        <f t="shared" si="16"/>
        <v>0.2</v>
      </c>
      <c r="D66" s="2231">
        <v>0.25</v>
      </c>
      <c r="E66" s="641">
        <f>'数据-汇总表'!E14</f>
        <v>0</v>
      </c>
      <c r="F66" s="636">
        <f t="shared" si="15"/>
        <v>0</v>
      </c>
      <c r="G66" s="1947" t="s">
        <v>2285</v>
      </c>
      <c r="H66" s="1950" t="str">
        <f>项目基本情况!B43</f>
        <v>六级</v>
      </c>
      <c r="I66" s="1557">
        <f>SUMIF(修正!$A$45:$A$56,H66,修正!H45:H56)</f>
        <v>0.2</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779</v>
      </c>
      <c r="C67" s="378">
        <f t="shared" si="16"/>
        <v>0.2</v>
      </c>
      <c r="D67" s="2231">
        <v>0.25</v>
      </c>
      <c r="E67" s="641">
        <f>'数据-汇总表'!E15</f>
        <v>26749.200000000001</v>
      </c>
      <c r="F67" s="636">
        <f t="shared" si="15"/>
        <v>2084</v>
      </c>
      <c r="G67" s="1949" t="s">
        <v>2286</v>
      </c>
      <c r="H67" s="1951" t="str">
        <f>项目基本情况!C43</f>
        <v>六级</v>
      </c>
      <c r="I67" s="1557">
        <f>SUMIF(修正!$A$45:$A$56,H67,修正!H45:H56)</f>
        <v>0.2</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143167.67000000001</v>
      </c>
      <c r="F68" s="644">
        <f>IF(B48="楼面地价",SUM(F58:F67),ROUND(C50*E68/10000,0))</f>
        <v>160572</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2018-10-1</v>
      </c>
      <c r="D70" s="2801">
        <f>EDATE(C70,-3)</f>
        <v>43282</v>
      </c>
      <c r="E70" s="2801">
        <f t="shared" ref="E70:N70" si="18">EDATE(D70,-3)</f>
        <v>43191</v>
      </c>
      <c r="F70" s="2801">
        <f t="shared" si="18"/>
        <v>43101</v>
      </c>
      <c r="G70" s="2801">
        <f t="shared" si="18"/>
        <v>43009</v>
      </c>
      <c r="H70" s="2801">
        <f t="shared" si="18"/>
        <v>42917</v>
      </c>
      <c r="I70" s="2801">
        <f t="shared" si="18"/>
        <v>42826</v>
      </c>
      <c r="J70" s="2801">
        <f t="shared" si="18"/>
        <v>42736</v>
      </c>
      <c r="K70" s="2801">
        <f t="shared" si="18"/>
        <v>42644</v>
      </c>
      <c r="L70" s="2801">
        <f t="shared" si="18"/>
        <v>42552</v>
      </c>
      <c r="M70" s="2801">
        <f t="shared" si="18"/>
        <v>42461</v>
      </c>
      <c r="N70" s="2801">
        <f t="shared" si="18"/>
        <v>42370</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2535</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t="s">
        <v>3077</v>
      </c>
      <c r="P72" s="2162" t="s">
        <v>3078</v>
      </c>
      <c r="Q72" s="2163" t="s">
        <v>3079</v>
      </c>
      <c r="R72" s="2163" t="s">
        <v>3080</v>
      </c>
      <c r="S72" s="2163" t="s">
        <v>3081</v>
      </c>
      <c r="T72" s="2163" t="s">
        <v>3082</v>
      </c>
      <c r="U72" s="2163" t="s">
        <v>3083</v>
      </c>
      <c r="V72" s="2163"/>
      <c r="W72" s="2163"/>
      <c r="X72" s="2163"/>
      <c r="Y72" s="2163"/>
      <c r="Z72" s="2163"/>
      <c r="AA72" s="2163"/>
      <c r="AB72" s="2163"/>
      <c r="AC72" s="2163"/>
    </row>
    <row r="73" spans="1:29" s="1220" customFormat="1" ht="27" customHeight="1">
      <c r="A73" s="2808" t="s">
        <v>2650</v>
      </c>
      <c r="B73" s="479" t="str">
        <f>"北京市平均增长率"&amp;TEXT(SUMIF(基准地价!N21:N25,A73,基准地价!P21:P25),"0.00%")</f>
        <v>北京市平均增长率2.19%</v>
      </c>
      <c r="C73" s="894">
        <v>100</v>
      </c>
      <c r="D73" s="730">
        <v>99</v>
      </c>
      <c r="E73" s="730">
        <v>98</v>
      </c>
      <c r="F73" s="730">
        <v>97</v>
      </c>
      <c r="G73" s="730">
        <v>96</v>
      </c>
      <c r="H73" s="730">
        <v>95</v>
      </c>
      <c r="I73" s="730">
        <v>94</v>
      </c>
      <c r="J73" s="730">
        <v>93</v>
      </c>
      <c r="K73" s="730">
        <v>92</v>
      </c>
      <c r="L73" s="730">
        <v>91</v>
      </c>
      <c r="M73" s="2794">
        <v>90</v>
      </c>
      <c r="N73" s="2795">
        <v>89</v>
      </c>
      <c r="O73" s="2164">
        <v>88</v>
      </c>
      <c r="P73" s="2164">
        <v>87</v>
      </c>
      <c r="Q73" s="1995">
        <v>86</v>
      </c>
      <c r="R73" s="1995">
        <v>85</v>
      </c>
      <c r="S73" s="1995">
        <v>84</v>
      </c>
      <c r="T73" s="1995">
        <v>83</v>
      </c>
      <c r="U73" s="1995">
        <v>82</v>
      </c>
      <c r="V73" s="1995"/>
      <c r="W73" s="1995"/>
      <c r="X73" s="1995"/>
      <c r="Y73" s="1995"/>
      <c r="Z73" s="1995"/>
      <c r="AA73" s="1995"/>
      <c r="AB73" s="1995"/>
      <c r="AC73" s="1995"/>
    </row>
    <row r="74" spans="1:29" s="1220" customFormat="1" ht="15" customHeight="1" thickBot="1">
      <c r="A74" s="2798" t="s">
        <v>2649</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v>6</v>
      </c>
      <c r="J82" s="541">
        <v>7</v>
      </c>
      <c r="K82" s="684">
        <v>8</v>
      </c>
      <c r="L82" s="685">
        <v>9</v>
      </c>
      <c r="M82" s="686">
        <v>10</v>
      </c>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98</v>
      </c>
      <c r="E95" s="679">
        <f>D95-$K21</f>
        <v>96</v>
      </c>
      <c r="F95" s="679">
        <f>E95-$K21</f>
        <v>94</v>
      </c>
      <c r="G95" s="679">
        <f>F95-$K21</f>
        <v>92</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2553</v>
      </c>
      <c r="C104" s="2600" t="s">
        <v>2554</v>
      </c>
      <c r="D104" s="2600" t="s">
        <v>2555</v>
      </c>
      <c r="E104" s="2600" t="s">
        <v>2556</v>
      </c>
      <c r="F104" s="2600" t="s">
        <v>2557</v>
      </c>
      <c r="G104" s="2600"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94" t="str">
        <f t="shared" si="25"/>
        <v>(含)-</v>
      </c>
      <c r="K118" s="3094" t="str">
        <f t="shared" si="25"/>
        <v>(含)-</v>
      </c>
      <c r="L118" s="3095" t="str">
        <f t="shared" si="25"/>
        <v>(含)-</v>
      </c>
      <c r="M118" s="3096"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10000</v>
      </c>
      <c r="E119" s="730">
        <v>20000</v>
      </c>
      <c r="F119" s="730">
        <v>30000</v>
      </c>
      <c r="G119" s="730">
        <v>40000</v>
      </c>
      <c r="H119" s="730">
        <v>50000</v>
      </c>
      <c r="I119" s="730">
        <v>60000</v>
      </c>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v>106</v>
      </c>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13" sqref="E13"/>
    </sheetView>
  </sheetViews>
  <sheetFormatPr defaultRowHeight="13.5"/>
  <sheetData>
    <row r="1" spans="1:13">
      <c r="A1" s="3198" t="s">
        <v>3014</v>
      </c>
      <c r="B1" s="3198" t="s">
        <v>3015</v>
      </c>
      <c r="C1" s="3198" t="s">
        <v>3016</v>
      </c>
      <c r="D1" s="3198" t="s">
        <v>3017</v>
      </c>
      <c r="E1" s="3198" t="s">
        <v>3018</v>
      </c>
      <c r="F1" s="3198" t="s">
        <v>2035</v>
      </c>
      <c r="G1" s="3198" t="s">
        <v>3019</v>
      </c>
      <c r="H1" s="3198" t="s">
        <v>3020</v>
      </c>
      <c r="I1" s="3198" t="s">
        <v>3021</v>
      </c>
      <c r="J1" s="3198" t="s">
        <v>3022</v>
      </c>
      <c r="K1" s="3198" t="s">
        <v>3023</v>
      </c>
      <c r="L1" s="3198" t="s">
        <v>3024</v>
      </c>
      <c r="M1" s="3198" t="s">
        <v>3025</v>
      </c>
    </row>
    <row r="2" spans="1:13">
      <c r="A2" s="3198" t="s">
        <v>3026</v>
      </c>
      <c r="B2" s="3198" t="s">
        <v>1948</v>
      </c>
      <c r="C2" s="3198" t="s">
        <v>3027</v>
      </c>
      <c r="D2" s="3198">
        <v>35230.230000000003</v>
      </c>
      <c r="E2" s="3198">
        <v>88076</v>
      </c>
      <c r="F2" s="3198">
        <v>2.5</v>
      </c>
      <c r="G2" s="3198" t="s">
        <v>3028</v>
      </c>
      <c r="H2" s="3198" t="s">
        <v>3029</v>
      </c>
      <c r="I2" s="3198">
        <v>62000</v>
      </c>
      <c r="J2" s="3198">
        <v>62000</v>
      </c>
      <c r="K2" s="3198">
        <v>7039.38</v>
      </c>
      <c r="L2" s="3198">
        <v>0</v>
      </c>
      <c r="M2" s="3198" t="s">
        <v>3030</v>
      </c>
    </row>
    <row r="3" spans="1:13">
      <c r="A3" s="3198" t="s">
        <v>3031</v>
      </c>
      <c r="B3" s="3198" t="s">
        <v>1948</v>
      </c>
      <c r="C3" s="3198" t="s">
        <v>3027</v>
      </c>
      <c r="D3" s="3198">
        <v>2070793</v>
      </c>
      <c r="E3" s="3198">
        <v>1642730</v>
      </c>
      <c r="F3" s="3198">
        <v>0.79</v>
      </c>
      <c r="G3" s="3198" t="s">
        <v>3028</v>
      </c>
      <c r="H3" s="3198" t="s">
        <v>3032</v>
      </c>
      <c r="I3" s="3198">
        <v>870000</v>
      </c>
      <c r="J3" s="3198">
        <v>870000</v>
      </c>
      <c r="K3" s="3198">
        <v>5296.06</v>
      </c>
      <c r="L3" s="3198">
        <v>0</v>
      </c>
      <c r="M3" s="3198" t="s">
        <v>3033</v>
      </c>
    </row>
    <row r="4" spans="1:13">
      <c r="A4" s="3198" t="s">
        <v>3034</v>
      </c>
      <c r="B4" s="3198" t="s">
        <v>1948</v>
      </c>
      <c r="C4" s="3198" t="s">
        <v>3027</v>
      </c>
      <c r="D4" s="3198">
        <v>65873.39</v>
      </c>
      <c r="E4" s="3198">
        <v>164683</v>
      </c>
      <c r="F4" s="3198">
        <v>2.5</v>
      </c>
      <c r="G4" s="3198" t="s">
        <v>3028</v>
      </c>
      <c r="H4" s="3198" t="s">
        <v>3035</v>
      </c>
      <c r="I4" s="3198">
        <v>78000</v>
      </c>
      <c r="J4" s="3198">
        <v>108000</v>
      </c>
      <c r="K4" s="3198">
        <v>6558.05</v>
      </c>
      <c r="L4" s="3198">
        <v>38.46</v>
      </c>
      <c r="M4" s="3198" t="s">
        <v>3036</v>
      </c>
    </row>
    <row r="5" spans="1:13">
      <c r="A5" s="3198" t="s">
        <v>3037</v>
      </c>
      <c r="B5" s="3198" t="s">
        <v>1948</v>
      </c>
      <c r="C5" s="3198" t="s">
        <v>3027</v>
      </c>
      <c r="D5" s="3198">
        <v>47100</v>
      </c>
      <c r="E5" s="3198">
        <v>450000</v>
      </c>
      <c r="F5" s="3198">
        <v>9.5500000000000007</v>
      </c>
      <c r="G5" s="3198" t="s">
        <v>3038</v>
      </c>
      <c r="H5" s="3198" t="s">
        <v>3039</v>
      </c>
      <c r="I5" s="3198" t="s">
        <v>2821</v>
      </c>
      <c r="J5" s="3198">
        <v>503990</v>
      </c>
      <c r="K5" s="3198">
        <v>11199.78</v>
      </c>
      <c r="L5" s="3198" t="s">
        <v>2821</v>
      </c>
      <c r="M5" s="3198" t="s">
        <v>3040</v>
      </c>
    </row>
    <row r="6" spans="1:13">
      <c r="A6" s="3199" t="s">
        <v>3041</v>
      </c>
      <c r="B6" s="3199" t="s">
        <v>1948</v>
      </c>
      <c r="C6" s="3199" t="s">
        <v>3027</v>
      </c>
      <c r="D6" s="3199">
        <v>37656</v>
      </c>
      <c r="E6" s="3199">
        <v>131600</v>
      </c>
      <c r="F6" s="3199">
        <v>3.49</v>
      </c>
      <c r="G6" s="3199" t="s">
        <v>3038</v>
      </c>
      <c r="H6" s="3199" t="s">
        <v>3042</v>
      </c>
      <c r="I6" s="3199" t="s">
        <v>2821</v>
      </c>
      <c r="J6" s="3199">
        <v>151603.20000000001</v>
      </c>
      <c r="K6" s="3199">
        <v>11520</v>
      </c>
      <c r="L6" s="3199" t="s">
        <v>2821</v>
      </c>
      <c r="M6" s="3199" t="s">
        <v>3043</v>
      </c>
    </row>
    <row r="7" spans="1:13">
      <c r="A7" s="3199" t="s">
        <v>3044</v>
      </c>
      <c r="B7" s="3199" t="s">
        <v>1948</v>
      </c>
      <c r="C7" s="3199" t="s">
        <v>3027</v>
      </c>
      <c r="D7" s="3199">
        <v>14124.26</v>
      </c>
      <c r="E7" s="3199">
        <v>119961</v>
      </c>
      <c r="F7" s="3199">
        <v>8.49</v>
      </c>
      <c r="G7" s="3199" t="s">
        <v>3038</v>
      </c>
      <c r="H7" s="3199" t="s">
        <v>3042</v>
      </c>
      <c r="I7" s="3199" t="s">
        <v>2821</v>
      </c>
      <c r="J7" s="3199">
        <v>135700</v>
      </c>
      <c r="K7" s="3199">
        <v>11312.01</v>
      </c>
      <c r="L7" s="3199" t="s">
        <v>2821</v>
      </c>
      <c r="M7" s="3199" t="s">
        <v>3045</v>
      </c>
    </row>
    <row r="8" spans="1:13">
      <c r="A8" s="3199" t="s">
        <v>3046</v>
      </c>
      <c r="B8" s="3199" t="s">
        <v>1948</v>
      </c>
      <c r="C8" s="3199" t="s">
        <v>3027</v>
      </c>
      <c r="D8" s="3199">
        <v>39645</v>
      </c>
      <c r="E8" s="3199">
        <v>189500</v>
      </c>
      <c r="F8" s="3199">
        <v>4.78</v>
      </c>
      <c r="G8" s="3199" t="s">
        <v>3038</v>
      </c>
      <c r="H8" s="3199" t="s">
        <v>3042</v>
      </c>
      <c r="I8" s="3199" t="s">
        <v>2821</v>
      </c>
      <c r="J8" s="3199">
        <v>218304</v>
      </c>
      <c r="K8" s="3199">
        <v>11520</v>
      </c>
      <c r="L8" s="3199" t="s">
        <v>2821</v>
      </c>
      <c r="M8" s="3199" t="s">
        <v>3047</v>
      </c>
    </row>
    <row r="9" spans="1:13">
      <c r="A9" s="3198" t="s">
        <v>3048</v>
      </c>
      <c r="B9" s="3198" t="s">
        <v>1948</v>
      </c>
      <c r="C9" s="3198" t="s">
        <v>3027</v>
      </c>
      <c r="D9" s="3198">
        <v>9200</v>
      </c>
      <c r="E9" s="3198">
        <v>78139</v>
      </c>
      <c r="F9" s="3198">
        <v>8.49</v>
      </c>
      <c r="G9" s="3198" t="s">
        <v>3038</v>
      </c>
      <c r="H9" s="3198" t="s">
        <v>3042</v>
      </c>
      <c r="I9" s="3198" t="s">
        <v>2821</v>
      </c>
      <c r="J9" s="3198">
        <v>88400</v>
      </c>
      <c r="K9" s="3198">
        <v>11313.17</v>
      </c>
      <c r="L9" s="3198" t="s">
        <v>2821</v>
      </c>
      <c r="M9" s="3198" t="s">
        <v>3045</v>
      </c>
    </row>
    <row r="10" spans="1:13">
      <c r="A10" s="3198" t="s">
        <v>3049</v>
      </c>
      <c r="B10" s="3198" t="s">
        <v>1948</v>
      </c>
      <c r="C10" s="3198" t="s">
        <v>3027</v>
      </c>
      <c r="D10" s="3198">
        <v>14088</v>
      </c>
      <c r="E10" s="3198">
        <v>90600</v>
      </c>
      <c r="F10" s="3198">
        <v>6.43</v>
      </c>
      <c r="G10" s="3198" t="s">
        <v>3038</v>
      </c>
      <c r="H10" s="3198" t="s">
        <v>3050</v>
      </c>
      <c r="I10" s="3198" t="s">
        <v>2821</v>
      </c>
      <c r="J10" s="3198">
        <v>105100</v>
      </c>
      <c r="K10" s="3198">
        <v>11600.44</v>
      </c>
      <c r="L10" s="3198" t="s">
        <v>2821</v>
      </c>
      <c r="M10" s="3198" t="s">
        <v>3045</v>
      </c>
    </row>
    <row r="11" spans="1:13">
      <c r="A11" s="3198" t="s">
        <v>3051</v>
      </c>
      <c r="B11" s="3198" t="s">
        <v>1948</v>
      </c>
      <c r="C11" s="3198" t="s">
        <v>3027</v>
      </c>
      <c r="D11" s="3198">
        <v>9293</v>
      </c>
      <c r="E11" s="3198">
        <v>55800</v>
      </c>
      <c r="F11" s="3198">
        <v>6</v>
      </c>
      <c r="G11" s="3198" t="s">
        <v>3038</v>
      </c>
      <c r="H11" s="3198" t="s">
        <v>3050</v>
      </c>
      <c r="I11" s="3198" t="s">
        <v>2821</v>
      </c>
      <c r="J11" s="3198">
        <v>64700</v>
      </c>
      <c r="K11" s="3198">
        <v>11594.97</v>
      </c>
      <c r="L11" s="3198" t="s">
        <v>2821</v>
      </c>
      <c r="M11" s="3198" t="s">
        <v>3045</v>
      </c>
    </row>
    <row r="12" spans="1:13">
      <c r="A12" s="3200" t="s">
        <v>3052</v>
      </c>
      <c r="B12" s="3200" t="s">
        <v>1948</v>
      </c>
      <c r="C12" s="3200" t="s">
        <v>3027</v>
      </c>
      <c r="D12" s="3200">
        <v>17815</v>
      </c>
      <c r="E12" s="3200">
        <v>133500</v>
      </c>
      <c r="F12" s="3200">
        <v>7.49</v>
      </c>
      <c r="G12" s="3200" t="s">
        <v>3028</v>
      </c>
      <c r="H12" s="3200" t="s">
        <v>3053</v>
      </c>
      <c r="I12" s="3200">
        <v>150900</v>
      </c>
      <c r="J12" s="3200">
        <v>178500</v>
      </c>
      <c r="K12" s="3200">
        <v>13370.79</v>
      </c>
      <c r="L12" s="3200">
        <v>18.29</v>
      </c>
      <c r="M12" s="3200" t="s">
        <v>3054</v>
      </c>
    </row>
    <row r="13" spans="1:13">
      <c r="A13" s="3200" t="s">
        <v>3055</v>
      </c>
      <c r="B13" s="3200" t="s">
        <v>1948</v>
      </c>
      <c r="C13" s="3200" t="s">
        <v>3027</v>
      </c>
      <c r="D13" s="3200">
        <v>8949</v>
      </c>
      <c r="E13" s="3200">
        <v>89000</v>
      </c>
      <c r="F13" s="3200">
        <v>9.9499999999999993</v>
      </c>
      <c r="G13" s="3200" t="s">
        <v>3028</v>
      </c>
      <c r="H13" s="3200" t="s">
        <v>3053</v>
      </c>
      <c r="I13" s="3200">
        <v>100600</v>
      </c>
      <c r="J13" s="3200">
        <v>107000</v>
      </c>
      <c r="K13" s="3200">
        <v>12022.46</v>
      </c>
      <c r="L13" s="3200">
        <v>6.36</v>
      </c>
      <c r="M13" s="3200" t="s">
        <v>3054</v>
      </c>
    </row>
    <row r="14" spans="1:13">
      <c r="A14" s="3198" t="s">
        <v>3056</v>
      </c>
      <c r="B14" s="3198" t="s">
        <v>1948</v>
      </c>
      <c r="C14" s="3198" t="s">
        <v>3027</v>
      </c>
      <c r="D14" s="3198">
        <v>17771</v>
      </c>
      <c r="E14" s="3198">
        <v>124600</v>
      </c>
      <c r="F14" s="3198">
        <v>7.01</v>
      </c>
      <c r="G14" s="3198" t="s">
        <v>3028</v>
      </c>
      <c r="H14" s="3198" t="s">
        <v>3057</v>
      </c>
      <c r="I14" s="3198">
        <v>140800</v>
      </c>
      <c r="J14" s="3198">
        <v>142900</v>
      </c>
      <c r="K14" s="3198">
        <v>11468.7</v>
      </c>
      <c r="L14" s="3198">
        <v>1.49</v>
      </c>
      <c r="M14" s="3198" t="s">
        <v>3058</v>
      </c>
    </row>
    <row r="15" spans="1:13">
      <c r="A15" s="3200" t="s">
        <v>3059</v>
      </c>
      <c r="B15" s="3200" t="s">
        <v>1948</v>
      </c>
      <c r="C15" s="3200" t="s">
        <v>3027</v>
      </c>
      <c r="D15" s="3200">
        <v>17064</v>
      </c>
      <c r="E15" s="3200">
        <v>128300</v>
      </c>
      <c r="F15" s="3200">
        <v>7.52</v>
      </c>
      <c r="G15" s="3200" t="s">
        <v>3028</v>
      </c>
      <c r="H15" s="3200" t="s">
        <v>3057</v>
      </c>
      <c r="I15" s="3200">
        <v>145000</v>
      </c>
      <c r="J15" s="3200">
        <v>167000</v>
      </c>
      <c r="K15" s="3200">
        <v>13016.37</v>
      </c>
      <c r="L15" s="3200">
        <v>15.17</v>
      </c>
      <c r="M15" s="3200" t="s">
        <v>3060</v>
      </c>
    </row>
    <row r="16" spans="1:13">
      <c r="A16" s="3198" t="s">
        <v>3061</v>
      </c>
      <c r="B16" s="3198" t="s">
        <v>1948</v>
      </c>
      <c r="C16" s="3198" t="s">
        <v>3027</v>
      </c>
      <c r="D16" s="3198">
        <v>1209458</v>
      </c>
      <c r="E16" s="3198">
        <v>798095</v>
      </c>
      <c r="F16" s="3198">
        <v>0.66</v>
      </c>
      <c r="G16" s="3198" t="s">
        <v>3028</v>
      </c>
      <c r="H16" s="3198" t="s">
        <v>3062</v>
      </c>
      <c r="I16" s="3198">
        <v>193000</v>
      </c>
      <c r="J16" s="3198">
        <v>193000</v>
      </c>
      <c r="K16" s="3198">
        <v>2418.2600000000002</v>
      </c>
      <c r="L16" s="3198">
        <v>0</v>
      </c>
      <c r="M16" s="3198" t="s">
        <v>3033</v>
      </c>
    </row>
  </sheetData>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01" t="str">
        <f>项目基本情况!B1</f>
        <v>北京市出让国有建设用地使用权抵押价格预评估</v>
      </c>
      <c r="C37" s="3201"/>
      <c r="D37" s="3201"/>
      <c r="E37" s="3201"/>
      <c r="F37" s="3201"/>
      <c r="G37" s="3201"/>
      <c r="H37" s="3201"/>
      <c r="I37" s="3201"/>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郑燚、王鹏</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C29" sqref="C29"/>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9</v>
      </c>
    </row>
    <row r="2" spans="1:31" s="2043" customFormat="1" ht="18" customHeight="1">
      <c r="A2" s="2103" t="s">
        <v>467</v>
      </c>
      <c r="B2" s="2107">
        <f ca="1">C36</f>
        <v>148189</v>
      </c>
      <c r="C2" s="2106"/>
      <c r="D2" s="2106"/>
      <c r="E2" s="2106"/>
      <c r="F2" s="2106"/>
      <c r="G2" s="2106"/>
      <c r="H2" s="2106"/>
      <c r="I2" s="2106"/>
      <c r="J2" s="2106"/>
      <c r="K2" s="2106"/>
    </row>
    <row r="3" spans="1:31" s="2043" customFormat="1" ht="18" customHeight="1">
      <c r="A3" s="2108" t="s">
        <v>1685</v>
      </c>
      <c r="B3" s="2109">
        <f ca="1">ROUND(B2*10000/IF(B1="",'数据-汇总表'!E3,INDIRECT("'数据-取费表'!K"&amp;$K$1)),0)</f>
        <v>10025</v>
      </c>
      <c r="C3" s="2106"/>
      <c r="D3" s="2106"/>
      <c r="E3" s="2106"/>
      <c r="F3" s="2106"/>
      <c r="G3" s="2106"/>
      <c r="H3" s="2106"/>
      <c r="I3" s="2106"/>
      <c r="J3" s="2106"/>
      <c r="K3" s="2106"/>
    </row>
    <row r="4" spans="1:31" s="2043" customFormat="1" ht="18" customHeight="1">
      <c r="A4" s="426" t="s">
        <v>468</v>
      </c>
      <c r="B4" s="427">
        <f ca="1">ROUND(B2*10000/IF(B1="",'数据-汇总表'!D3,INDIRECT("'数据-取费表'!R"&amp;$K$1)),0)</f>
        <v>94256</v>
      </c>
      <c r="C4" s="428"/>
      <c r="D4" s="422"/>
      <c r="E4" s="422"/>
      <c r="F4" s="422"/>
      <c r="G4" s="422"/>
      <c r="H4" s="422"/>
      <c r="I4" s="422"/>
      <c r="J4" s="422"/>
      <c r="K4" s="422"/>
    </row>
    <row r="5" spans="1:31" s="2043" customFormat="1" ht="18" customHeight="1" thickBot="1">
      <c r="A5" s="429"/>
      <c r="B5" s="430">
        <f ca="1">ROUND(B2/(IF(B1="",'数据-汇总表'!D3,INDIRECT("'数据-取费表'!R"&amp;$K$1))/666.67),0)</f>
        <v>6284</v>
      </c>
      <c r="C5" s="431" t="s">
        <v>469</v>
      </c>
      <c r="D5" s="422"/>
      <c r="E5" s="422"/>
      <c r="F5" s="422"/>
      <c r="G5" s="422"/>
      <c r="H5" s="422"/>
      <c r="I5" s="422"/>
      <c r="J5" s="422"/>
      <c r="K5" s="422"/>
    </row>
    <row r="6" spans="1:31" s="2113" customFormat="1" ht="16.5" customHeight="1">
      <c r="A6" s="2830" t="s">
        <v>1843</v>
      </c>
      <c r="B6" s="2831"/>
      <c r="C6" s="2832">
        <f ca="1">SUM(C10:K10)</f>
        <v>302458</v>
      </c>
      <c r="D6" s="2831"/>
      <c r="E6" s="2831"/>
      <c r="F6" s="2831"/>
      <c r="G6" s="2831"/>
      <c r="H6" s="2831"/>
      <c r="I6" s="2831"/>
      <c r="J6" s="2831"/>
      <c r="K6" s="2833"/>
    </row>
    <row r="7" spans="1:31" s="2115" customFormat="1" ht="15">
      <c r="A7" s="2834" t="s">
        <v>470</v>
      </c>
      <c r="B7" s="2835" t="s">
        <v>471</v>
      </c>
      <c r="C7" s="436" t="s">
        <v>1678</v>
      </c>
      <c r="D7" s="436" t="s">
        <v>2994</v>
      </c>
      <c r="E7" s="436" t="s">
        <v>35</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f ca="1">'不动产收益法-办公'!B3</f>
        <v>23397</v>
      </c>
      <c r="D8" s="2836">
        <f ca="1">'不动产收益法-商业'!B3</f>
        <v>26965</v>
      </c>
      <c r="E8" s="2836">
        <f ca="1">'不动产收益法-地下车库'!B3</f>
        <v>2444</v>
      </c>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50449.86</v>
      </c>
      <c r="D9" s="441">
        <f>SUMIF('数据-汇总表'!$C19:$C33,'剩余法-待开发'!D7,'数据-汇总表'!$E19:$E33)</f>
        <v>65968.61</v>
      </c>
      <c r="E9" s="441">
        <f>SUMIF('数据-汇总表'!$C19:$C33,'剩余法-待开发'!E7,'数据-汇总表'!$E19:$E33)</f>
        <v>26749.200000000001</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0">
        <f ca="1">'不动产收益法-办公'!B2</f>
        <v>118038</v>
      </c>
      <c r="D10" s="3030">
        <f ca="1">'不动产收益法-商业'!B2</f>
        <v>177883</v>
      </c>
      <c r="E10" s="3030">
        <f ca="1">'不动产收益法-地下车库'!B2</f>
        <v>6537</v>
      </c>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58277</v>
      </c>
      <c r="D13" s="2846"/>
      <c r="E13" s="2847"/>
      <c r="F13" s="2848"/>
      <c r="G13" s="2814"/>
      <c r="H13" s="2815"/>
      <c r="I13" s="2815"/>
      <c r="J13" s="2815"/>
      <c r="K13" s="2816"/>
    </row>
    <row r="14" spans="1:31" s="2118" customFormat="1" ht="13.5" customHeight="1">
      <c r="A14" s="2844" t="s">
        <v>1850</v>
      </c>
      <c r="B14" s="2845" t="s">
        <v>480</v>
      </c>
      <c r="C14" s="53">
        <f ca="1">ROUND(C13*F14,0)</f>
        <v>1748</v>
      </c>
      <c r="D14" s="2846"/>
      <c r="E14" s="2847"/>
      <c r="F14" s="2849">
        <f>'数据-取费表'!B33</f>
        <v>0.03</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0</v>
      </c>
      <c r="D15" s="2846"/>
      <c r="E15" s="2847"/>
      <c r="F15" s="2849">
        <f>'数据-取费表'!B34</f>
        <v>0</v>
      </c>
      <c r="G15" s="2814" t="s">
        <v>483</v>
      </c>
      <c r="H15" s="2815"/>
      <c r="I15" s="2815"/>
      <c r="J15" s="2815"/>
      <c r="K15" s="2816"/>
    </row>
    <row r="16" spans="1:31" s="2119" customFormat="1" ht="13.5" customHeight="1">
      <c r="A16" s="2844" t="s">
        <v>1852</v>
      </c>
      <c r="B16" s="2845" t="s">
        <v>484</v>
      </c>
      <c r="C16" s="53">
        <f ca="1">ROUND(D16*E16/10000,0)</f>
        <v>2956</v>
      </c>
      <c r="D16" s="2846">
        <f ca="1">IF(B1="",'数据-汇总表'!E3,INDIRECT("'数据-取费表'!K"&amp;$K$1)+INDIRECT("'数据-取费表'!S"&amp;$K$1))</f>
        <v>147819.42000000001</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874</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63855</v>
      </c>
      <c r="D18" s="2855"/>
      <c r="E18" s="468"/>
      <c r="F18" s="468"/>
      <c r="G18" s="2818" t="s">
        <v>2433</v>
      </c>
      <c r="H18" s="2819"/>
      <c r="I18" s="2819"/>
      <c r="J18" s="2819"/>
      <c r="K18" s="2820"/>
    </row>
    <row r="19" spans="1:14" s="2118" customFormat="1" ht="13.5" customHeight="1">
      <c r="A19" s="2852" t="s">
        <v>1855</v>
      </c>
      <c r="B19" s="2853" t="s">
        <v>488</v>
      </c>
      <c r="C19" s="2810">
        <f ca="1">ROUND(D19*E19/10000,0)</f>
        <v>0</v>
      </c>
      <c r="D19" s="2856">
        <f ca="1">D16</f>
        <v>147819.42000000001</v>
      </c>
      <c r="E19" s="2810">
        <f>'数据-取费表'!B32</f>
        <v>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0</v>
      </c>
      <c r="D20" s="2856"/>
      <c r="E20" s="2810"/>
      <c r="F20" s="2857"/>
      <c r="G20" s="3090" t="s">
        <v>3087</v>
      </c>
      <c r="H20" s="2812"/>
      <c r="I20" s="2813" t="s">
        <v>2654</v>
      </c>
      <c r="J20" s="2819"/>
      <c r="K20" s="2820"/>
    </row>
    <row r="21" spans="1:14" s="2118" customFormat="1" ht="13.5" customHeight="1">
      <c r="A21" s="2844" t="s">
        <v>1857</v>
      </c>
      <c r="B21" s="2845" t="s">
        <v>491</v>
      </c>
      <c r="C21" s="53">
        <f ca="1">ROUND(D21*E21/10000,0)</f>
        <v>0</v>
      </c>
      <c r="D21" s="2846">
        <f ca="1">IF(B1="",'数据-汇总表'!E5,IF(INDIRECT("'数据-取费表'!c"&amp;$K$1)="住宅",INDIRECT("'数据-取费表'!k"&amp;$K$1),0))</f>
        <v>0</v>
      </c>
      <c r="E21" s="53">
        <f>'数据-取费表'!B27</f>
        <v>0</v>
      </c>
      <c r="F21" s="2849"/>
      <c r="G21" s="26"/>
      <c r="H21" s="51"/>
      <c r="I21" s="51"/>
      <c r="J21" s="51"/>
      <c r="K21" s="2821"/>
    </row>
    <row r="22" spans="1:14" s="2118" customFormat="1" ht="13.5" customHeight="1">
      <c r="A22" s="2844" t="s">
        <v>1858</v>
      </c>
      <c r="B22" s="2845" t="s">
        <v>492</v>
      </c>
      <c r="C22" s="53">
        <f ca="1">ROUND(D22*E22/10000,0)</f>
        <v>2956</v>
      </c>
      <c r="D22" s="2846">
        <f ca="1">IF(B1="",'数据-汇总表'!E6,IF(INDIRECT("'数据-取费表'!c"&amp;$K$1)="住宅",INDIRECT("'数据-取费表'!s"&amp;$K$1),INDIRECT("'数据-取费表'!k"&amp;$K$1)+INDIRECT("'数据-取费表'!s"&amp;$K$1)))</f>
        <v>147819.42000000001</v>
      </c>
      <c r="E22" s="53">
        <f>'数据-取费表'!B28</f>
        <v>200</v>
      </c>
      <c r="F22" s="2849"/>
      <c r="G22" s="26"/>
      <c r="H22" s="51"/>
      <c r="I22" s="51"/>
      <c r="J22" s="51"/>
      <c r="K22" s="2821"/>
    </row>
    <row r="23" spans="1:14" s="2118" customFormat="1" ht="13.5" customHeight="1">
      <c r="A23" s="2852" t="s">
        <v>1859</v>
      </c>
      <c r="B23" s="3036" t="s">
        <v>2837</v>
      </c>
      <c r="C23" s="2854">
        <f ca="1">ROUND((C18+C19+C20)*F23,0)</f>
        <v>1277</v>
      </c>
      <c r="D23" s="468"/>
      <c r="E23" s="468"/>
      <c r="F23" s="2858">
        <f>'数据-取费表'!B37</f>
        <v>0.02</v>
      </c>
      <c r="G23" s="2814" t="s">
        <v>2434</v>
      </c>
      <c r="H23" s="2815"/>
      <c r="I23" s="2815"/>
      <c r="J23" s="2815"/>
      <c r="K23" s="2816"/>
      <c r="L23" s="2120"/>
      <c r="M23" s="2120"/>
      <c r="N23" s="2120"/>
    </row>
    <row r="24" spans="1:14" s="2118" customFormat="1" ht="13.5" customHeight="1">
      <c r="A24" s="2852" t="s">
        <v>1860</v>
      </c>
      <c r="B24" s="3036" t="s">
        <v>2840</v>
      </c>
      <c r="C24" s="2854">
        <f ca="1">ROUND(C6*F24,0)</f>
        <v>6049</v>
      </c>
      <c r="D24" s="475"/>
      <c r="E24" s="473"/>
      <c r="F24" s="2858">
        <f>'数据-取费表'!B38</f>
        <v>0.02</v>
      </c>
      <c r="G24" s="2823" t="s">
        <v>499</v>
      </c>
      <c r="H24" s="2817"/>
      <c r="I24" s="2817"/>
      <c r="J24" s="2817"/>
      <c r="K24" s="279"/>
      <c r="L24" s="2120"/>
      <c r="M24" s="2120"/>
      <c r="N24" s="2120"/>
    </row>
    <row r="25" spans="1:14" s="2121" customFormat="1" ht="13.5" customHeight="1">
      <c r="A25" s="2852" t="s">
        <v>1861</v>
      </c>
      <c r="B25" s="3036" t="s">
        <v>2838</v>
      </c>
      <c r="C25" s="467">
        <f>ROUND(F25/(1+'数据-取费表'!C42),4)</f>
        <v>2.9000000000000001E-2</v>
      </c>
      <c r="D25" s="462" t="s">
        <v>2832</v>
      </c>
      <c r="E25" s="469"/>
      <c r="F25" s="2858">
        <f>'数据-取费表'!B48+'数据-取费表'!B49</f>
        <v>3.0499999999999999E-2</v>
      </c>
      <c r="G25" s="2822" t="s">
        <v>2292</v>
      </c>
      <c r="H25" s="2815"/>
      <c r="I25" s="2815"/>
      <c r="J25" s="2815"/>
      <c r="K25" s="2816"/>
    </row>
    <row r="26" spans="1:14" s="2120" customFormat="1" ht="13.5" customHeight="1">
      <c r="A26" s="2852" t="s">
        <v>1862</v>
      </c>
      <c r="B26" s="3037" t="s">
        <v>2839</v>
      </c>
      <c r="C26" s="2859">
        <f ca="1">C28</f>
        <v>3381</v>
      </c>
      <c r="D26" s="467">
        <f ca="1">C27</f>
        <v>0.10009999999999999</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0.10009999999999999</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2841</v>
      </c>
      <c r="C28" s="2862">
        <f ca="1">ROUND(IF('数据-取费表'!B22&lt;=1,(C18+C19+C20+C23+C24)*F26*'数据-取费表'!B24/2,(C18+C19+C20+C23+C24)*(POWER((1+F26),'数据-取费表'!B24/2)-1)),0)</f>
        <v>3381</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 ca="1">ROUND(C6*F29/(1+'数据-取费表'!C42),0)</f>
        <v>15843</v>
      </c>
      <c r="D29" s="468"/>
      <c r="E29" s="468"/>
      <c r="F29" s="3038">
        <f>'数据-取费表'!B41</f>
        <v>5.5000000000000007E-2</v>
      </c>
      <c r="G29" s="2823" t="s">
        <v>498</v>
      </c>
      <c r="H29" s="2815"/>
      <c r="I29" s="2815"/>
      <c r="J29" s="2815"/>
      <c r="K29" s="2816"/>
    </row>
    <row r="30" spans="1:14" s="2123" customFormat="1" ht="13.5" customHeight="1">
      <c r="A30" s="1636" t="s">
        <v>1864</v>
      </c>
      <c r="B30" s="2864" t="s">
        <v>500</v>
      </c>
      <c r="C30" s="2859">
        <f ca="1">C31</f>
        <v>90405</v>
      </c>
      <c r="D30" s="477">
        <f ca="1">C32</f>
        <v>0.12909999999999999</v>
      </c>
      <c r="E30" s="469" t="s">
        <v>495</v>
      </c>
      <c r="F30" s="471"/>
      <c r="G30" s="2822" t="s">
        <v>2978</v>
      </c>
      <c r="H30" s="2815"/>
      <c r="I30" s="2815"/>
      <c r="J30" s="2815"/>
      <c r="K30" s="2816"/>
    </row>
    <row r="31" spans="1:14" s="2122" customFormat="1" ht="13.5" customHeight="1">
      <c r="A31" s="803" t="s">
        <v>1857</v>
      </c>
      <c r="B31" s="2860"/>
      <c r="C31" s="450">
        <f ca="1">C18+C19+C20+C23+C24+C26+C29</f>
        <v>90405</v>
      </c>
      <c r="D31" s="472"/>
      <c r="E31" s="473"/>
      <c r="F31" s="474"/>
      <c r="G31" s="261"/>
      <c r="H31" s="2817"/>
      <c r="I31" s="2817"/>
      <c r="J31" s="2817"/>
      <c r="K31" s="279"/>
    </row>
    <row r="32" spans="1:14" s="2122" customFormat="1" ht="13.5" customHeight="1">
      <c r="A32" s="803" t="s">
        <v>1858</v>
      </c>
      <c r="B32" s="2860"/>
      <c r="C32" s="53">
        <f ca="1">ROUND(C25+D26,4)</f>
        <v>0.12909999999999999</v>
      </c>
      <c r="D32" s="472"/>
      <c r="E32" s="473"/>
      <c r="F32" s="474"/>
      <c r="G32" s="261"/>
      <c r="H32" s="2817"/>
      <c r="I32" s="2817"/>
      <c r="J32" s="2817"/>
      <c r="K32" s="279"/>
    </row>
    <row r="33" spans="1:11" s="2124" customFormat="1" ht="13.5" customHeight="1">
      <c r="A33" s="3035" t="s">
        <v>2836</v>
      </c>
      <c r="B33" s="3033" t="s">
        <v>2834</v>
      </c>
      <c r="C33" s="478">
        <f ca="1">C35</f>
        <v>14236</v>
      </c>
      <c r="D33" s="467">
        <f ca="1">C34</f>
        <v>0.20580000000000001</v>
      </c>
      <c r="E33" s="469" t="s">
        <v>495</v>
      </c>
      <c r="F33" s="479">
        <f ca="1">IF(B1="",'数据-取费表'!Q16,INDIRECT("'数据-取费表'!q"&amp;$K$1))</f>
        <v>0.2</v>
      </c>
      <c r="G33" s="2818"/>
      <c r="H33" s="2819"/>
      <c r="I33" s="2819"/>
      <c r="J33" s="2819"/>
      <c r="K33" s="2820"/>
    </row>
    <row r="34" spans="1:11" s="2125" customFormat="1" ht="13.5" customHeight="1">
      <c r="A34" s="375" t="s">
        <v>1857</v>
      </c>
      <c r="B34" s="2865" t="s">
        <v>501</v>
      </c>
      <c r="C34" s="472">
        <f ca="1">ROUND((1+C25)*F33,4)</f>
        <v>0.20580000000000001</v>
      </c>
      <c r="D34" s="472"/>
      <c r="E34" s="473"/>
      <c r="F34" s="480"/>
      <c r="G34" s="261" t="s">
        <v>2293</v>
      </c>
      <c r="H34" s="2817"/>
      <c r="I34" s="2817"/>
      <c r="J34" s="2817"/>
      <c r="K34" s="279"/>
    </row>
    <row r="35" spans="1:11" s="2125" customFormat="1" ht="13.5" customHeight="1" thickBot="1">
      <c r="A35" s="1637" t="s">
        <v>1858</v>
      </c>
      <c r="B35" s="3034" t="s">
        <v>2842</v>
      </c>
      <c r="C35" s="1629">
        <f ca="1">ROUND((C18+C19+C20+C23+C24)*F33,0)</f>
        <v>14236</v>
      </c>
      <c r="D35" s="1630"/>
      <c r="E35" s="2866"/>
      <c r="F35" s="1631"/>
      <c r="G35" s="2824"/>
      <c r="H35" s="2825"/>
      <c r="I35" s="2825"/>
      <c r="J35" s="2825"/>
      <c r="K35" s="2826"/>
    </row>
    <row r="36" spans="1:11" s="2087" customFormat="1" ht="13.5" customHeight="1" thickBot="1">
      <c r="A36" s="284" t="s">
        <v>1845</v>
      </c>
      <c r="B36" s="2828"/>
      <c r="C36" s="2867">
        <f ca="1">ROUND((C6-C30-C33)/(1+D30+D33),0)</f>
        <v>148189</v>
      </c>
      <c r="D36" s="2828"/>
      <c r="E36" s="2828"/>
      <c r="F36" s="2828"/>
      <c r="G36" s="2827" t="s">
        <v>2843</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9</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58277</v>
      </c>
      <c r="D13" s="451"/>
      <c r="E13" s="365"/>
      <c r="F13" s="452"/>
      <c r="G13" s="444"/>
      <c r="H13" s="447"/>
      <c r="I13" s="447"/>
      <c r="J13" s="447"/>
      <c r="K13" s="448"/>
    </row>
    <row r="14" spans="1:41" s="2118" customFormat="1" ht="13.5" customHeight="1">
      <c r="A14" s="1634" t="s">
        <v>1850</v>
      </c>
      <c r="B14" s="449" t="s">
        <v>480</v>
      </c>
      <c r="C14" s="53">
        <f ca="1">ROUND(C13*F14,0)</f>
        <v>1748</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2956</v>
      </c>
      <c r="D16" s="451">
        <f ca="1">IF(B1="",'数据-汇总表'!E3,INDIRECT("'数据-取费表'!K"&amp;$K$1)+INDIRECT("'数据-取费表'!S"&amp;$K$1))</f>
        <v>147819.42000000001</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874</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63855</v>
      </c>
      <c r="D18" s="461"/>
      <c r="E18" s="462"/>
      <c r="F18" s="462"/>
      <c r="G18" s="1327" t="s">
        <v>2435</v>
      </c>
      <c r="H18" s="447"/>
      <c r="I18" s="447"/>
      <c r="J18" s="447"/>
      <c r="K18" s="448"/>
    </row>
    <row r="19" spans="1:14" s="2121" customFormat="1" ht="13.5" customHeight="1">
      <c r="A19" s="1635" t="s">
        <v>1855</v>
      </c>
      <c r="B19" s="459" t="s">
        <v>493</v>
      </c>
      <c r="C19" s="460">
        <f ca="1">ROUND(C18*F19,0)</f>
        <v>1277</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1">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3094</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3094</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3" t="s">
        <v>2835</v>
      </c>
      <c r="C24" s="478">
        <f ca="1">C25</f>
        <v>13026</v>
      </c>
      <c r="D24" s="489">
        <f ca="1">C26</f>
        <v>4.0000000000000001E-3</v>
      </c>
      <c r="E24" s="469" t="s">
        <v>507</v>
      </c>
      <c r="F24" s="479">
        <f ca="1">IF(B1="",'数据-取费表'!Q16,INDIRECT("'数据-取费表'!q"&amp;$K$1))</f>
        <v>0.2</v>
      </c>
      <c r="G24" s="444"/>
      <c r="H24" s="447"/>
      <c r="I24" s="447"/>
      <c r="J24" s="447"/>
      <c r="K24" s="448"/>
    </row>
    <row r="25" spans="1:14" s="2122" customFormat="1" ht="13.5" customHeight="1">
      <c r="A25" s="1634" t="s">
        <v>1849</v>
      </c>
      <c r="B25" s="1328" t="s">
        <v>2439</v>
      </c>
      <c r="C25" s="490">
        <f ca="1">ROUND((C18+C19)*F24,0)</f>
        <v>13026</v>
      </c>
      <c r="D25" s="472"/>
      <c r="E25" s="473"/>
      <c r="F25" s="480"/>
      <c r="G25" s="1326" t="s">
        <v>2436</v>
      </c>
      <c r="H25" s="457"/>
      <c r="I25" s="457"/>
      <c r="J25" s="457"/>
      <c r="K25" s="458"/>
    </row>
    <row r="26" spans="1:14" s="2122" customFormat="1" ht="13.5" customHeight="1">
      <c r="A26" s="1634" t="s">
        <v>1850</v>
      </c>
      <c r="B26" s="1328" t="s">
        <v>509</v>
      </c>
      <c r="C26" s="491">
        <f ca="1">ROUND(F20*F24,4)</f>
        <v>4.0000000000000001E-3</v>
      </c>
      <c r="D26" s="472"/>
      <c r="E26" s="481"/>
      <c r="F26" s="480"/>
      <c r="G26" s="1326" t="s">
        <v>510</v>
      </c>
      <c r="H26" s="457"/>
      <c r="I26" s="457"/>
      <c r="J26" s="457"/>
      <c r="K26" s="458"/>
    </row>
    <row r="27" spans="1:14" s="2122" customFormat="1" ht="13.5" customHeight="1">
      <c r="A27" s="1638" t="s">
        <v>1868</v>
      </c>
      <c r="B27" s="459" t="s">
        <v>511</v>
      </c>
      <c r="C27" s="3032">
        <f>ROUND(F27/(1+'数据-取费表'!C42),4)</f>
        <v>5.2400000000000002E-2</v>
      </c>
      <c r="D27" s="462" t="s">
        <v>2833</v>
      </c>
      <c r="E27" s="462"/>
      <c r="F27" s="466">
        <f>'数据-取费表'!B41</f>
        <v>5.5000000000000007E-2</v>
      </c>
      <c r="G27" s="1962" t="s">
        <v>2294</v>
      </c>
      <c r="H27" s="447"/>
      <c r="I27" s="447"/>
      <c r="J27" s="447"/>
      <c r="K27" s="448"/>
    </row>
    <row r="28" spans="1:14" s="2123" customFormat="1" ht="13.5" customHeight="1">
      <c r="A28" s="1638" t="s">
        <v>1869</v>
      </c>
      <c r="B28" s="476" t="s">
        <v>512</v>
      </c>
      <c r="C28" s="470">
        <f ca="1">ROUND((C18+C19+C21+C24)/(1-C20-D21-D24-C27),0)</f>
        <v>88069</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5"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88" t="s">
        <v>522</v>
      </c>
      <c r="D6" s="3389"/>
      <c r="E6" s="3412" t="s">
        <v>523</v>
      </c>
      <c r="F6" s="3413"/>
      <c r="G6" s="3388" t="s">
        <v>524</v>
      </c>
      <c r="H6" s="3389"/>
      <c r="I6" s="3388" t="s">
        <v>525</v>
      </c>
      <c r="J6" s="3389"/>
      <c r="K6" s="514" t="s">
        <v>526</v>
      </c>
      <c r="L6" s="2135"/>
      <c r="M6" s="2136"/>
      <c r="N6" s="2136"/>
      <c r="O6" s="2136"/>
      <c r="P6" s="3390" t="s">
        <v>527</v>
      </c>
      <c r="Q6" s="3391"/>
      <c r="R6" s="3376" t="s">
        <v>523</v>
      </c>
      <c r="S6" s="3377"/>
      <c r="T6" s="3376" t="s">
        <v>524</v>
      </c>
      <c r="U6" s="3377"/>
      <c r="V6" s="3396" t="s">
        <v>525</v>
      </c>
      <c r="W6" s="3396"/>
      <c r="X6" s="1568"/>
      <c r="Y6" s="3376" t="s">
        <v>527</v>
      </c>
      <c r="Z6" s="3377"/>
      <c r="AA6" s="3371" t="s">
        <v>523</v>
      </c>
      <c r="AB6" s="3372" t="s">
        <v>524</v>
      </c>
      <c r="AC6" s="3371" t="s">
        <v>525</v>
      </c>
    </row>
    <row r="7" spans="1:29" ht="15">
      <c r="A7" s="515"/>
      <c r="B7" s="516"/>
      <c r="C7" s="3399" t="s">
        <v>2933</v>
      </c>
      <c r="D7" s="3400"/>
      <c r="E7" s="3414" t="s">
        <v>2934</v>
      </c>
      <c r="F7" s="3415"/>
      <c r="G7" s="3399" t="s">
        <v>2935</v>
      </c>
      <c r="H7" s="3400"/>
      <c r="I7" s="3399" t="s">
        <v>2936</v>
      </c>
      <c r="J7" s="3400"/>
      <c r="K7" s="514"/>
      <c r="L7" s="2135"/>
      <c r="M7" s="2136"/>
      <c r="N7" s="2136"/>
      <c r="O7" s="2136"/>
      <c r="P7" s="3392"/>
      <c r="Q7" s="3393"/>
      <c r="R7" s="3378"/>
      <c r="S7" s="3379"/>
      <c r="T7" s="3378"/>
      <c r="U7" s="3379"/>
      <c r="V7" s="3396"/>
      <c r="W7" s="3396"/>
      <c r="X7" s="1568"/>
      <c r="Y7" s="3378"/>
      <c r="Z7" s="3379"/>
      <c r="AA7" s="3372"/>
      <c r="AB7" s="3372"/>
      <c r="AC7" s="3372"/>
    </row>
    <row r="8" spans="1:29" ht="15.75" thickBot="1">
      <c r="A8" s="517"/>
      <c r="B8" s="518"/>
      <c r="C8" s="3397" t="s">
        <v>2937</v>
      </c>
      <c r="D8" s="3398"/>
      <c r="E8" s="3416" t="s">
        <v>2937</v>
      </c>
      <c r="F8" s="3417"/>
      <c r="G8" s="3397" t="s">
        <v>2937</v>
      </c>
      <c r="H8" s="3398"/>
      <c r="I8" s="3397" t="s">
        <v>2937</v>
      </c>
      <c r="J8" s="3398"/>
      <c r="K8" s="514" t="s">
        <v>528</v>
      </c>
      <c r="L8" s="2135"/>
      <c r="M8" s="2136"/>
      <c r="N8" s="2136"/>
      <c r="O8" s="2136"/>
      <c r="P8" s="3394"/>
      <c r="Q8" s="3395"/>
      <c r="R8" s="3378"/>
      <c r="S8" s="3379"/>
      <c r="T8" s="3380"/>
      <c r="U8" s="3381"/>
      <c r="V8" s="3396"/>
      <c r="W8" s="3396"/>
      <c r="X8" s="1568"/>
      <c r="Y8" s="3380"/>
      <c r="Z8" s="3381"/>
      <c r="AA8" s="3373"/>
      <c r="AB8" s="3373"/>
      <c r="AC8" s="3373"/>
    </row>
    <row r="9" spans="1:29" s="1220" customFormat="1" ht="15.75" thickBot="1">
      <c r="A9" s="2913"/>
      <c r="B9" s="2920" t="s">
        <v>529</v>
      </c>
      <c r="C9" s="519">
        <f>'数据-取费表'!B2</f>
        <v>43390</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74" t="s">
        <v>530</v>
      </c>
      <c r="Q9" s="3383"/>
      <c r="R9" s="1569" t="s">
        <v>8</v>
      </c>
      <c r="S9" s="1570">
        <f t="shared" ref="S9:S17" si="0">F9</f>
        <v>0</v>
      </c>
      <c r="T9" s="1569" t="s">
        <v>8</v>
      </c>
      <c r="U9" s="1570">
        <f t="shared" ref="U9:U17" si="1">H9</f>
        <v>0</v>
      </c>
      <c r="V9" s="1569" t="s">
        <v>8</v>
      </c>
      <c r="W9" s="1570">
        <f t="shared" ref="W9:W17" si="2">J9</f>
        <v>0</v>
      </c>
      <c r="X9" s="1571"/>
      <c r="Y9" s="3374" t="s">
        <v>530</v>
      </c>
      <c r="Z9" s="3375"/>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74" t="s">
        <v>533</v>
      </c>
      <c r="Q10" s="3375"/>
      <c r="R10" s="1569" t="s">
        <v>8</v>
      </c>
      <c r="S10" s="1570">
        <f t="shared" si="0"/>
        <v>0</v>
      </c>
      <c r="T10" s="1569" t="s">
        <v>8</v>
      </c>
      <c r="U10" s="1570">
        <f t="shared" si="1"/>
        <v>0</v>
      </c>
      <c r="V10" s="1569" t="s">
        <v>8</v>
      </c>
      <c r="W10" s="1570">
        <f t="shared" si="2"/>
        <v>0</v>
      </c>
      <c r="X10" s="1571"/>
      <c r="Y10" s="3374" t="s">
        <v>533</v>
      </c>
      <c r="Z10" s="3375"/>
      <c r="AA10" s="1572" t="e">
        <f t="shared" ref="AA10:AA42" si="3">D10/F10</f>
        <v>#DIV/0!</v>
      </c>
      <c r="AB10" s="1572" t="e">
        <f t="shared" ref="AB10:AB42" si="4">D10/H10</f>
        <v>#DIV/0!</v>
      </c>
      <c r="AC10" s="1572"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82" t="s">
        <v>535</v>
      </c>
      <c r="Q11" s="1151" t="str">
        <f t="shared" ref="Q11:Q17" si="6">B11</f>
        <v>用途</v>
      </c>
      <c r="R11" s="1569" t="s">
        <v>8</v>
      </c>
      <c r="S11" s="1570">
        <f t="shared" si="0"/>
        <v>100</v>
      </c>
      <c r="T11" s="1569" t="s">
        <v>8</v>
      </c>
      <c r="U11" s="1570">
        <f t="shared" si="1"/>
        <v>100</v>
      </c>
      <c r="V11" s="1569" t="s">
        <v>8</v>
      </c>
      <c r="W11" s="1570">
        <f t="shared" si="2"/>
        <v>100</v>
      </c>
      <c r="X11" s="1571"/>
      <c r="Y11" s="3339" t="s">
        <v>536</v>
      </c>
      <c r="Z11" s="1150" t="str">
        <f t="shared" ref="Z11:Z17" si="7">Q11</f>
        <v>用途</v>
      </c>
      <c r="AA11" s="1572">
        <f t="shared" si="3"/>
        <v>1</v>
      </c>
      <c r="AB11" s="1572">
        <f t="shared" si="4"/>
        <v>1</v>
      </c>
      <c r="AC11" s="1572">
        <f t="shared" si="5"/>
        <v>1</v>
      </c>
    </row>
    <row r="12" spans="1:29" s="1338" customFormat="1" ht="27">
      <c r="A12" s="2916"/>
      <c r="B12" s="2921" t="s">
        <v>2760</v>
      </c>
      <c r="C12" s="528"/>
      <c r="D12" s="255">
        <v>100</v>
      </c>
      <c r="E12" s="528"/>
      <c r="F12" s="255">
        <f>ROUND(100/'数据-取费表'!G16,0)</f>
        <v>104</v>
      </c>
      <c r="G12" s="528"/>
      <c r="H12" s="255">
        <f>ROUND(100/'数据-取费表'!G16,0)</f>
        <v>104</v>
      </c>
      <c r="I12" s="528"/>
      <c r="J12" s="255">
        <f>ROUND(100/'数据-取费表'!G16,0)</f>
        <v>104</v>
      </c>
      <c r="K12" s="531"/>
      <c r="L12" s="2140"/>
      <c r="M12" s="2180"/>
      <c r="N12" s="2180"/>
      <c r="O12" s="2141"/>
      <c r="P12" s="3382"/>
      <c r="Q12" s="1151" t="str">
        <f t="shared" si="6"/>
        <v>土地使用年限（年）</v>
      </c>
      <c r="R12" s="1569" t="s">
        <v>8</v>
      </c>
      <c r="S12" s="1570">
        <f t="shared" si="0"/>
        <v>104</v>
      </c>
      <c r="T12" s="1569" t="s">
        <v>8</v>
      </c>
      <c r="U12" s="1570">
        <f t="shared" si="1"/>
        <v>104</v>
      </c>
      <c r="V12" s="1569" t="s">
        <v>8</v>
      </c>
      <c r="W12" s="1570">
        <f t="shared" si="2"/>
        <v>104</v>
      </c>
      <c r="X12" s="1571"/>
      <c r="Y12" s="3339"/>
      <c r="Z12" s="1150" t="str">
        <f t="shared" si="7"/>
        <v>土地使用年限（年）</v>
      </c>
      <c r="AA12" s="1572">
        <f t="shared" si="3"/>
        <v>0.96153846153846156</v>
      </c>
      <c r="AB12" s="1572">
        <f t="shared" si="4"/>
        <v>0.96153846153846156</v>
      </c>
      <c r="AC12" s="1572">
        <f t="shared" si="5"/>
        <v>0.96153846153846156</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82"/>
      <c r="Q13" s="1151" t="str">
        <f t="shared" si="6"/>
        <v>容积率</v>
      </c>
      <c r="R13" s="1569" t="s">
        <v>8</v>
      </c>
      <c r="S13" s="1570" t="e">
        <f t="shared" si="0"/>
        <v>#N/A</v>
      </c>
      <c r="T13" s="1569" t="s">
        <v>8</v>
      </c>
      <c r="U13" s="1570" t="e">
        <f t="shared" si="1"/>
        <v>#N/A</v>
      </c>
      <c r="V13" s="1569" t="s">
        <v>8</v>
      </c>
      <c r="W13" s="1570" t="e">
        <f t="shared" si="2"/>
        <v>#N/A</v>
      </c>
      <c r="X13" s="1571"/>
      <c r="Y13" s="3339"/>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82"/>
      <c r="Q14" s="1151">
        <f t="shared" si="6"/>
        <v>111</v>
      </c>
      <c r="R14" s="1569" t="s">
        <v>8</v>
      </c>
      <c r="S14" s="1570">
        <f t="shared" si="0"/>
        <v>100</v>
      </c>
      <c r="T14" s="1569" t="s">
        <v>8</v>
      </c>
      <c r="U14" s="1570">
        <f t="shared" si="1"/>
        <v>100</v>
      </c>
      <c r="V14" s="1569" t="s">
        <v>8</v>
      </c>
      <c r="W14" s="1570">
        <f t="shared" si="2"/>
        <v>100</v>
      </c>
      <c r="X14" s="1571"/>
      <c r="Y14" s="3339"/>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82"/>
      <c r="Q15" s="1151">
        <f t="shared" si="6"/>
        <v>111</v>
      </c>
      <c r="R15" s="1569" t="s">
        <v>8</v>
      </c>
      <c r="S15" s="1570">
        <f t="shared" si="0"/>
        <v>100</v>
      </c>
      <c r="T15" s="1569" t="s">
        <v>8</v>
      </c>
      <c r="U15" s="1570">
        <f t="shared" si="1"/>
        <v>100</v>
      </c>
      <c r="V15" s="1569" t="s">
        <v>8</v>
      </c>
      <c r="W15" s="1570">
        <f t="shared" si="2"/>
        <v>100</v>
      </c>
      <c r="X15" s="1571"/>
      <c r="Y15" s="3339"/>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82"/>
      <c r="Q16" s="1151">
        <f t="shared" si="6"/>
        <v>111</v>
      </c>
      <c r="R16" s="1569" t="s">
        <v>8</v>
      </c>
      <c r="S16" s="1570">
        <f t="shared" si="0"/>
        <v>100</v>
      </c>
      <c r="T16" s="1569" t="s">
        <v>8</v>
      </c>
      <c r="U16" s="1570">
        <f t="shared" si="1"/>
        <v>100</v>
      </c>
      <c r="V16" s="1569" t="s">
        <v>8</v>
      </c>
      <c r="W16" s="1570">
        <f t="shared" si="2"/>
        <v>100</v>
      </c>
      <c r="X16" s="1571"/>
      <c r="Y16" s="3339"/>
      <c r="Z16" s="1150">
        <f t="shared" si="7"/>
        <v>111</v>
      </c>
      <c r="AA16" s="1572">
        <f t="shared" si="3"/>
        <v>1</v>
      </c>
      <c r="AB16" s="1572">
        <f t="shared" si="4"/>
        <v>1</v>
      </c>
      <c r="AC16" s="1572">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84" t="s">
        <v>540</v>
      </c>
      <c r="Q17" s="1573" t="str">
        <f t="shared" si="6"/>
        <v>产业集聚程度</v>
      </c>
      <c r="R17" s="1574" t="s">
        <v>8</v>
      </c>
      <c r="S17" s="1575">
        <f t="shared" si="0"/>
        <v>100</v>
      </c>
      <c r="T17" s="1574" t="s">
        <v>8</v>
      </c>
      <c r="U17" s="1575">
        <f t="shared" si="1"/>
        <v>100</v>
      </c>
      <c r="V17" s="1574" t="s">
        <v>8</v>
      </c>
      <c r="W17" s="1575">
        <f t="shared" si="2"/>
        <v>100</v>
      </c>
      <c r="X17" s="1568"/>
      <c r="Y17" s="338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85"/>
      <c r="Q18" s="1573"/>
      <c r="R18" s="1574"/>
      <c r="S18" s="1575"/>
      <c r="T18" s="1574"/>
      <c r="U18" s="1575"/>
      <c r="V18" s="1574"/>
      <c r="W18" s="1575"/>
      <c r="X18" s="1568"/>
      <c r="Y18" s="338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85"/>
      <c r="Q19" s="1573" t="str">
        <f>B19</f>
        <v>交通便捷度</v>
      </c>
      <c r="R19" s="1574" t="s">
        <v>8</v>
      </c>
      <c r="S19" s="1575">
        <f>F19</f>
        <v>100</v>
      </c>
      <c r="T19" s="1574" t="s">
        <v>8</v>
      </c>
      <c r="U19" s="1575">
        <f>H19</f>
        <v>100</v>
      </c>
      <c r="V19" s="1574" t="s">
        <v>8</v>
      </c>
      <c r="W19" s="1575">
        <f>J19</f>
        <v>100</v>
      </c>
      <c r="X19" s="1568"/>
      <c r="Y19" s="338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85"/>
      <c r="Q20" s="1573"/>
      <c r="R20" s="1574"/>
      <c r="S20" s="1575"/>
      <c r="T20" s="1574"/>
      <c r="U20" s="1575"/>
      <c r="V20" s="1574"/>
      <c r="W20" s="1575"/>
      <c r="X20" s="1568"/>
      <c r="Y20" s="338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85"/>
      <c r="Q21" s="1573" t="str">
        <f t="shared" ref="Q21:Q35" si="8">B21</f>
        <v>区域土地利用方向</v>
      </c>
      <c r="R21" s="1574" t="s">
        <v>8</v>
      </c>
      <c r="S21" s="1575">
        <f>F21</f>
        <v>100</v>
      </c>
      <c r="T21" s="1574" t="s">
        <v>8</v>
      </c>
      <c r="U21" s="1575">
        <f>H21</f>
        <v>100</v>
      </c>
      <c r="V21" s="1574" t="s">
        <v>8</v>
      </c>
      <c r="W21" s="1575">
        <f>J21</f>
        <v>100</v>
      </c>
      <c r="X21" s="1568"/>
      <c r="Y21" s="338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85"/>
      <c r="Q22" s="1573"/>
      <c r="R22" s="1574"/>
      <c r="S22" s="1575"/>
      <c r="T22" s="1574"/>
      <c r="U22" s="1575"/>
      <c r="V22" s="1574"/>
      <c r="W22" s="1575"/>
      <c r="X22" s="1568"/>
      <c r="Y22" s="338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85"/>
      <c r="Q23" s="1573" t="str">
        <f t="shared" si="8"/>
        <v>环境状况</v>
      </c>
      <c r="R23" s="1574" t="s">
        <v>8</v>
      </c>
      <c r="S23" s="1575">
        <f>F23</f>
        <v>100</v>
      </c>
      <c r="T23" s="1574" t="s">
        <v>8</v>
      </c>
      <c r="U23" s="1575">
        <f>H23</f>
        <v>100</v>
      </c>
      <c r="V23" s="1574" t="s">
        <v>8</v>
      </c>
      <c r="W23" s="1575">
        <f>J23</f>
        <v>100</v>
      </c>
      <c r="X23" s="1568"/>
      <c r="Y23" s="338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85"/>
      <c r="Q24" s="1573"/>
      <c r="R24" s="1574"/>
      <c r="S24" s="1575"/>
      <c r="T24" s="1574"/>
      <c r="U24" s="1575"/>
      <c r="V24" s="1574"/>
      <c r="W24" s="1575"/>
      <c r="X24" s="1568"/>
      <c r="Y24" s="3385"/>
      <c r="Z24" s="1576"/>
      <c r="AA24" s="1577">
        <v>1</v>
      </c>
      <c r="AB24" s="1577">
        <v>1</v>
      </c>
      <c r="AC24" s="1577">
        <v>1</v>
      </c>
    </row>
    <row r="25" spans="1:29" s="1220" customFormat="1" ht="42.75">
      <c r="A25" s="577"/>
      <c r="B25" s="2595"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85"/>
      <c r="Q25" s="1151" t="str">
        <f t="shared" si="8"/>
        <v>公共配套设施</v>
      </c>
      <c r="R25" s="1569" t="s">
        <v>8</v>
      </c>
      <c r="S25" s="1570">
        <f>F25</f>
        <v>100</v>
      </c>
      <c r="T25" s="1569" t="s">
        <v>8</v>
      </c>
      <c r="U25" s="1570">
        <f>H25</f>
        <v>100</v>
      </c>
      <c r="V25" s="1569" t="s">
        <v>8</v>
      </c>
      <c r="W25" s="1570">
        <f>J25</f>
        <v>100</v>
      </c>
      <c r="X25" s="1571"/>
      <c r="Y25" s="3385"/>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385"/>
      <c r="Q26" s="1151"/>
      <c r="R26" s="1569"/>
      <c r="S26" s="1570"/>
      <c r="T26" s="1569"/>
      <c r="U26" s="1570"/>
      <c r="V26" s="1569"/>
      <c r="W26" s="1570"/>
      <c r="X26" s="1571"/>
      <c r="Y26" s="3385"/>
      <c r="Z26" s="1150"/>
      <c r="AA26" s="1572">
        <v>1</v>
      </c>
      <c r="AB26" s="1572">
        <v>1</v>
      </c>
      <c r="AC26" s="1572">
        <v>1</v>
      </c>
    </row>
    <row r="27" spans="1:29" s="1220" customFormat="1" ht="28.5">
      <c r="A27" s="577"/>
      <c r="B27" s="2595"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85"/>
      <c r="Q27" s="2580" t="str">
        <f t="shared" ref="Q27" si="9">B27</f>
        <v>基础设施水平</v>
      </c>
      <c r="R27" s="1569" t="s">
        <v>8</v>
      </c>
      <c r="S27" s="1570">
        <f>F27</f>
        <v>100</v>
      </c>
      <c r="T27" s="1569" t="s">
        <v>8</v>
      </c>
      <c r="U27" s="1570">
        <f>H27</f>
        <v>100</v>
      </c>
      <c r="V27" s="1569" t="s">
        <v>8</v>
      </c>
      <c r="W27" s="1570">
        <f>J27</f>
        <v>100</v>
      </c>
      <c r="X27" s="1571"/>
      <c r="Y27" s="3385"/>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385"/>
      <c r="Q28" s="2580"/>
      <c r="R28" s="1569"/>
      <c r="S28" s="1570"/>
      <c r="T28" s="1569"/>
      <c r="U28" s="1570"/>
      <c r="V28" s="1569"/>
      <c r="W28" s="1570"/>
      <c r="X28" s="1571"/>
      <c r="Y28" s="3385"/>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8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5"/>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85"/>
      <c r="Q30" s="1573" t="str">
        <f t="shared" si="8"/>
        <v>毗邻道路的类型与等级</v>
      </c>
      <c r="R30" s="1574" t="s">
        <v>8</v>
      </c>
      <c r="S30" s="1575">
        <f t="shared" si="10"/>
        <v>100</v>
      </c>
      <c r="T30" s="1574" t="s">
        <v>8</v>
      </c>
      <c r="U30" s="1575">
        <f t="shared" si="11"/>
        <v>100</v>
      </c>
      <c r="V30" s="1574" t="s">
        <v>8</v>
      </c>
      <c r="W30" s="1575">
        <f t="shared" si="12"/>
        <v>100</v>
      </c>
      <c r="X30" s="1568"/>
      <c r="Y30" s="338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85"/>
      <c r="Q31" s="1573"/>
      <c r="R31" s="1574"/>
      <c r="S31" s="1575"/>
      <c r="T31" s="1574"/>
      <c r="U31" s="1575"/>
      <c r="V31" s="1574"/>
      <c r="W31" s="1575"/>
      <c r="X31" s="1568"/>
      <c r="Y31" s="3385"/>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85"/>
      <c r="Q32" s="1573" t="str">
        <f t="shared" si="8"/>
        <v>土地级别</v>
      </c>
      <c r="R32" s="1574" t="s">
        <v>8</v>
      </c>
      <c r="S32" s="1575">
        <f t="shared" si="10"/>
        <v>100</v>
      </c>
      <c r="T32" s="1574" t="s">
        <v>8</v>
      </c>
      <c r="U32" s="1575">
        <f t="shared" si="11"/>
        <v>100</v>
      </c>
      <c r="V32" s="1574" t="s">
        <v>8</v>
      </c>
      <c r="W32" s="1575">
        <f t="shared" si="12"/>
        <v>100</v>
      </c>
      <c r="X32" s="1568"/>
      <c r="Y32" s="338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85"/>
      <c r="Q33" s="1573">
        <f t="shared" si="8"/>
        <v>111</v>
      </c>
      <c r="R33" s="1574" t="s">
        <v>8</v>
      </c>
      <c r="S33" s="1575">
        <f t="shared" si="10"/>
        <v>100</v>
      </c>
      <c r="T33" s="1574" t="s">
        <v>8</v>
      </c>
      <c r="U33" s="1575">
        <f t="shared" si="11"/>
        <v>100</v>
      </c>
      <c r="V33" s="1574" t="s">
        <v>8</v>
      </c>
      <c r="W33" s="1575">
        <f t="shared" si="12"/>
        <v>100</v>
      </c>
      <c r="X33" s="1568"/>
      <c r="Y33" s="338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86" t="s">
        <v>550</v>
      </c>
      <c r="Q34" s="1573">
        <f t="shared" si="8"/>
        <v>111</v>
      </c>
      <c r="R34" s="1574" t="s">
        <v>8</v>
      </c>
      <c r="S34" s="1575">
        <f t="shared" si="10"/>
        <v>100</v>
      </c>
      <c r="T34" s="1574" t="s">
        <v>8</v>
      </c>
      <c r="U34" s="1575">
        <f t="shared" si="11"/>
        <v>100</v>
      </c>
      <c r="V34" s="1574" t="s">
        <v>8</v>
      </c>
      <c r="W34" s="1575">
        <f t="shared" si="12"/>
        <v>100</v>
      </c>
      <c r="X34" s="1568"/>
      <c r="Y34" s="3387"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87"/>
      <c r="Q35" s="1573">
        <f t="shared" si="8"/>
        <v>111</v>
      </c>
      <c r="R35" s="1578" t="s">
        <v>8</v>
      </c>
      <c r="S35" s="1579">
        <f t="shared" si="10"/>
        <v>100</v>
      </c>
      <c r="T35" s="1578" t="s">
        <v>8</v>
      </c>
      <c r="U35" s="1579">
        <f t="shared" si="11"/>
        <v>100</v>
      </c>
      <c r="V35" s="1578" t="s">
        <v>8</v>
      </c>
      <c r="W35" s="1579">
        <f t="shared" si="12"/>
        <v>100</v>
      </c>
      <c r="X35" s="1580"/>
      <c r="Y35" s="3387"/>
      <c r="Z35" s="1581">
        <f t="shared" si="13"/>
        <v>111</v>
      </c>
      <c r="AA35" s="1577">
        <f t="shared" si="3"/>
        <v>1</v>
      </c>
      <c r="AB35" s="1577">
        <f t="shared" si="4"/>
        <v>1</v>
      </c>
      <c r="AC35" s="1577">
        <f t="shared" si="5"/>
        <v>1</v>
      </c>
    </row>
    <row r="36" spans="1:29" ht="15">
      <c r="A36" s="2909"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87"/>
      <c r="Q36" s="1573" t="str">
        <f>B36</f>
        <v>宗地面积</v>
      </c>
      <c r="R36" s="1574" t="s">
        <v>8</v>
      </c>
      <c r="S36" s="1575" t="e">
        <f t="shared" si="10"/>
        <v>#N/A</v>
      </c>
      <c r="T36" s="1574" t="s">
        <v>8</v>
      </c>
      <c r="U36" s="1575" t="e">
        <f t="shared" si="11"/>
        <v>#N/A</v>
      </c>
      <c r="V36" s="1574" t="s">
        <v>8</v>
      </c>
      <c r="W36" s="1575" t="e">
        <f t="shared" si="12"/>
        <v>#N/A</v>
      </c>
      <c r="X36" s="1568"/>
      <c r="Y36" s="338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87"/>
      <c r="Q37" s="1573" t="str">
        <f t="shared" ref="Q37:Q42" si="14">B37</f>
        <v>宗地形状</v>
      </c>
      <c r="R37" s="1574" t="s">
        <v>8</v>
      </c>
      <c r="S37" s="1575">
        <f t="shared" si="10"/>
        <v>100</v>
      </c>
      <c r="T37" s="1574" t="s">
        <v>8</v>
      </c>
      <c r="U37" s="1575">
        <f t="shared" si="11"/>
        <v>100</v>
      </c>
      <c r="V37" s="1574" t="s">
        <v>8</v>
      </c>
      <c r="W37" s="1575">
        <f t="shared" si="12"/>
        <v>100</v>
      </c>
      <c r="X37" s="1568"/>
      <c r="Y37" s="3387"/>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87"/>
      <c r="Q38" s="1573" t="str">
        <f t="shared" si="14"/>
        <v>宗地开发程度</v>
      </c>
      <c r="R38" s="1569" t="s">
        <v>8</v>
      </c>
      <c r="S38" s="1570">
        <f t="shared" si="10"/>
        <v>100</v>
      </c>
      <c r="T38" s="1569" t="s">
        <v>8</v>
      </c>
      <c r="U38" s="1570">
        <f t="shared" si="11"/>
        <v>100</v>
      </c>
      <c r="V38" s="1569" t="s">
        <v>8</v>
      </c>
      <c r="W38" s="1570">
        <f t="shared" si="12"/>
        <v>100</v>
      </c>
      <c r="X38" s="1571"/>
      <c r="Y38" s="338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7" t="s">
        <v>601</v>
      </c>
      <c r="Q39" s="1573" t="str">
        <f t="shared" si="14"/>
        <v>工程地质条件</v>
      </c>
      <c r="R39" s="1574" t="s">
        <v>8</v>
      </c>
      <c r="S39" s="1575">
        <f t="shared" si="10"/>
        <v>100</v>
      </c>
      <c r="T39" s="1574" t="s">
        <v>8</v>
      </c>
      <c r="U39" s="1575">
        <f t="shared" si="11"/>
        <v>100</v>
      </c>
      <c r="V39" s="1574" t="s">
        <v>8</v>
      </c>
      <c r="W39" s="1575">
        <f t="shared" si="12"/>
        <v>100</v>
      </c>
      <c r="X39" s="1568"/>
      <c r="Y39" s="338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87"/>
      <c r="Q40" s="1573">
        <f t="shared" si="14"/>
        <v>111</v>
      </c>
      <c r="R40" s="1574" t="s">
        <v>8</v>
      </c>
      <c r="S40" s="1575">
        <f t="shared" si="10"/>
        <v>100</v>
      </c>
      <c r="T40" s="1574" t="s">
        <v>8</v>
      </c>
      <c r="U40" s="1575">
        <f t="shared" si="11"/>
        <v>100</v>
      </c>
      <c r="V40" s="1574" t="s">
        <v>8</v>
      </c>
      <c r="W40" s="1575">
        <f t="shared" si="12"/>
        <v>100</v>
      </c>
      <c r="X40" s="1568"/>
      <c r="Y40" s="338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87"/>
      <c r="Q41" s="1573">
        <f t="shared" si="14"/>
        <v>111</v>
      </c>
      <c r="R41" s="1574" t="s">
        <v>8</v>
      </c>
      <c r="S41" s="1575">
        <f t="shared" si="10"/>
        <v>100</v>
      </c>
      <c r="T41" s="1574" t="s">
        <v>8</v>
      </c>
      <c r="U41" s="1575">
        <f t="shared" si="11"/>
        <v>100</v>
      </c>
      <c r="V41" s="1574" t="s">
        <v>8</v>
      </c>
      <c r="W41" s="1575">
        <f t="shared" si="12"/>
        <v>100</v>
      </c>
      <c r="X41" s="1568"/>
      <c r="Y41" s="338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87"/>
      <c r="Q42" s="1573">
        <f t="shared" si="14"/>
        <v>111</v>
      </c>
      <c r="R42" s="1578" t="s">
        <v>8</v>
      </c>
      <c r="S42" s="1579">
        <f t="shared" si="10"/>
        <v>100</v>
      </c>
      <c r="T42" s="1578" t="s">
        <v>8</v>
      </c>
      <c r="U42" s="1579">
        <f t="shared" si="11"/>
        <v>100</v>
      </c>
      <c r="V42" s="1578" t="s">
        <v>8</v>
      </c>
      <c r="W42" s="1579">
        <f t="shared" si="12"/>
        <v>100</v>
      </c>
      <c r="X42" s="1580"/>
      <c r="Y42" s="3387"/>
      <c r="Z42" s="1581">
        <f t="shared" si="13"/>
        <v>111</v>
      </c>
      <c r="AA42" s="1577">
        <f t="shared" si="3"/>
        <v>1</v>
      </c>
      <c r="AB42" s="1577">
        <f t="shared" si="4"/>
        <v>1</v>
      </c>
      <c r="AC42" s="1577">
        <f t="shared" si="5"/>
        <v>1</v>
      </c>
    </row>
    <row r="43" spans="1:29" ht="15">
      <c r="A43" s="607" t="s">
        <v>556</v>
      </c>
      <c r="B43" s="608" t="s">
        <v>2938</v>
      </c>
      <c r="C43" s="609" t="s">
        <v>1</v>
      </c>
      <c r="D43" s="610"/>
      <c r="E43" s="611"/>
      <c r="F43" s="612"/>
      <c r="G43" s="613"/>
      <c r="H43" s="614"/>
      <c r="I43" s="611"/>
      <c r="J43" s="614"/>
      <c r="K43" s="1340"/>
      <c r="L43" s="2146"/>
      <c r="M43" s="2136"/>
      <c r="N43" s="2136"/>
      <c r="O43" s="2147"/>
      <c r="P43" s="3382" t="str">
        <f>A43</f>
        <v>成交单价</v>
      </c>
      <c r="Q43" s="3382"/>
      <c r="R43" s="3396">
        <f>E43</f>
        <v>0</v>
      </c>
      <c r="S43" s="3396"/>
      <c r="T43" s="3396">
        <f>G43</f>
        <v>0</v>
      </c>
      <c r="U43" s="3396"/>
      <c r="V43" s="3396">
        <f>I43</f>
        <v>0</v>
      </c>
      <c r="W43" s="3396"/>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382" t="str">
        <f>A44</f>
        <v>比较价格（元/平方米）</v>
      </c>
      <c r="Q44" s="3382"/>
      <c r="R44" s="3406" t="e">
        <f>ROUND(PRODUCT(R43,AA9:AA42),0)</f>
        <v>#DIV/0!</v>
      </c>
      <c r="S44" s="3406"/>
      <c r="T44" s="3406" t="e">
        <f>ROUND(PRODUCT(T43,AB9:AB42),0)</f>
        <v>#DIV/0!</v>
      </c>
      <c r="U44" s="3406"/>
      <c r="V44" s="3406" t="e">
        <f>ROUND(PRODUCT(V43,AC9:AC42),0)</f>
        <v>#DIV/0!</v>
      </c>
      <c r="W44" s="3406"/>
      <c r="X44" s="1560"/>
      <c r="Y44" s="1560"/>
      <c r="Z44" s="1560"/>
      <c r="AA44" s="1560"/>
      <c r="AB44" s="1560"/>
      <c r="AC44" s="1560"/>
    </row>
    <row r="45" spans="1:29" ht="15.75" thickBot="1">
      <c r="A45" s="621" t="s">
        <v>2939</v>
      </c>
      <c r="B45" s="622"/>
      <c r="C45" s="623" t="e">
        <f>R45</f>
        <v>#DIV/0!</v>
      </c>
      <c r="D45" s="623"/>
      <c r="E45" s="623"/>
      <c r="F45" s="623"/>
      <c r="G45" s="623"/>
      <c r="H45" s="623"/>
      <c r="I45" s="623"/>
      <c r="J45" s="623"/>
      <c r="K45" s="1342"/>
      <c r="L45" s="2146"/>
      <c r="M45" s="2136"/>
      <c r="N45" s="2136"/>
      <c r="O45" s="2147"/>
      <c r="P45" s="3403" t="str">
        <f>A45</f>
        <v>估价对象XX用房的比较价格（楼面单价，元/平方米）</v>
      </c>
      <c r="Q45" s="3404"/>
      <c r="R45" s="3405" t="e">
        <f>ROUND(AVERAGE(R44:V44),0)</f>
        <v>#DIV/0!</v>
      </c>
      <c r="S45" s="3405"/>
      <c r="T45" s="3405"/>
      <c r="U45" s="3405"/>
      <c r="V45" s="3405"/>
      <c r="W45" s="3405"/>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07" t="s">
        <v>2287</v>
      </c>
      <c r="H52" s="3408"/>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99428.59</v>
      </c>
      <c r="F53" s="1952" t="e">
        <f t="shared" ref="F53:F62" si="15">ROUND(B53*E53/10000,0)</f>
        <v>#DIV/0!</v>
      </c>
      <c r="G53" s="3409"/>
      <c r="H53" s="3410"/>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0.7</v>
      </c>
      <c r="D54" s="2231">
        <v>0.25</v>
      </c>
      <c r="E54" s="639"/>
      <c r="F54" s="1952" t="e">
        <f t="shared" si="15"/>
        <v>#DIV/0!</v>
      </c>
      <c r="G54" s="3411" t="s">
        <v>2288</v>
      </c>
      <c r="H54" s="1956" t="str">
        <f>项目基本情况!B43</f>
        <v>六级</v>
      </c>
      <c r="I54" s="1955">
        <f>SUMIF(修正!$A$45:$A$56,H54,修正!B45:B56)</f>
        <v>0.7</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0.4</v>
      </c>
      <c r="D55" s="2231">
        <v>0.25</v>
      </c>
      <c r="E55" s="639"/>
      <c r="F55" s="1952" t="e">
        <f t="shared" si="15"/>
        <v>#DIV/0!</v>
      </c>
      <c r="G55" s="3411"/>
      <c r="H55" s="1957" t="str">
        <f>项目基本情况!B43</f>
        <v>六级</v>
      </c>
      <c r="I55" s="1955">
        <f>SUMIF(修正!$A$45:$A$56,H55,修正!C45:C56)</f>
        <v>0.4</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0.28000000000000003</v>
      </c>
      <c r="D56" s="2231">
        <v>0.25</v>
      </c>
      <c r="E56" s="639"/>
      <c r="F56" s="1952" t="e">
        <f t="shared" si="15"/>
        <v>#DIV/0!</v>
      </c>
      <c r="G56" s="3411"/>
      <c r="H56" s="1957" t="str">
        <f>项目基本情况!B43</f>
        <v>六级</v>
      </c>
      <c r="I56" s="1955">
        <f>SUMIF(修正!$A$45:$A$56,H56,修正!D45:D56)</f>
        <v>0.28000000000000003</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0.25</v>
      </c>
      <c r="D57" s="2231">
        <v>0.25</v>
      </c>
      <c r="E57" s="639"/>
      <c r="F57" s="1952" t="e">
        <f t="shared" si="15"/>
        <v>#DIV/0!</v>
      </c>
      <c r="G57" s="3411"/>
      <c r="H57" s="1957" t="str">
        <f>项目基本情况!B43</f>
        <v>六级</v>
      </c>
      <c r="I57" s="1955">
        <f>SUMIF(修正!$A$45:$A$56,H57,修正!E45:E56)</f>
        <v>0.25</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0.25</v>
      </c>
      <c r="D58" s="2231">
        <v>0.25</v>
      </c>
      <c r="E58" s="641">
        <f>'数据-汇总表'!E11</f>
        <v>0</v>
      </c>
      <c r="F58" s="1952" t="e">
        <f t="shared" si="15"/>
        <v>#DIV/0!</v>
      </c>
      <c r="G58" s="1958" t="s">
        <v>2289</v>
      </c>
      <c r="H58" s="1957" t="str">
        <f>项目基本情况!C43</f>
        <v>六级</v>
      </c>
      <c r="I58" s="1955">
        <f>SUMIF(修正!$A$45:$A$56,H58,修正!F45:F56)</f>
        <v>0.25</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0.25</v>
      </c>
      <c r="D59" s="2231">
        <v>0.25</v>
      </c>
      <c r="E59" s="641">
        <f>'数据-汇总表'!E12</f>
        <v>0</v>
      </c>
      <c r="F59" s="1952" t="e">
        <f t="shared" si="15"/>
        <v>#DIV/0!</v>
      </c>
      <c r="G59" s="1948" t="s">
        <v>1678</v>
      </c>
      <c r="H59" s="1956" t="str">
        <f>IF(G59="商业",项目基本情况!B43,IF(G59="办公",项目基本情况!C43,IF(G59="住宅",项目基本情况!D43,项目基本情况!E43)))</f>
        <v>六级</v>
      </c>
      <c r="I59" s="1955">
        <f>SUMIF(修正!$A$45:$A$56,H59,修正!G45:G56)</f>
        <v>0.25</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0.2</v>
      </c>
      <c r="D61" s="2231">
        <v>0.25</v>
      </c>
      <c r="E61" s="641">
        <f>'数据-汇总表'!E14</f>
        <v>0</v>
      </c>
      <c r="F61" s="1952" t="e">
        <f t="shared" si="15"/>
        <v>#DIV/0!</v>
      </c>
      <c r="G61" s="1958" t="s">
        <v>2288</v>
      </c>
      <c r="H61" s="1957" t="str">
        <f>项目基本情况!B43</f>
        <v>六级</v>
      </c>
      <c r="I61" s="1955">
        <f>SUMIF(修正!$A$45:$A$56,H61,修正!H45:H56)</f>
        <v>0.2</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0.2</v>
      </c>
      <c r="D62" s="2231">
        <v>0.25</v>
      </c>
      <c r="E62" s="641">
        <f>'数据-汇总表'!E15</f>
        <v>26749.200000000001</v>
      </c>
      <c r="F62" s="1952" t="e">
        <f t="shared" si="15"/>
        <v>#DIV/0!</v>
      </c>
      <c r="G62" s="1959" t="s">
        <v>2289</v>
      </c>
      <c r="H62" s="1960" t="str">
        <f>项目基本情况!C43</f>
        <v>六级</v>
      </c>
      <c r="I62" s="1955">
        <f>SUMIF(修正!$A$45:$A$56,H62,修正!H45:H56)</f>
        <v>0.2</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15721.95</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2018-10-1</v>
      </c>
      <c r="D65" s="2801">
        <f>EDATE(C65,-3)</f>
        <v>43282</v>
      </c>
      <c r="E65" s="2801">
        <f t="shared" ref="E65:N65" si="18">EDATE(D65,-3)</f>
        <v>43191</v>
      </c>
      <c r="F65" s="2801">
        <f t="shared" si="18"/>
        <v>43101</v>
      </c>
      <c r="G65" s="2801">
        <f t="shared" si="18"/>
        <v>43009</v>
      </c>
      <c r="H65" s="2801">
        <f t="shared" si="18"/>
        <v>42917</v>
      </c>
      <c r="I65" s="2801">
        <f t="shared" si="18"/>
        <v>42826</v>
      </c>
      <c r="J65" s="2801">
        <f t="shared" si="18"/>
        <v>42736</v>
      </c>
      <c r="K65" s="2801">
        <f t="shared" si="18"/>
        <v>42644</v>
      </c>
      <c r="L65" s="2801">
        <f t="shared" si="18"/>
        <v>42552</v>
      </c>
      <c r="M65" s="2801">
        <f t="shared" si="18"/>
        <v>42461</v>
      </c>
      <c r="N65" s="2801">
        <f t="shared" si="18"/>
        <v>42370</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2536</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2652</v>
      </c>
      <c r="B68" s="479" t="str">
        <f>"北京市平均增长率"&amp;TEXT(基准地价!P24,"0.00%")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2553</v>
      </c>
      <c r="C95" s="2600" t="s">
        <v>2554</v>
      </c>
      <c r="D95" s="2600" t="s">
        <v>2555</v>
      </c>
      <c r="E95" s="2600" t="s">
        <v>2556</v>
      </c>
      <c r="F95" s="2600" t="s">
        <v>2557</v>
      </c>
      <c r="G95" s="2600"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4"/>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7" t="s">
        <v>2765</v>
      </c>
      <c r="S1" s="2937" t="s">
        <v>2766</v>
      </c>
      <c r="T1" s="2937" t="s">
        <v>2787</v>
      </c>
      <c r="U1" s="2937" t="s">
        <v>2788</v>
      </c>
      <c r="V1" s="2937" t="s">
        <v>2789</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2940</v>
      </c>
      <c r="G3" s="1039">
        <f>IF(F3="宗地容积率",'数据-汇总表'!I4,IF(F3="估价对象容积率",'数据-汇总表'!I6,'数据-汇总表'!I7))</f>
        <v>5.98</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1"/>
      <c r="X3" s="2191"/>
      <c r="Y3" s="2191"/>
      <c r="Z3" s="2191"/>
      <c r="AA3" s="2191"/>
      <c r="AB3" s="2191"/>
      <c r="AC3" s="2192"/>
    </row>
    <row r="4" spans="1:39" ht="28.5">
      <c r="A4" s="1893" t="s">
        <v>2283</v>
      </c>
      <c r="B4" s="2455"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8">
        <v>3</v>
      </c>
      <c r="S4" s="2938">
        <f>ROUND(IF(G3&gt;1,IF(R4&lt;7,SUMPRODUCT((B93:B98=R4)*(C92:N92=G2)*(C93:N98)),SUMIF(C92:N92,G2,C100:N100)),IF(R4&lt;7,SUMPRODUCT((B102:B107=R4)*(C92:N92=G2)*(C102:N107)),SUMIF(C92:N92,G2,C109:N109))),4)</f>
        <v>0</v>
      </c>
      <c r="T4" s="2938" t="e">
        <f t="shared" si="0"/>
        <v>#DIV/0!</v>
      </c>
      <c r="U4" s="2927"/>
      <c r="V4" s="2938"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8">
        <v>4</v>
      </c>
      <c r="S5" s="2938">
        <f>ROUND(IF(G3&gt;1,IF(R5&lt;7,SUMPRODUCT((B93:B98=R5)*(C92:N92=G2)*(C93:N98)),SUMIF(C92:N92,G2,C100:N100)),IF(R5&lt;7,SUMPRODUCT((B102:B107=R5)*(C92:N92=G2)*(C102:N107)),SUMIF(C92:N92,G2,C109:N109))),4)</f>
        <v>0</v>
      </c>
      <c r="T5" s="2938" t="e">
        <f t="shared" si="0"/>
        <v>#DIV/0!</v>
      </c>
      <c r="U5" s="2927"/>
      <c r="V5" s="2938"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8">
        <v>5</v>
      </c>
      <c r="S6" s="2938">
        <f>ROUND(IF(G3&gt;1,IF(R6&lt;7,SUMPRODUCT((B93:B98=R6)*(C92:N92=G2)*(C93:N98)),SUMIF(C92:N92,G2,C100:N100)),IF(R6&lt;7,SUMPRODUCT((B102:B107=R6)*(C92:N92=G2)*(C102:N107)),SUMIF(C92:N92,G2,C109:N109))),4)</f>
        <v>0</v>
      </c>
      <c r="T6" s="2938" t="e">
        <f t="shared" si="0"/>
        <v>#DIV/0!</v>
      </c>
      <c r="U6" s="2927"/>
      <c r="V6" s="2938" t="e">
        <f t="shared" si="1"/>
        <v>#DIV/0!</v>
      </c>
      <c r="W6" s="2191"/>
      <c r="X6" s="2191"/>
      <c r="Y6" s="2191"/>
      <c r="Z6" s="2191"/>
      <c r="AA6" s="2191"/>
      <c r="AB6" s="2191"/>
      <c r="AC6" s="2193"/>
      <c r="AD6" s="1420"/>
      <c r="AE6" s="1420"/>
      <c r="AF6" s="1420"/>
      <c r="AG6" s="1420"/>
      <c r="AH6" s="1420"/>
      <c r="AI6" s="1420"/>
      <c r="AJ6" s="1421"/>
    </row>
    <row r="7" spans="1:39" ht="24">
      <c r="A7" s="3419"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5.98</v>
      </c>
      <c r="AA7" s="2194"/>
      <c r="AB7" s="2194"/>
      <c r="AC7" s="2195"/>
      <c r="AD7" s="2930"/>
      <c r="AE7" s="2930"/>
      <c r="AF7" s="2930"/>
      <c r="AG7" s="2930"/>
      <c r="AH7" s="2930"/>
      <c r="AI7" s="2930"/>
      <c r="AJ7" s="2931"/>
    </row>
    <row r="8" spans="1:39" ht="15">
      <c r="A8" s="3420"/>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8">
        <v>7</v>
      </c>
      <c r="S8" s="2927"/>
      <c r="T8" s="2938" t="e">
        <f t="shared" si="0"/>
        <v>#DIV/0!</v>
      </c>
      <c r="U8" s="2927"/>
      <c r="V8" s="2938" t="e">
        <f t="shared" si="1"/>
        <v>#DIV/0!</v>
      </c>
      <c r="W8" s="3429" t="s">
        <v>2786</v>
      </c>
      <c r="X8" s="3430"/>
      <c r="Y8" s="1851" t="s">
        <v>2770</v>
      </c>
      <c r="Z8" s="1851" t="s">
        <v>2771</v>
      </c>
      <c r="AA8" s="1851" t="s">
        <v>2772</v>
      </c>
      <c r="AB8" s="1851" t="s">
        <v>2773</v>
      </c>
      <c r="AC8" s="1851" t="s">
        <v>2774</v>
      </c>
      <c r="AD8" s="1851" t="s">
        <v>2775</v>
      </c>
      <c r="AE8" s="1851" t="s">
        <v>2776</v>
      </c>
      <c r="AF8" s="1851" t="s">
        <v>2777</v>
      </c>
      <c r="AG8" s="1851" t="s">
        <v>2778</v>
      </c>
      <c r="AH8" s="1851" t="s">
        <v>2779</v>
      </c>
      <c r="AI8" s="1851" t="s">
        <v>2780</v>
      </c>
      <c r="AJ8" s="1851" t="s">
        <v>2781</v>
      </c>
    </row>
    <row r="9" spans="1:39" ht="15">
      <c r="A9" s="3420"/>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8">
        <v>8</v>
      </c>
      <c r="S9" s="2927"/>
      <c r="T9" s="2938" t="e">
        <f t="shared" si="0"/>
        <v>#DIV/0!</v>
      </c>
      <c r="U9" s="2927"/>
      <c r="V9" s="2938" t="e">
        <f t="shared" si="1"/>
        <v>#DIV/0!</v>
      </c>
      <c r="W9" s="3428" t="s">
        <v>2782</v>
      </c>
      <c r="X9" s="2932" t="s">
        <v>2783</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20"/>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8">
        <v>9</v>
      </c>
      <c r="S10" s="2927"/>
      <c r="T10" s="2938" t="e">
        <f t="shared" si="0"/>
        <v>#DIV/0!</v>
      </c>
      <c r="U10" s="2927"/>
      <c r="V10" s="2938" t="e">
        <f t="shared" si="1"/>
        <v>#DIV/0!</v>
      </c>
      <c r="W10" s="3428"/>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20"/>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8">
        <v>10</v>
      </c>
      <c r="S11" s="2927"/>
      <c r="T11" s="2938" t="e">
        <f t="shared" si="0"/>
        <v>#DIV/0!</v>
      </c>
      <c r="U11" s="2927"/>
      <c r="V11" s="2938" t="e">
        <f t="shared" si="1"/>
        <v>#DIV/0!</v>
      </c>
      <c r="W11" s="3428" t="s">
        <v>2784</v>
      </c>
      <c r="X11" s="1048" t="s">
        <v>2769</v>
      </c>
      <c r="Y11" s="1654">
        <f>$G$3</f>
        <v>5.98</v>
      </c>
      <c r="Z11" s="1654">
        <f t="shared" ref="Z11:AJ11" si="3">$G$3</f>
        <v>5.98</v>
      </c>
      <c r="AA11" s="1654">
        <f t="shared" si="3"/>
        <v>5.98</v>
      </c>
      <c r="AB11" s="1654">
        <f t="shared" si="3"/>
        <v>5.98</v>
      </c>
      <c r="AC11" s="1654">
        <f t="shared" si="3"/>
        <v>5.98</v>
      </c>
      <c r="AD11" s="1654">
        <f t="shared" si="3"/>
        <v>5.98</v>
      </c>
      <c r="AE11" s="1654">
        <f t="shared" si="3"/>
        <v>5.98</v>
      </c>
      <c r="AF11" s="1654">
        <f t="shared" si="3"/>
        <v>5.98</v>
      </c>
      <c r="AG11" s="1654">
        <f t="shared" si="3"/>
        <v>5.98</v>
      </c>
      <c r="AH11" s="1654">
        <f t="shared" si="3"/>
        <v>5.98</v>
      </c>
      <c r="AI11" s="1654">
        <f t="shared" si="3"/>
        <v>5.98</v>
      </c>
      <c r="AJ11" s="1654">
        <f t="shared" si="3"/>
        <v>5.98</v>
      </c>
    </row>
    <row r="12" spans="1:39" ht="25.5" thickBot="1">
      <c r="A12" s="3419"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8">
        <v>11</v>
      </c>
      <c r="S12" s="2927"/>
      <c r="T12" s="2938" t="e">
        <f t="shared" si="0"/>
        <v>#DIV/0!</v>
      </c>
      <c r="U12" s="2927"/>
      <c r="V12" s="2938" t="e">
        <f t="shared" si="1"/>
        <v>#DIV/0!</v>
      </c>
      <c r="W12" s="3428"/>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21"/>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8">
        <v>12</v>
      </c>
      <c r="S13" s="2927"/>
      <c r="T13" s="2938" t="e">
        <f t="shared" si="0"/>
        <v>#DIV/0!</v>
      </c>
      <c r="U13" s="2927"/>
      <c r="V13" s="2938" t="e">
        <f t="shared" si="1"/>
        <v>#DIV/0!</v>
      </c>
      <c r="W13" s="3428"/>
      <c r="X13" s="2935"/>
      <c r="Y13" s="2934">
        <f>(-0.163*(Y12^2)-0.59*Y12+7617)*(10^(-4))/Y11</f>
        <v>0.12737458193979934</v>
      </c>
      <c r="Z13" s="2934">
        <f t="shared" ref="Z13:AJ13" si="5">(-0.163*(Z12^2)-0.59*Z12+7617)*(10^(-4))/Z11</f>
        <v>0.12737458193979934</v>
      </c>
      <c r="AA13" s="2934">
        <f t="shared" si="5"/>
        <v>0.12737458193979934</v>
      </c>
      <c r="AB13" s="2934">
        <f t="shared" si="5"/>
        <v>0.12737458193979934</v>
      </c>
      <c r="AC13" s="2934">
        <f t="shared" si="5"/>
        <v>0.12737458193979934</v>
      </c>
      <c r="AD13" s="2934">
        <f t="shared" si="5"/>
        <v>0.12737458193979934</v>
      </c>
      <c r="AE13" s="2934">
        <f t="shared" si="5"/>
        <v>0.12737458193979934</v>
      </c>
      <c r="AF13" s="2934">
        <f t="shared" si="5"/>
        <v>0.12737458193979934</v>
      </c>
      <c r="AG13" s="2934">
        <f t="shared" si="5"/>
        <v>0.12737458193979934</v>
      </c>
      <c r="AH13" s="2934">
        <f t="shared" si="5"/>
        <v>0.12737458193979934</v>
      </c>
      <c r="AI13" s="2934">
        <f t="shared" si="5"/>
        <v>0.12737458193979934</v>
      </c>
      <c r="AJ13" s="2934">
        <f t="shared" si="5"/>
        <v>0.12737458193979934</v>
      </c>
    </row>
    <row r="14" spans="1:39" ht="12.75" customHeight="1" thickBot="1">
      <c r="A14" s="3421"/>
      <c r="B14" s="1452"/>
      <c r="C14" s="1453"/>
      <c r="D14" s="1454"/>
      <c r="E14" s="1454"/>
      <c r="F14" s="1455"/>
      <c r="G14" s="1456" t="s">
        <v>949</v>
      </c>
      <c r="H14" s="1457"/>
      <c r="I14" s="1458"/>
      <c r="J14" s="1459"/>
      <c r="K14" s="1402"/>
      <c r="L14" s="2191"/>
      <c r="M14" s="2191"/>
      <c r="N14" s="2191"/>
      <c r="O14" s="2191"/>
      <c r="P14" s="2191"/>
      <c r="Q14" s="2191"/>
      <c r="R14" s="2938">
        <v>13</v>
      </c>
      <c r="S14" s="2927"/>
      <c r="T14" s="2938" t="e">
        <f t="shared" si="0"/>
        <v>#DIV/0!</v>
      </c>
      <c r="U14" s="2927"/>
      <c r="V14" s="2938" t="e">
        <f t="shared" si="1"/>
        <v>#DIV/0!</v>
      </c>
      <c r="W14" s="2191"/>
      <c r="X14" s="2191"/>
      <c r="Y14" s="2191"/>
      <c r="Z14" s="2191"/>
      <c r="AA14" s="2191"/>
      <c r="AB14" s="2191"/>
      <c r="AC14" s="2192"/>
    </row>
    <row r="15" spans="1:39" ht="13.5" customHeight="1" thickBot="1">
      <c r="A15" s="3422"/>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8">
        <v>14</v>
      </c>
      <c r="S15" s="2927"/>
      <c r="T15" s="2938" t="e">
        <f t="shared" si="0"/>
        <v>#DIV/0!</v>
      </c>
      <c r="U15" s="2927"/>
      <c r="V15" s="2938" t="e">
        <f t="shared" si="1"/>
        <v>#DIV/0!</v>
      </c>
      <c r="W15" s="2191"/>
      <c r="X15" s="2191"/>
      <c r="Y15" s="2191"/>
      <c r="Z15" s="2191"/>
      <c r="AA15" s="2191"/>
      <c r="AB15" s="2191"/>
      <c r="AC15" s="2192"/>
    </row>
    <row r="16" spans="1:39" ht="24">
      <c r="A16" s="3419"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8">
        <v>15</v>
      </c>
      <c r="S16" s="2927"/>
      <c r="T16" s="2938" t="e">
        <f t="shared" si="0"/>
        <v>#DIV/0!</v>
      </c>
      <c r="U16" s="2927"/>
      <c r="V16" s="2938" t="e">
        <f t="shared" si="1"/>
        <v>#DIV/0!</v>
      </c>
      <c r="W16" s="2194"/>
      <c r="X16" s="2194"/>
      <c r="Y16" s="2194"/>
      <c r="Z16" s="2194"/>
      <c r="AA16" s="2194"/>
      <c r="AB16" s="2194"/>
      <c r="AC16" s="2195"/>
    </row>
    <row r="17" spans="1:40" ht="13.5" thickBot="1">
      <c r="A17" s="3420"/>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ROUND(IF(H19="按公示增长率计算",SUMPRODUCT((地价!A3:A24=YEAR(G19)&amp;"-"&amp;ROUNDUP(MONTH(G19)/3,0))*(地价!X2:AB2=E2)*(地价!X3:AB24)),IF(H19="地价指数",M20/M19,(1+I19)^O19)),4)</f>
        <v>#DIV/0!</v>
      </c>
      <c r="D19" s="1475" t="s">
        <v>958</v>
      </c>
      <c r="E19" s="1058">
        <v>41640</v>
      </c>
      <c r="F19" s="1475" t="s">
        <v>959</v>
      </c>
      <c r="G19" s="1059">
        <f>'数据-取费表'!B2</f>
        <v>43390</v>
      </c>
      <c r="H19" s="1476" t="s">
        <v>2941</v>
      </c>
      <c r="I19" s="2786" t="str">
        <f>IF(H19="季度增幅（自定义）",SUMIF(N21:N24,E2,O21:O24),"")</f>
        <v/>
      </c>
      <c r="J19" s="1472"/>
      <c r="K19" s="1482"/>
      <c r="L19" s="3041" t="s">
        <v>2844</v>
      </c>
      <c r="M19" s="3042">
        <f>ROUND(SUMIF(地价!B2:F2,E2,地价!B24:F24),0)</f>
        <v>0</v>
      </c>
      <c r="N19" s="2788" t="s">
        <v>1677</v>
      </c>
      <c r="O19" s="2787">
        <f>ROUNDDOWN(DATEDIF(E19,G19,"M")/3,0)</f>
        <v>19</v>
      </c>
      <c r="P19" s="1597"/>
      <c r="R19" s="2926"/>
      <c r="S19" s="2926"/>
      <c r="T19" s="2926"/>
      <c r="U19" s="2926"/>
      <c r="V19" s="2926"/>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t="e">
        <f>ROUND(POWER(1+G20,J20-I20)*(POWER(1+G20,I20)-1)/(POWER(1+G20,J20)-1),4)</f>
        <v>#DIV/0!</v>
      </c>
      <c r="D20" s="2783" t="s">
        <v>973</v>
      </c>
      <c r="E20" s="3097">
        <f ca="1">存贷款利率!I4/100</f>
        <v>4.3499999999999997E-2</v>
      </c>
      <c r="F20" s="2783" t="s">
        <v>974</v>
      </c>
      <c r="G20" s="2784">
        <f>SUMIF(M15:P15,E2,M17:P17)</f>
        <v>0</v>
      </c>
      <c r="H20" s="2783" t="s">
        <v>975</v>
      </c>
      <c r="I20" s="2773" t="e">
        <f>SUMIF('数据-取费表'!C6:C15,E2,'数据-取费表'!F6:F15)/COUNTIF('数据-取费表'!C6:C15,E2)</f>
        <v>#DIV/0!</v>
      </c>
      <c r="J20" s="2785">
        <f>IF(E2="住宅",70,IF(E2="商业",40,50))</f>
        <v>50</v>
      </c>
      <c r="K20" s="1482"/>
      <c r="L20" s="3043" t="s">
        <v>2845</v>
      </c>
      <c r="M20" s="3044">
        <f>ROUND(SUMPRODUCT((地价!A4:A24=YEAR(G19)&amp;"-"&amp;ROUNDUP(MONTH(G19)/3,0))*(地价!B2:F2=E2)*(地价!B4:F24)),0)</f>
        <v>0</v>
      </c>
      <c r="N20" s="2791" t="s">
        <v>2648</v>
      </c>
      <c r="O20" s="2789" t="s">
        <v>2647</v>
      </c>
      <c r="P20" s="2790" t="s">
        <v>2653</v>
      </c>
      <c r="R20" s="2926"/>
      <c r="S20" s="2926"/>
      <c r="T20" s="2926"/>
      <c r="U20" s="2926"/>
      <c r="V20" s="2926"/>
      <c r="W20" s="2197"/>
      <c r="X20" s="2197"/>
      <c r="Y20" s="2197"/>
      <c r="Z20" s="2197"/>
      <c r="AA20" s="2197"/>
      <c r="AB20" s="2197"/>
      <c r="AC20" s="2197"/>
      <c r="AD20" s="1473"/>
      <c r="AE20" s="1473"/>
      <c r="AF20" s="1473"/>
      <c r="AG20" s="1473"/>
      <c r="AH20" s="1473"/>
      <c r="AI20" s="1473"/>
    </row>
    <row r="21" spans="1:40" s="1422" customFormat="1" ht="14.25">
      <c r="A21" s="1643" t="s">
        <v>1838</v>
      </c>
      <c r="B21" s="1481" t="s">
        <v>2764</v>
      </c>
      <c r="C21" s="1158">
        <f>IF(B21="容积率修正",IF(G3&lt;=10,D22,J22),C23)</f>
        <v>0</v>
      </c>
      <c r="D21" s="1482"/>
      <c r="E21" s="1482"/>
      <c r="F21" s="1482"/>
      <c r="G21" s="1482"/>
      <c r="H21" s="1482"/>
      <c r="I21" s="1482"/>
      <c r="J21" s="1483"/>
      <c r="K21" s="1482"/>
      <c r="L21" s="1482"/>
      <c r="M21" s="1482"/>
      <c r="N21" s="1479" t="s">
        <v>976</v>
      </c>
      <c r="O21" s="1543"/>
      <c r="P21" s="2771">
        <f>SUMPRODUCT((地价!A3:A24=YEAR(G19)&amp;"-"&amp;ROUNDUP(MONTH(G19)/3,0))*(地价!AD2:AH2=N21)*(地价!AD3:AH24))</f>
        <v>1.5299999999999999E-2</v>
      </c>
      <c r="R21" s="2926"/>
      <c r="S21" s="2926"/>
      <c r="T21" s="2926"/>
      <c r="U21" s="2926"/>
      <c r="V21" s="2926"/>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5.9</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1">
        <f>SUMPRODUCT((地价!A3:A24=YEAR(G19)&amp;"-"&amp;ROUNDUP(MONTH(G19)/3,0))*(地价!AD2:AH2=N22)*(地价!AD3:AH24))</f>
        <v>1.5299999999999999E-2</v>
      </c>
      <c r="R22" s="2926"/>
      <c r="S22" s="2926"/>
      <c r="T22" s="2926"/>
      <c r="U22" s="2926"/>
      <c r="V22" s="2926"/>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1">
        <f>SUMPRODUCT((地价!A3:A24=YEAR(G19)&amp;"-"&amp;ROUNDUP(MONTH(G19)/3,0))*(地价!AD2:AH2=N23)*(地价!AD3:AH24))</f>
        <v>2.41E-2</v>
      </c>
      <c r="R23" s="2926"/>
      <c r="S23" s="2926"/>
      <c r="T23" s="2926"/>
      <c r="U23" s="2926"/>
      <c r="V23" s="2926"/>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SUMPRODUCT((地价!A3:A24=YEAR(G19)&amp;"-"&amp;ROUNDUP(MONTH(G19)/3,0))*(地价!AD2:AH2=N24)*(地价!AD3:AH24))</f>
        <v>1.4200000000000001E-2</v>
      </c>
      <c r="R24" s="2926"/>
      <c r="S24" s="2926"/>
      <c r="T24" s="2926"/>
      <c r="U24" s="2926"/>
      <c r="V24" s="2926"/>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2651</v>
      </c>
      <c r="O25" s="2197"/>
      <c r="P25" s="1542">
        <f>SUMPRODUCT((地价!A3:A24=YEAR(G19)&amp;"-"&amp;ROUNDUP(MONTH(G19)/3,0))*(地价!AD2:AH2=N25)*(地价!AD3:AH24))</f>
        <v>2.1899999999999999E-2</v>
      </c>
      <c r="R25" s="2926"/>
      <c r="S25" s="2926"/>
      <c r="T25" s="2926"/>
      <c r="U25" s="2926"/>
      <c r="V25" s="2926"/>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6"/>
      <c r="S26" s="2926"/>
      <c r="T26" s="2926"/>
      <c r="U26" s="2926"/>
      <c r="V26" s="2926"/>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6"/>
      <c r="S27" s="2926"/>
      <c r="T27" s="2926"/>
      <c r="U27" s="2926"/>
      <c r="V27" s="2926"/>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6"/>
      <c r="S28" s="2926"/>
      <c r="T28" s="2926"/>
      <c r="U28" s="2926"/>
      <c r="V28" s="2926"/>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6"/>
      <c r="S29" s="2926"/>
      <c r="T29" s="2926"/>
      <c r="U29" s="2926"/>
      <c r="V29" s="2926"/>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5" t="s">
        <v>2967</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6"/>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6"/>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7"/>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2253</v>
      </c>
      <c r="G46" s="2433" t="s">
        <v>1015</v>
      </c>
      <c r="H46" s="2416" t="s">
        <v>2421</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9" t="s">
        <v>2943</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8" t="s">
        <v>2942</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2254</v>
      </c>
      <c r="G57" s="2433" t="s">
        <v>1015</v>
      </c>
      <c r="H57" s="2416" t="s">
        <v>2421</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9" t="s">
        <v>2944</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8" t="s">
        <v>2942</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2255</v>
      </c>
      <c r="G68" s="2433" t="s">
        <v>1015</v>
      </c>
      <c r="H68" s="2416" t="s">
        <v>2421</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8" t="s">
        <v>2942</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2256</v>
      </c>
      <c r="G79" s="2433" t="s">
        <v>1015</v>
      </c>
      <c r="H79" s="2416" t="s">
        <v>2421</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3098" t="s">
        <v>2942</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23" t="s">
        <v>1634</v>
      </c>
      <c r="B90" s="3423"/>
      <c r="C90" s="3423"/>
      <c r="D90" s="3423"/>
      <c r="E90" s="3423"/>
      <c r="F90" s="3423"/>
      <c r="G90" s="3423"/>
      <c r="H90" s="3423"/>
      <c r="I90" s="3423"/>
      <c r="J90" s="3423"/>
      <c r="K90" s="2452"/>
      <c r="L90" s="2452"/>
      <c r="M90" s="2452"/>
      <c r="N90" s="2452"/>
    </row>
    <row r="91" spans="1:40">
      <c r="A91" s="3424" t="s">
        <v>1444</v>
      </c>
      <c r="B91" s="3424" t="s">
        <v>1635</v>
      </c>
      <c r="C91" s="1140" t="s">
        <v>1636</v>
      </c>
      <c r="D91" s="1141"/>
      <c r="E91" s="1141"/>
      <c r="F91" s="1141"/>
      <c r="G91" s="1141"/>
      <c r="H91" s="1141"/>
      <c r="I91" s="1141"/>
      <c r="J91" s="1142"/>
      <c r="K91" s="1134"/>
      <c r="L91" s="1134"/>
      <c r="M91" s="1134"/>
      <c r="N91" s="1134"/>
    </row>
    <row r="92" spans="1:40">
      <c r="A92" s="3424"/>
      <c r="B92" s="3424"/>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31"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2"/>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1" t="s">
        <v>1638</v>
      </c>
      <c r="B101" s="1147" t="s">
        <v>906</v>
      </c>
      <c r="C101" s="1148">
        <f>$G$3</f>
        <v>5.98</v>
      </c>
      <c r="D101" s="1148">
        <f t="shared" ref="D101:N101" si="31">$G$3</f>
        <v>5.98</v>
      </c>
      <c r="E101" s="1148">
        <f t="shared" si="31"/>
        <v>5.98</v>
      </c>
      <c r="F101" s="1148">
        <f t="shared" si="31"/>
        <v>5.98</v>
      </c>
      <c r="G101" s="1148">
        <f t="shared" si="31"/>
        <v>5.98</v>
      </c>
      <c r="H101" s="1148">
        <f t="shared" si="31"/>
        <v>5.98</v>
      </c>
      <c r="I101" s="1148">
        <f t="shared" si="31"/>
        <v>5.98</v>
      </c>
      <c r="J101" s="1148">
        <f t="shared" si="31"/>
        <v>5.98</v>
      </c>
      <c r="K101" s="1148">
        <f t="shared" si="31"/>
        <v>5.98</v>
      </c>
      <c r="L101" s="1148">
        <f t="shared" si="31"/>
        <v>5.98</v>
      </c>
      <c r="M101" s="1148">
        <f t="shared" si="31"/>
        <v>5.98</v>
      </c>
      <c r="N101" s="1148">
        <f t="shared" si="31"/>
        <v>5.98</v>
      </c>
    </row>
    <row r="102" spans="1:14">
      <c r="A102" s="3432"/>
      <c r="B102" s="1143">
        <v>1</v>
      </c>
      <c r="C102" s="1144">
        <f>1.9362/C101</f>
        <v>0.32377926421404679</v>
      </c>
      <c r="D102" s="1144">
        <f>1.9362/D101</f>
        <v>0.32377926421404679</v>
      </c>
      <c r="E102" s="1144">
        <f>1.8629/E101</f>
        <v>0.31152173913043474</v>
      </c>
      <c r="F102" s="1144">
        <f>1.8629/F101</f>
        <v>0.31152173913043474</v>
      </c>
      <c r="G102" s="1144">
        <f>1.8629/G101</f>
        <v>0.31152173913043474</v>
      </c>
      <c r="H102" s="1144">
        <f>1.8629/H101</f>
        <v>0.31152173913043474</v>
      </c>
      <c r="I102" s="1144">
        <f>1.8629/I101</f>
        <v>0.31152173913043474</v>
      </c>
      <c r="J102" s="1144">
        <f>1.942/J101</f>
        <v>0.32474916387959862</v>
      </c>
      <c r="K102" s="1144">
        <f>1.942/K101</f>
        <v>0.32474916387959862</v>
      </c>
      <c r="L102" s="1144">
        <f>1.942/L101</f>
        <v>0.32474916387959862</v>
      </c>
      <c r="M102" s="1144">
        <f>1.942/M101</f>
        <v>0.32474916387959862</v>
      </c>
      <c r="N102" s="1144">
        <f>1.942/N101</f>
        <v>0.32474916387959862</v>
      </c>
    </row>
    <row r="103" spans="1:14">
      <c r="A103" s="3432"/>
      <c r="B103" s="1143">
        <v>2</v>
      </c>
      <c r="C103" s="1144">
        <f>1.4198/C101</f>
        <v>0.23742474916387957</v>
      </c>
      <c r="D103" s="1144">
        <f>1.4198/D101</f>
        <v>0.23742474916387957</v>
      </c>
      <c r="E103" s="1144">
        <f>1.3372/E101</f>
        <v>0.22361204013377925</v>
      </c>
      <c r="F103" s="1144">
        <f>1.3372/F101</f>
        <v>0.22361204013377925</v>
      </c>
      <c r="G103" s="1144">
        <f>1.3372/G101</f>
        <v>0.22361204013377925</v>
      </c>
      <c r="H103" s="1144">
        <f>1.3372/H101</f>
        <v>0.22361204013377925</v>
      </c>
      <c r="I103" s="1144">
        <f>1.3372/I101</f>
        <v>0.22361204013377925</v>
      </c>
      <c r="J103" s="1144">
        <f>1.2799/J101</f>
        <v>0.21403010033444816</v>
      </c>
      <c r="K103" s="1144">
        <f>1.2799/K101</f>
        <v>0.21403010033444816</v>
      </c>
      <c r="L103" s="1144">
        <f>1.2799/L101</f>
        <v>0.21403010033444816</v>
      </c>
      <c r="M103" s="1144">
        <f>1.2799/M101</f>
        <v>0.21403010033444816</v>
      </c>
      <c r="N103" s="1144">
        <f>1.2799/N101</f>
        <v>0.21403010033444816</v>
      </c>
    </row>
    <row r="104" spans="1:14">
      <c r="A104" s="3432"/>
      <c r="B104" s="1143">
        <v>3</v>
      </c>
      <c r="C104" s="1144">
        <f>1.1594/C101</f>
        <v>0.19387959866220733</v>
      </c>
      <c r="D104" s="1144">
        <f>1.1594/D101</f>
        <v>0.19387959866220733</v>
      </c>
      <c r="E104" s="1144">
        <f>1.0788/E101</f>
        <v>0.18040133779264211</v>
      </c>
      <c r="F104" s="1144">
        <f>1.0788/F101</f>
        <v>0.18040133779264211</v>
      </c>
      <c r="G104" s="1144">
        <f>1.0788/G101</f>
        <v>0.18040133779264211</v>
      </c>
      <c r="H104" s="1144">
        <f>1.0788/H101</f>
        <v>0.18040133779264211</v>
      </c>
      <c r="I104" s="1144">
        <f>1.0788/I101</f>
        <v>0.18040133779264211</v>
      </c>
      <c r="J104" s="1144">
        <f>1.0072/J101</f>
        <v>0.16842809364548494</v>
      </c>
      <c r="K104" s="1144">
        <f>1.0072/K101</f>
        <v>0.16842809364548494</v>
      </c>
      <c r="L104" s="1144">
        <f>1.0072/L101</f>
        <v>0.16842809364548494</v>
      </c>
      <c r="M104" s="1144">
        <f>1.0072/M101</f>
        <v>0.16842809364548494</v>
      </c>
      <c r="N104" s="1144">
        <f>1.0072/N101</f>
        <v>0.16842809364548494</v>
      </c>
    </row>
    <row r="105" spans="1:14">
      <c r="A105" s="3432"/>
      <c r="B105" s="1143">
        <v>4</v>
      </c>
      <c r="C105" s="1144">
        <f>0.9622/C101</f>
        <v>0.16090301003344482</v>
      </c>
      <c r="D105" s="1144">
        <f>0.9622/D101</f>
        <v>0.16090301003344482</v>
      </c>
      <c r="E105" s="1144">
        <f>0.8656/E101</f>
        <v>0.14474916387959866</v>
      </c>
      <c r="F105" s="1144">
        <f>0.8656/F101</f>
        <v>0.14474916387959866</v>
      </c>
      <c r="G105" s="1144">
        <f>0.8656/G101</f>
        <v>0.14474916387959866</v>
      </c>
      <c r="H105" s="1144">
        <f>0.8656/H101</f>
        <v>0.14474916387959866</v>
      </c>
      <c r="I105" s="1144">
        <f>0.8656/I101</f>
        <v>0.14474916387959866</v>
      </c>
      <c r="J105" s="1144">
        <f>0.7525/J101</f>
        <v>0.12583612040133776</v>
      </c>
      <c r="K105" s="1144">
        <f>0.7525/K101</f>
        <v>0.12583612040133776</v>
      </c>
      <c r="L105" s="1144">
        <f>0.7525/L101</f>
        <v>0.12583612040133776</v>
      </c>
      <c r="M105" s="1144">
        <f>0.7525/M101</f>
        <v>0.12583612040133776</v>
      </c>
      <c r="N105" s="1144">
        <f>0.7525/N101</f>
        <v>0.12583612040133776</v>
      </c>
    </row>
    <row r="106" spans="1:14">
      <c r="A106" s="3432"/>
      <c r="B106" s="1143">
        <v>5</v>
      </c>
      <c r="C106" s="1144">
        <f>0.8417/C101</f>
        <v>0.14075250836120401</v>
      </c>
      <c r="D106" s="1144">
        <f>0.8417/D101</f>
        <v>0.14075250836120401</v>
      </c>
      <c r="E106" s="1144">
        <f>0.7371/E101</f>
        <v>0.12326086956521738</v>
      </c>
      <c r="F106" s="1144">
        <f>0.7371/F101</f>
        <v>0.12326086956521738</v>
      </c>
      <c r="G106" s="1144">
        <f>0.7371/G101</f>
        <v>0.12326086956521738</v>
      </c>
      <c r="H106" s="1144">
        <f>0.7371/H101</f>
        <v>0.12326086956521738</v>
      </c>
      <c r="I106" s="1144">
        <f>0.7371/I101</f>
        <v>0.12326086956521738</v>
      </c>
      <c r="J106" s="1144">
        <f>0.5659/J101</f>
        <v>9.4632107023411363E-2</v>
      </c>
      <c r="K106" s="1144">
        <f>0.5659/K101</f>
        <v>9.4632107023411363E-2</v>
      </c>
      <c r="L106" s="1144">
        <f>0.5659/L101</f>
        <v>9.4632107023411363E-2</v>
      </c>
      <c r="M106" s="1144">
        <f>0.5659/M101</f>
        <v>9.4632107023411363E-2</v>
      </c>
      <c r="N106" s="1144">
        <f>0.5659/N101</f>
        <v>9.4632107023411363E-2</v>
      </c>
    </row>
    <row r="107" spans="1:14">
      <c r="A107" s="3432"/>
      <c r="B107" s="1143">
        <v>6</v>
      </c>
      <c r="C107" s="1144">
        <f>0.7608/C101</f>
        <v>0.12722408026755852</v>
      </c>
      <c r="D107" s="1144">
        <f>0.7608/D101</f>
        <v>0.12722408026755852</v>
      </c>
      <c r="E107" s="1144">
        <f>0.6482/E101</f>
        <v>0.10839464882943144</v>
      </c>
      <c r="F107" s="1144">
        <f>0.6482/F101</f>
        <v>0.10839464882943144</v>
      </c>
      <c r="G107" s="1144">
        <f>0.6482/G101</f>
        <v>0.10839464882943144</v>
      </c>
      <c r="H107" s="1144">
        <f>0.6482/H101</f>
        <v>0.10839464882943144</v>
      </c>
      <c r="I107" s="1144">
        <f>0.6482/I101</f>
        <v>0.10839464882943144</v>
      </c>
      <c r="J107" s="1144">
        <f>0.4525/J101</f>
        <v>7.5668896321070225E-2</v>
      </c>
      <c r="K107" s="1144">
        <f>0.4525/K101</f>
        <v>7.5668896321070225E-2</v>
      </c>
      <c r="L107" s="1144">
        <f>0.4525/L101</f>
        <v>7.5668896321070225E-2</v>
      </c>
      <c r="M107" s="1144">
        <f>0.4525/M101</f>
        <v>7.5668896321070225E-2</v>
      </c>
      <c r="N107" s="1144">
        <f>0.4525/N101</f>
        <v>7.5668896321070225E-2</v>
      </c>
    </row>
    <row r="108" spans="1:14">
      <c r="A108" s="3432"/>
      <c r="B108" s="3434"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3"/>
      <c r="B109" s="3435"/>
      <c r="C109" s="1146">
        <f>(-0.163*(C108^2)-0.59*C108+7617)*(10^(-4))/C101</f>
        <v>0.12712120401337793</v>
      </c>
      <c r="D109" s="1146">
        <f>(-0.163*(D108^2)-0.59*D108+7617)*(10^(-4))/D101</f>
        <v>0.12712120401337793</v>
      </c>
      <c r="E109" s="1146">
        <f>(-0.161*(E108^2)-7.509*E108+6533)*(10^(-4))/E101</f>
        <v>0.10807063545150501</v>
      </c>
      <c r="F109" s="1146">
        <f>(-0.161*(F108^2)-7.509*F108+6533)*(10^(-4))/F101</f>
        <v>0.10807063545150501</v>
      </c>
      <c r="G109" s="1146">
        <f>(-0.161*(G108^2)-7.509*G108+6533)*(10^(-4))/G101</f>
        <v>0.10807063545150501</v>
      </c>
      <c r="H109" s="1146">
        <f>(-0.161*(H108^2)-7.509*H108+6533)*(10^(-4))/H101</f>
        <v>0.10807063545150501</v>
      </c>
      <c r="I109" s="1146">
        <f>(-0.161*(I108^2)-7.509*I108+6533)*(10^(-4))/I101</f>
        <v>0.10807063545150501</v>
      </c>
      <c r="J109" s="1146">
        <f>(-0.214*(J108^2)-21.991*J108+4665)*(10^(-4))/J101</f>
        <v>7.4839063545150505E-2</v>
      </c>
      <c r="K109" s="1146">
        <f>(-0.214*(K108^2)-21.991*K108+4665)*(10^(-4))/K101</f>
        <v>7.4839063545150505E-2</v>
      </c>
      <c r="L109" s="1146">
        <f>(-0.214*(L108^2)-21.991*L108+4665)*(10^(-4))/L101</f>
        <v>7.4839063545150505E-2</v>
      </c>
      <c r="M109" s="1146">
        <f>(-0.214*(M108^2)-21.991*M108+4665)*(10^(-4))/M101</f>
        <v>7.4839063545150505E-2</v>
      </c>
      <c r="N109" s="1146">
        <f>(-0.214*(N108^2)-21.991*N108+4665)*(10^(-4))/N101</f>
        <v>7.4839063545150505E-2</v>
      </c>
    </row>
    <row r="110" spans="1:14">
      <c r="A110" s="3418" t="s">
        <v>1640</v>
      </c>
      <c r="B110" s="3418"/>
      <c r="C110" s="3418"/>
      <c r="D110" s="3418"/>
      <c r="E110" s="3418"/>
      <c r="F110" s="3418"/>
      <c r="G110" s="3418"/>
      <c r="H110" s="3418"/>
      <c r="I110" s="3418"/>
      <c r="J110" s="3418"/>
      <c r="K110" s="2450"/>
      <c r="L110" s="2450"/>
      <c r="M110" s="2450"/>
      <c r="N110" s="2450"/>
    </row>
    <row r="112" spans="1:14" ht="12.75" thickBot="1"/>
    <row r="113" spans="1:13" ht="25.5" thickBot="1">
      <c r="A113" s="1016" t="s">
        <v>896</v>
      </c>
      <c r="B113" s="2453">
        <f>G3</f>
        <v>5.98</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0.87729999999999997</v>
      </c>
      <c r="C115" s="1030">
        <f>B115</f>
        <v>0.87729999999999997</v>
      </c>
      <c r="D115" s="1030">
        <f>ROUND(0.8331-0.0109*B113,4)</f>
        <v>0.76790000000000003</v>
      </c>
      <c r="E115" s="1030">
        <f>D115</f>
        <v>0.76790000000000003</v>
      </c>
      <c r="F115" s="1030">
        <f>E115</f>
        <v>0.76790000000000003</v>
      </c>
      <c r="G115" s="1030">
        <f>F115</f>
        <v>0.76790000000000003</v>
      </c>
      <c r="H115" s="1030">
        <f>G115</f>
        <v>0.76790000000000003</v>
      </c>
      <c r="I115" s="1030">
        <f>ROUND(0.689-0.0155*B113,4)</f>
        <v>0.59630000000000005</v>
      </c>
      <c r="J115" s="1030">
        <f t="shared" ref="J115:M118" si="33">I115</f>
        <v>0.59630000000000005</v>
      </c>
      <c r="K115" s="1030">
        <f t="shared" si="33"/>
        <v>0.59630000000000005</v>
      </c>
      <c r="L115" s="1030">
        <f t="shared" si="33"/>
        <v>0.59630000000000005</v>
      </c>
      <c r="M115" s="1031">
        <f t="shared" si="33"/>
        <v>0.59630000000000005</v>
      </c>
    </row>
    <row r="116" spans="1:13" ht="12.75">
      <c r="A116" s="1029" t="s">
        <v>901</v>
      </c>
      <c r="B116" s="1030">
        <f>ROUND(0.949-0.012*B113,4)</f>
        <v>0.87719999999999998</v>
      </c>
      <c r="C116" s="1030">
        <f>B116</f>
        <v>0.87719999999999998</v>
      </c>
      <c r="D116" s="1030">
        <f>ROUND(0.8567-0.013*B113,4)</f>
        <v>0.77900000000000003</v>
      </c>
      <c r="E116" s="1030">
        <f t="shared" ref="E116:H117" si="34">D116</f>
        <v>0.77900000000000003</v>
      </c>
      <c r="F116" s="1030">
        <f t="shared" si="34"/>
        <v>0.77900000000000003</v>
      </c>
      <c r="G116" s="1030">
        <f t="shared" si="34"/>
        <v>0.77900000000000003</v>
      </c>
      <c r="H116" s="1030">
        <f t="shared" si="34"/>
        <v>0.77900000000000003</v>
      </c>
      <c r="I116" s="1030">
        <f>ROUND(0.7694-0.014*B113,4)</f>
        <v>0.68569999999999998</v>
      </c>
      <c r="J116" s="1030">
        <f t="shared" si="33"/>
        <v>0.68569999999999998</v>
      </c>
      <c r="K116" s="1030">
        <f t="shared" si="33"/>
        <v>0.68569999999999998</v>
      </c>
      <c r="L116" s="1030">
        <f t="shared" si="33"/>
        <v>0.68569999999999998</v>
      </c>
      <c r="M116" s="1031">
        <f t="shared" si="33"/>
        <v>0.68569999999999998</v>
      </c>
    </row>
    <row r="117" spans="1:13" ht="12.75">
      <c r="A117" s="1032" t="s">
        <v>902</v>
      </c>
      <c r="B117" s="1030">
        <f>ROUND(0.8808-0.006*B113,4)</f>
        <v>0.84489999999999998</v>
      </c>
      <c r="C117" s="1030">
        <f>B117</f>
        <v>0.84489999999999998</v>
      </c>
      <c r="D117" s="1030">
        <f>ROUND(0.8748-0.008*B113,4)</f>
        <v>0.82699999999999996</v>
      </c>
      <c r="E117" s="1030">
        <f t="shared" si="34"/>
        <v>0.82699999999999996</v>
      </c>
      <c r="F117" s="1030">
        <f t="shared" si="34"/>
        <v>0.82699999999999996</v>
      </c>
      <c r="G117" s="1030">
        <f t="shared" si="34"/>
        <v>0.82699999999999996</v>
      </c>
      <c r="H117" s="1030">
        <f t="shared" si="34"/>
        <v>0.82699999999999996</v>
      </c>
      <c r="I117" s="1030">
        <f>ROUND(0.7412-0.0095*B113,4)</f>
        <v>0.68440000000000001</v>
      </c>
      <c r="J117" s="1030">
        <f t="shared" si="33"/>
        <v>0.68440000000000001</v>
      </c>
      <c r="K117" s="1030">
        <f t="shared" si="33"/>
        <v>0.68440000000000001</v>
      </c>
      <c r="L117" s="1030">
        <f t="shared" si="33"/>
        <v>0.68440000000000001</v>
      </c>
      <c r="M117" s="1031">
        <f t="shared" si="33"/>
        <v>0.68440000000000001</v>
      </c>
    </row>
    <row r="118" spans="1:13" ht="13.5" thickBot="1">
      <c r="A118" s="1033" t="s">
        <v>903</v>
      </c>
      <c r="B118" s="1034">
        <f>ROUND(0.7275-0.01*B113,4)</f>
        <v>0.66769999999999996</v>
      </c>
      <c r="C118" s="1034">
        <f>B118</f>
        <v>0.66769999999999996</v>
      </c>
      <c r="D118" s="1034">
        <f>ROUND(0.7043-0.012*B113,4)</f>
        <v>0.63249999999999995</v>
      </c>
      <c r="E118" s="1034">
        <f>D118</f>
        <v>0.63249999999999995</v>
      </c>
      <c r="F118" s="1034">
        <f>E118</f>
        <v>0.63249999999999995</v>
      </c>
      <c r="G118" s="1034">
        <f>ROUND(0.6299-0.0122*B113,4)</f>
        <v>0.55689999999999995</v>
      </c>
      <c r="H118" s="1034">
        <f>G118</f>
        <v>0.55689999999999995</v>
      </c>
      <c r="I118" s="1034">
        <f>ROUND(0.5667-0.0136*B113,4)</f>
        <v>0.4854</v>
      </c>
      <c r="J118" s="1034">
        <f t="shared" si="33"/>
        <v>0.4854</v>
      </c>
      <c r="K118" s="1034">
        <f t="shared" si="33"/>
        <v>0.4854</v>
      </c>
      <c r="L118" s="1034">
        <f t="shared" si="33"/>
        <v>0.4854</v>
      </c>
      <c r="M118" s="1035">
        <f t="shared" si="33"/>
        <v>0.4854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4" t="s">
        <v>1008</v>
      </c>
      <c r="B18" s="1154" t="s">
        <v>1447</v>
      </c>
      <c r="C18" s="1131" t="s">
        <v>1448</v>
      </c>
      <c r="D18" s="1132"/>
      <c r="E18" s="1154">
        <v>1</v>
      </c>
      <c r="F18" s="1133" t="s">
        <v>1449</v>
      </c>
      <c r="G18" s="1134"/>
      <c r="H18" s="1105"/>
      <c r="I18" s="1105"/>
    </row>
    <row r="19" spans="1:9" s="1600" customFormat="1" ht="19.5" customHeight="1">
      <c r="A19" s="3424"/>
      <c r="B19" s="3424" t="s">
        <v>1450</v>
      </c>
      <c r="C19" s="1131" t="s">
        <v>1451</v>
      </c>
      <c r="D19" s="1132"/>
      <c r="E19" s="1154">
        <v>0.9</v>
      </c>
      <c r="F19" s="1133" t="s">
        <v>1452</v>
      </c>
      <c r="G19" s="1134"/>
      <c r="H19" s="1105"/>
      <c r="I19" s="1105"/>
    </row>
    <row r="20" spans="1:9" s="1600" customFormat="1" ht="19.5" customHeight="1">
      <c r="A20" s="3424"/>
      <c r="B20" s="3424"/>
      <c r="C20" s="1131" t="s">
        <v>1453</v>
      </c>
      <c r="D20" s="1132"/>
      <c r="E20" s="1154">
        <v>1.1000000000000001</v>
      </c>
      <c r="F20" s="1133" t="s">
        <v>1454</v>
      </c>
      <c r="G20" s="1134"/>
      <c r="H20" s="1105"/>
      <c r="I20" s="1105"/>
    </row>
    <row r="21" spans="1:9" s="1600" customFormat="1" ht="19.5" customHeight="1">
      <c r="A21" s="3424"/>
      <c r="B21" s="3424"/>
      <c r="C21" s="1131" t="s">
        <v>1455</v>
      </c>
      <c r="D21" s="1132"/>
      <c r="E21" s="1154">
        <v>0.8</v>
      </c>
      <c r="F21" s="1133" t="s">
        <v>1456</v>
      </c>
      <c r="G21" s="1134"/>
      <c r="H21" s="1105"/>
      <c r="I21" s="1105"/>
    </row>
    <row r="22" spans="1:9" s="1600" customFormat="1" ht="19.5" customHeight="1">
      <c r="A22" s="3424"/>
      <c r="B22" s="3424"/>
      <c r="C22" s="1131" t="s">
        <v>1457</v>
      </c>
      <c r="D22" s="1132"/>
      <c r="E22" s="1154">
        <v>0.5</v>
      </c>
      <c r="F22" s="1133"/>
      <c r="G22" s="1134"/>
      <c r="H22" s="1105"/>
      <c r="I22" s="1105"/>
    </row>
    <row r="23" spans="1:9" s="1600" customFormat="1" ht="19.5" customHeight="1">
      <c r="A23" s="3424" t="s">
        <v>1030</v>
      </c>
      <c r="B23" s="1154" t="s">
        <v>1447</v>
      </c>
      <c r="C23" s="1131" t="s">
        <v>1458</v>
      </c>
      <c r="D23" s="1132"/>
      <c r="E23" s="1154">
        <v>1</v>
      </c>
      <c r="F23" s="1133" t="s">
        <v>1459</v>
      </c>
      <c r="G23" s="1134"/>
      <c r="H23" s="1105"/>
      <c r="I23" s="1105"/>
    </row>
    <row r="24" spans="1:9" s="1600" customFormat="1" ht="19.5" customHeight="1">
      <c r="A24" s="3424"/>
      <c r="B24" s="3424" t="s">
        <v>1450</v>
      </c>
      <c r="C24" s="1131" t="s">
        <v>1460</v>
      </c>
      <c r="D24" s="1132"/>
      <c r="E24" s="1154">
        <v>0.5</v>
      </c>
      <c r="F24" s="1133"/>
      <c r="G24" s="1134"/>
      <c r="H24" s="1105"/>
      <c r="I24" s="1105"/>
    </row>
    <row r="25" spans="1:9" s="1600" customFormat="1" ht="19.5" customHeight="1">
      <c r="A25" s="3424"/>
      <c r="B25" s="3424"/>
      <c r="C25" s="1131" t="s">
        <v>1461</v>
      </c>
      <c r="D25" s="1132"/>
      <c r="E25" s="1154">
        <v>1.1000000000000001</v>
      </c>
      <c r="F25" s="1133"/>
      <c r="G25" s="1134"/>
      <c r="H25" s="1105"/>
      <c r="I25" s="1105"/>
    </row>
    <row r="26" spans="1:9" s="1600" customFormat="1" ht="19.5" customHeight="1">
      <c r="A26" s="3424"/>
      <c r="B26" s="3424"/>
      <c r="C26" s="1131" t="s">
        <v>1462</v>
      </c>
      <c r="D26" s="1132"/>
      <c r="E26" s="1154">
        <v>1.1000000000000001</v>
      </c>
      <c r="F26" s="1133"/>
      <c r="G26" s="1134"/>
      <c r="H26" s="1105"/>
      <c r="I26" s="1105"/>
    </row>
    <row r="27" spans="1:9" s="1600" customFormat="1" ht="19.5" customHeight="1">
      <c r="A27" s="3424"/>
      <c r="B27" s="3424"/>
      <c r="C27" s="1131" t="s">
        <v>1463</v>
      </c>
      <c r="D27" s="1132"/>
      <c r="E27" s="1154">
        <v>0.9</v>
      </c>
      <c r="F27" s="1133" t="s">
        <v>1464</v>
      </c>
      <c r="G27" s="1134"/>
      <c r="H27" s="1105"/>
      <c r="I27" s="1105"/>
    </row>
    <row r="28" spans="1:9" s="1600" customFormat="1" ht="19.5" customHeight="1">
      <c r="A28" s="3424"/>
      <c r="B28" s="3424"/>
      <c r="C28" s="1131" t="s">
        <v>1465</v>
      </c>
      <c r="D28" s="1132"/>
      <c r="E28" s="1154">
        <v>0.9</v>
      </c>
      <c r="F28" s="1133" t="s">
        <v>1466</v>
      </c>
      <c r="G28" s="1134"/>
      <c r="H28" s="1105"/>
      <c r="I28" s="1105"/>
    </row>
    <row r="29" spans="1:9" s="1600" customFormat="1" ht="19.5" customHeight="1">
      <c r="A29" s="3424"/>
      <c r="B29" s="3424"/>
      <c r="C29" s="1131" t="s">
        <v>1467</v>
      </c>
      <c r="D29" s="1132"/>
      <c r="E29" s="1154">
        <v>0.9</v>
      </c>
      <c r="F29" s="1133" t="s">
        <v>1468</v>
      </c>
      <c r="G29" s="1134"/>
      <c r="H29" s="1105"/>
      <c r="I29" s="1105"/>
    </row>
    <row r="30" spans="1:9" s="1600" customFormat="1" ht="19.5" customHeight="1">
      <c r="A30" s="3424"/>
      <c r="B30" s="3424"/>
      <c r="C30" s="1131" t="s">
        <v>1469</v>
      </c>
      <c r="D30" s="1132"/>
      <c r="E30" s="1154">
        <v>0.9</v>
      </c>
      <c r="F30" s="1133" t="s">
        <v>1470</v>
      </c>
      <c r="G30" s="1134"/>
      <c r="H30" s="1105"/>
      <c r="I30" s="1105"/>
    </row>
    <row r="31" spans="1:9" s="1600" customFormat="1" ht="19.5" customHeight="1">
      <c r="A31" s="3424"/>
      <c r="B31" s="3424"/>
      <c r="C31" s="1131" t="s">
        <v>1471</v>
      </c>
      <c r="D31" s="1132"/>
      <c r="E31" s="1154">
        <v>0.8</v>
      </c>
      <c r="F31" s="1133" t="s">
        <v>1472</v>
      </c>
      <c r="G31" s="1134"/>
      <c r="H31" s="1105"/>
      <c r="I31" s="1105"/>
    </row>
    <row r="32" spans="1:9" s="1600" customFormat="1" ht="19.5" customHeight="1">
      <c r="A32" s="3424"/>
      <c r="B32" s="3424"/>
      <c r="C32" s="1131" t="s">
        <v>1473</v>
      </c>
      <c r="D32" s="1132"/>
      <c r="E32" s="1154">
        <v>0.8</v>
      </c>
      <c r="F32" s="1133" t="s">
        <v>1474</v>
      </c>
      <c r="G32" s="1134"/>
      <c r="H32" s="1105"/>
      <c r="I32" s="1105"/>
    </row>
    <row r="33" spans="1:9" s="1600" customFormat="1" ht="19.5" customHeight="1">
      <c r="A33" s="3424" t="s">
        <v>1475</v>
      </c>
      <c r="B33" s="1154" t="s">
        <v>1447</v>
      </c>
      <c r="C33" s="1131" t="s">
        <v>1476</v>
      </c>
      <c r="D33" s="1132"/>
      <c r="E33" s="1154">
        <v>1</v>
      </c>
      <c r="F33" s="1133" t="s">
        <v>1477</v>
      </c>
      <c r="G33" s="1134"/>
      <c r="H33" s="1105"/>
      <c r="I33" s="1105"/>
    </row>
    <row r="34" spans="1:9" s="1600" customFormat="1" ht="19.5" customHeight="1">
      <c r="A34" s="3424"/>
      <c r="B34" s="1154" t="s">
        <v>1450</v>
      </c>
      <c r="C34" s="1131" t="s">
        <v>1478</v>
      </c>
      <c r="D34" s="1132"/>
      <c r="E34" s="1154">
        <v>1.5</v>
      </c>
      <c r="F34" s="1133" t="s">
        <v>1479</v>
      </c>
      <c r="G34" s="1134"/>
      <c r="H34" s="1105"/>
      <c r="I34" s="1105"/>
    </row>
    <row r="35" spans="1:9" s="1600" customFormat="1" ht="19.5" customHeight="1">
      <c r="A35" s="3424" t="s">
        <v>1433</v>
      </c>
      <c r="B35" s="1154" t="s">
        <v>1447</v>
      </c>
      <c r="C35" s="1131" t="s">
        <v>1480</v>
      </c>
      <c r="D35" s="1132"/>
      <c r="E35" s="1154">
        <v>1</v>
      </c>
      <c r="F35" s="1133" t="s">
        <v>1481</v>
      </c>
      <c r="G35" s="1134"/>
      <c r="H35" s="1105"/>
      <c r="I35" s="1105"/>
    </row>
    <row r="36" spans="1:9" s="1600" customFormat="1" ht="19.5" customHeight="1">
      <c r="A36" s="3424"/>
      <c r="B36" s="3424" t="s">
        <v>1450</v>
      </c>
      <c r="C36" s="1131" t="s">
        <v>1482</v>
      </c>
      <c r="D36" s="1132"/>
      <c r="E36" s="1154">
        <v>1</v>
      </c>
      <c r="F36" s="1133" t="s">
        <v>1483</v>
      </c>
      <c r="G36" s="1134"/>
      <c r="H36" s="1105"/>
      <c r="I36" s="1105"/>
    </row>
    <row r="37" spans="1:9" s="1600" customFormat="1" ht="19.5" customHeight="1">
      <c r="A37" s="3424"/>
      <c r="B37" s="3424"/>
      <c r="C37" s="1131" t="s">
        <v>1484</v>
      </c>
      <c r="D37" s="1132"/>
      <c r="E37" s="1154">
        <v>1.5</v>
      </c>
      <c r="F37" s="1133" t="s">
        <v>1485</v>
      </c>
      <c r="G37" s="1134"/>
      <c r="H37" s="1105"/>
      <c r="I37" s="1105"/>
    </row>
    <row r="38" spans="1:9" s="1600" customFormat="1" ht="19.5" customHeight="1">
      <c r="A38" s="3424"/>
      <c r="B38" s="3424"/>
      <c r="C38" s="1131" t="s">
        <v>1486</v>
      </c>
      <c r="D38" s="1132"/>
      <c r="E38" s="1154">
        <v>1</v>
      </c>
      <c r="F38" s="1133" t="s">
        <v>1487</v>
      </c>
      <c r="G38" s="1134"/>
      <c r="H38" s="1105"/>
      <c r="I38" s="1105"/>
    </row>
    <row r="39" spans="1:9" s="1600" customFormat="1" ht="19.5" customHeight="1">
      <c r="A39" s="3424"/>
      <c r="B39" s="3424"/>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4" t="s">
        <v>1502</v>
      </c>
      <c r="C61" s="1068" t="s">
        <v>1503</v>
      </c>
      <c r="D61" s="1068" t="s">
        <v>1504</v>
      </c>
      <c r="E61" s="1139">
        <v>0.5</v>
      </c>
      <c r="F61" s="1154">
        <v>80</v>
      </c>
      <c r="H61" s="1105">
        <f>SUMIF(C59:C119,基准地价!C8,E59:E119)</f>
        <v>0</v>
      </c>
    </row>
    <row r="62" spans="1:8" s="1105" customFormat="1" ht="24">
      <c r="A62" s="1154">
        <v>2</v>
      </c>
      <c r="B62" s="3424"/>
      <c r="C62" s="1068" t="s">
        <v>1505</v>
      </c>
      <c r="D62" s="1068" t="s">
        <v>1506</v>
      </c>
      <c r="E62" s="1139">
        <v>0.5</v>
      </c>
      <c r="F62" s="1154">
        <v>80</v>
      </c>
    </row>
    <row r="63" spans="1:8" s="1105" customFormat="1" ht="36">
      <c r="A63" s="1154">
        <v>3</v>
      </c>
      <c r="B63" s="3424"/>
      <c r="C63" s="1068" t="s">
        <v>1507</v>
      </c>
      <c r="D63" s="1068" t="s">
        <v>1508</v>
      </c>
      <c r="E63" s="1139">
        <v>0.5</v>
      </c>
      <c r="F63" s="1154">
        <v>80</v>
      </c>
    </row>
    <row r="64" spans="1:8" s="1105" customFormat="1" ht="36">
      <c r="A64" s="1154">
        <v>4</v>
      </c>
      <c r="B64" s="3424"/>
      <c r="C64" s="1068" t="s">
        <v>1509</v>
      </c>
      <c r="D64" s="1068" t="s">
        <v>1510</v>
      </c>
      <c r="E64" s="1139">
        <v>0.4</v>
      </c>
      <c r="F64" s="1154">
        <v>60</v>
      </c>
    </row>
    <row r="65" spans="1:6" s="1105" customFormat="1" ht="36">
      <c r="A65" s="1154">
        <v>5</v>
      </c>
      <c r="B65" s="3424"/>
      <c r="C65" s="1068" t="s">
        <v>1511</v>
      </c>
      <c r="D65" s="1068" t="s">
        <v>1512</v>
      </c>
      <c r="E65" s="1139">
        <v>0.2</v>
      </c>
      <c r="F65" s="1154">
        <v>30</v>
      </c>
    </row>
    <row r="66" spans="1:6" s="1105" customFormat="1" ht="36">
      <c r="A66" s="1154">
        <v>6</v>
      </c>
      <c r="B66" s="3424"/>
      <c r="C66" s="1068" t="s">
        <v>1513</v>
      </c>
      <c r="D66" s="1068" t="s">
        <v>1514</v>
      </c>
      <c r="E66" s="1139">
        <v>0.3</v>
      </c>
      <c r="F66" s="1154">
        <v>50</v>
      </c>
    </row>
    <row r="67" spans="1:6" s="1105" customFormat="1" ht="36">
      <c r="A67" s="1154">
        <v>7</v>
      </c>
      <c r="B67" s="3424"/>
      <c r="C67" s="1068" t="s">
        <v>1515</v>
      </c>
      <c r="D67" s="1068" t="s">
        <v>1516</v>
      </c>
      <c r="E67" s="1139">
        <v>0.2</v>
      </c>
      <c r="F67" s="1154">
        <v>30</v>
      </c>
    </row>
    <row r="68" spans="1:6" s="1105" customFormat="1" ht="36">
      <c r="A68" s="1154">
        <v>8</v>
      </c>
      <c r="B68" s="3424"/>
      <c r="C68" s="1068" t="s">
        <v>1517</v>
      </c>
      <c r="D68" s="1068" t="s">
        <v>1518</v>
      </c>
      <c r="E68" s="1139">
        <v>0.2</v>
      </c>
      <c r="F68" s="1154">
        <v>30</v>
      </c>
    </row>
    <row r="69" spans="1:6" s="1105" customFormat="1" ht="36">
      <c r="A69" s="1154">
        <v>9</v>
      </c>
      <c r="B69" s="3424"/>
      <c r="C69" s="1068" t="s">
        <v>1519</v>
      </c>
      <c r="D69" s="1068" t="s">
        <v>1520</v>
      </c>
      <c r="E69" s="1139">
        <v>0.2</v>
      </c>
      <c r="F69" s="1154">
        <v>30</v>
      </c>
    </row>
    <row r="70" spans="1:6" s="1105" customFormat="1" ht="48">
      <c r="A70" s="1154">
        <v>10</v>
      </c>
      <c r="B70" s="3424"/>
      <c r="C70" s="1068" t="s">
        <v>1521</v>
      </c>
      <c r="D70" s="1068" t="s">
        <v>1522</v>
      </c>
      <c r="E70" s="1139">
        <v>0.2</v>
      </c>
      <c r="F70" s="1154">
        <v>30</v>
      </c>
    </row>
    <row r="71" spans="1:6" s="1105" customFormat="1" ht="48">
      <c r="A71" s="1154">
        <v>11</v>
      </c>
      <c r="B71" s="3424"/>
      <c r="C71" s="1068" t="s">
        <v>1523</v>
      </c>
      <c r="D71" s="1068" t="s">
        <v>1524</v>
      </c>
      <c r="E71" s="1139">
        <v>0.2</v>
      </c>
      <c r="F71" s="1154">
        <v>30</v>
      </c>
    </row>
    <row r="72" spans="1:6" s="1105" customFormat="1" ht="36">
      <c r="A72" s="1154">
        <v>12</v>
      </c>
      <c r="B72" s="3424"/>
      <c r="C72" s="1068" t="s">
        <v>1525</v>
      </c>
      <c r="D72" s="1068" t="s">
        <v>1526</v>
      </c>
      <c r="E72" s="1139">
        <v>0.5</v>
      </c>
      <c r="F72" s="1154">
        <v>80</v>
      </c>
    </row>
    <row r="73" spans="1:6" s="1105" customFormat="1" ht="24">
      <c r="A73" s="1154">
        <v>13</v>
      </c>
      <c r="B73" s="3424"/>
      <c r="C73" s="1068" t="s">
        <v>1527</v>
      </c>
      <c r="D73" s="1068" t="s">
        <v>1528</v>
      </c>
      <c r="E73" s="1139">
        <v>0.4</v>
      </c>
      <c r="F73" s="1154">
        <v>60</v>
      </c>
    </row>
    <row r="74" spans="1:6" s="1105" customFormat="1" ht="24">
      <c r="A74" s="1154">
        <v>14</v>
      </c>
      <c r="B74" s="3424"/>
      <c r="C74" s="1068" t="s">
        <v>1529</v>
      </c>
      <c r="D74" s="1068" t="s">
        <v>1530</v>
      </c>
      <c r="E74" s="1139">
        <v>0.2</v>
      </c>
      <c r="F74" s="1154">
        <v>30</v>
      </c>
    </row>
    <row r="75" spans="1:6" s="1105" customFormat="1" ht="24">
      <c r="A75" s="1154">
        <v>15</v>
      </c>
      <c r="B75" s="3424"/>
      <c r="C75" s="1068" t="s">
        <v>1531</v>
      </c>
      <c r="D75" s="1068" t="s">
        <v>1532</v>
      </c>
      <c r="E75" s="1139">
        <v>0.2</v>
      </c>
      <c r="F75" s="1154">
        <v>30</v>
      </c>
    </row>
    <row r="76" spans="1:6" s="1105" customFormat="1" ht="24">
      <c r="A76" s="1154">
        <v>16</v>
      </c>
      <c r="B76" s="3424" t="s">
        <v>1533</v>
      </c>
      <c r="C76" s="1068" t="s">
        <v>1534</v>
      </c>
      <c r="D76" s="1068" t="s">
        <v>1535</v>
      </c>
      <c r="E76" s="1139">
        <v>0.5</v>
      </c>
      <c r="F76" s="1154">
        <v>80</v>
      </c>
    </row>
    <row r="77" spans="1:6" s="1105" customFormat="1" ht="24">
      <c r="A77" s="1154">
        <v>17</v>
      </c>
      <c r="B77" s="3424"/>
      <c r="C77" s="1068" t="s">
        <v>1536</v>
      </c>
      <c r="D77" s="1068" t="s">
        <v>1537</v>
      </c>
      <c r="E77" s="1139">
        <v>0.5</v>
      </c>
      <c r="F77" s="1154">
        <v>80</v>
      </c>
    </row>
    <row r="78" spans="1:6" s="1105" customFormat="1" ht="24">
      <c r="A78" s="1154">
        <v>18</v>
      </c>
      <c r="B78" s="3424"/>
      <c r="C78" s="1068" t="s">
        <v>1538</v>
      </c>
      <c r="D78" s="1068" t="s">
        <v>1539</v>
      </c>
      <c r="E78" s="1139">
        <v>0.2</v>
      </c>
      <c r="F78" s="1154">
        <v>30</v>
      </c>
    </row>
    <row r="79" spans="1:6" s="1105" customFormat="1" ht="24">
      <c r="A79" s="1154">
        <v>19</v>
      </c>
      <c r="B79" s="3424"/>
      <c r="C79" s="1068" t="s">
        <v>1540</v>
      </c>
      <c r="D79" s="1068" t="s">
        <v>1541</v>
      </c>
      <c r="E79" s="1139">
        <v>0.5</v>
      </c>
      <c r="F79" s="1154">
        <v>80</v>
      </c>
    </row>
    <row r="80" spans="1:6" s="1105" customFormat="1" ht="36">
      <c r="A80" s="1154">
        <v>20</v>
      </c>
      <c r="B80" s="3424"/>
      <c r="C80" s="1068" t="s">
        <v>1542</v>
      </c>
      <c r="D80" s="1068" t="s">
        <v>1543</v>
      </c>
      <c r="E80" s="1139">
        <v>0.2</v>
      </c>
      <c r="F80" s="1154">
        <v>30</v>
      </c>
    </row>
    <row r="81" spans="1:6" s="1105" customFormat="1" ht="36">
      <c r="A81" s="1154">
        <v>21</v>
      </c>
      <c r="B81" s="3424"/>
      <c r="C81" s="1068" t="s">
        <v>1544</v>
      </c>
      <c r="D81" s="1068" t="s">
        <v>1545</v>
      </c>
      <c r="E81" s="1139">
        <v>0.2</v>
      </c>
      <c r="F81" s="1154">
        <v>30</v>
      </c>
    </row>
    <row r="82" spans="1:6" s="1105" customFormat="1" ht="48">
      <c r="A82" s="1154">
        <v>22</v>
      </c>
      <c r="B82" s="3424"/>
      <c r="C82" s="1068" t="s">
        <v>1546</v>
      </c>
      <c r="D82" s="1068" t="s">
        <v>1547</v>
      </c>
      <c r="E82" s="1139">
        <v>0.2</v>
      </c>
      <c r="F82" s="1154">
        <v>30</v>
      </c>
    </row>
    <row r="83" spans="1:6" s="1105" customFormat="1" ht="48">
      <c r="A83" s="1154">
        <v>23</v>
      </c>
      <c r="B83" s="3424"/>
      <c r="C83" s="1068" t="s">
        <v>1548</v>
      </c>
      <c r="D83" s="1068" t="s">
        <v>1549</v>
      </c>
      <c r="E83" s="1139">
        <v>0.2</v>
      </c>
      <c r="F83" s="1154">
        <v>30</v>
      </c>
    </row>
    <row r="84" spans="1:6" s="1105" customFormat="1" ht="36">
      <c r="A84" s="1154">
        <v>24</v>
      </c>
      <c r="B84" s="3424"/>
      <c r="C84" s="1068" t="s">
        <v>1550</v>
      </c>
      <c r="D84" s="1068" t="s">
        <v>1551</v>
      </c>
      <c r="E84" s="1139">
        <v>0.2</v>
      </c>
      <c r="F84" s="1154">
        <v>30</v>
      </c>
    </row>
    <row r="85" spans="1:6" s="1105" customFormat="1" ht="36">
      <c r="A85" s="1154">
        <v>25</v>
      </c>
      <c r="B85" s="3424"/>
      <c r="C85" s="1068" t="s">
        <v>1552</v>
      </c>
      <c r="D85" s="1068" t="s">
        <v>1553</v>
      </c>
      <c r="E85" s="1139">
        <v>0.5</v>
      </c>
      <c r="F85" s="1154">
        <v>80</v>
      </c>
    </row>
    <row r="86" spans="1:6" s="1105" customFormat="1" ht="36">
      <c r="A86" s="1154">
        <v>26</v>
      </c>
      <c r="B86" s="3424"/>
      <c r="C86" s="1068" t="s">
        <v>1554</v>
      </c>
      <c r="D86" s="1068" t="s">
        <v>1555</v>
      </c>
      <c r="E86" s="1139">
        <v>0.2</v>
      </c>
      <c r="F86" s="1154">
        <v>30</v>
      </c>
    </row>
    <row r="87" spans="1:6" s="1105" customFormat="1" ht="36">
      <c r="A87" s="1154">
        <v>27</v>
      </c>
      <c r="B87" s="3424"/>
      <c r="C87" s="1068" t="s">
        <v>1556</v>
      </c>
      <c r="D87" s="1068" t="s">
        <v>1557</v>
      </c>
      <c r="E87" s="1139">
        <v>0.2</v>
      </c>
      <c r="F87" s="1154">
        <v>30</v>
      </c>
    </row>
    <row r="88" spans="1:6" s="1105" customFormat="1" ht="36">
      <c r="A88" s="1154">
        <v>28</v>
      </c>
      <c r="B88" s="3424"/>
      <c r="C88" s="1068" t="s">
        <v>1558</v>
      </c>
      <c r="D88" s="1068" t="s">
        <v>1559</v>
      </c>
      <c r="E88" s="1139">
        <v>0.2</v>
      </c>
      <c r="F88" s="1154">
        <v>30</v>
      </c>
    </row>
    <row r="89" spans="1:6" s="1105" customFormat="1" ht="24">
      <c r="A89" s="1154">
        <v>29</v>
      </c>
      <c r="B89" s="3424"/>
      <c r="C89" s="1068" t="s">
        <v>1560</v>
      </c>
      <c r="D89" s="1068" t="s">
        <v>1561</v>
      </c>
      <c r="E89" s="1139">
        <v>0.2</v>
      </c>
      <c r="F89" s="1154">
        <v>30</v>
      </c>
    </row>
    <row r="90" spans="1:6" s="1105" customFormat="1" ht="24">
      <c r="A90" s="1154">
        <v>30</v>
      </c>
      <c r="B90" s="3424"/>
      <c r="C90" s="1068" t="s">
        <v>1562</v>
      </c>
      <c r="D90" s="1068" t="s">
        <v>1563</v>
      </c>
      <c r="E90" s="1139">
        <v>0.2</v>
      </c>
      <c r="F90" s="1154">
        <v>30</v>
      </c>
    </row>
    <row r="91" spans="1:6" s="1105" customFormat="1" ht="36">
      <c r="A91" s="1154">
        <v>31</v>
      </c>
      <c r="B91" s="3424"/>
      <c r="C91" s="1068" t="s">
        <v>1564</v>
      </c>
      <c r="D91" s="1068" t="s">
        <v>1565</v>
      </c>
      <c r="E91" s="1139">
        <v>0.2</v>
      </c>
      <c r="F91" s="1154">
        <v>30</v>
      </c>
    </row>
    <row r="92" spans="1:6" s="1105" customFormat="1" ht="24">
      <c r="A92" s="1154">
        <v>32</v>
      </c>
      <c r="B92" s="3424" t="s">
        <v>1566</v>
      </c>
      <c r="C92" s="1154" t="s">
        <v>1567</v>
      </c>
      <c r="D92" s="1068" t="s">
        <v>1568</v>
      </c>
      <c r="E92" s="1139">
        <v>0.2</v>
      </c>
      <c r="F92" s="1154">
        <v>30</v>
      </c>
    </row>
    <row r="93" spans="1:6" s="1105" customFormat="1" ht="36">
      <c r="A93" s="1154">
        <v>33</v>
      </c>
      <c r="B93" s="3424"/>
      <c r="C93" s="1154" t="s">
        <v>1569</v>
      </c>
      <c r="D93" s="1068" t="s">
        <v>1570</v>
      </c>
      <c r="E93" s="1139">
        <v>0.2</v>
      </c>
      <c r="F93" s="1154">
        <v>30</v>
      </c>
    </row>
    <row r="94" spans="1:6" s="1105" customFormat="1" ht="48">
      <c r="A94" s="1154">
        <v>34</v>
      </c>
      <c r="B94" s="3424"/>
      <c r="C94" s="1154" t="s">
        <v>1571</v>
      </c>
      <c r="D94" s="1068" t="s">
        <v>1572</v>
      </c>
      <c r="E94" s="1139">
        <v>0.2</v>
      </c>
      <c r="F94" s="1154">
        <v>30</v>
      </c>
    </row>
    <row r="95" spans="1:6" s="1105" customFormat="1" ht="36">
      <c r="A95" s="1154">
        <v>35</v>
      </c>
      <c r="B95" s="3424"/>
      <c r="C95" s="1154" t="s">
        <v>1573</v>
      </c>
      <c r="D95" s="1068" t="s">
        <v>1574</v>
      </c>
      <c r="E95" s="1139">
        <v>0.2</v>
      </c>
      <c r="F95" s="1154">
        <v>30</v>
      </c>
    </row>
    <row r="96" spans="1:6" s="1105" customFormat="1" ht="48">
      <c r="A96" s="1154">
        <v>36</v>
      </c>
      <c r="B96" s="3424"/>
      <c r="C96" s="1068" t="s">
        <v>1575</v>
      </c>
      <c r="D96" s="1068" t="s">
        <v>1576</v>
      </c>
      <c r="E96" s="1139">
        <v>0.2</v>
      </c>
      <c r="F96" s="1154">
        <v>30</v>
      </c>
    </row>
    <row r="97" spans="1:6" s="1105" customFormat="1" ht="36">
      <c r="A97" s="1154">
        <v>37</v>
      </c>
      <c r="B97" s="3424"/>
      <c r="C97" s="1154" t="s">
        <v>1577</v>
      </c>
      <c r="D97" s="1068" t="s">
        <v>1578</v>
      </c>
      <c r="E97" s="1139">
        <v>0.2</v>
      </c>
      <c r="F97" s="1154">
        <v>30</v>
      </c>
    </row>
    <row r="98" spans="1:6" s="1105" customFormat="1" ht="36">
      <c r="A98" s="1154">
        <v>38</v>
      </c>
      <c r="B98" s="3424"/>
      <c r="C98" s="1154" t="s">
        <v>1579</v>
      </c>
      <c r="D98" s="1068" t="s">
        <v>1580</v>
      </c>
      <c r="E98" s="1139">
        <v>0.2</v>
      </c>
      <c r="F98" s="1154">
        <v>30</v>
      </c>
    </row>
    <row r="99" spans="1:6" s="1105" customFormat="1" ht="36">
      <c r="A99" s="1154">
        <v>39</v>
      </c>
      <c r="B99" s="3424" t="s">
        <v>1581</v>
      </c>
      <c r="C99" s="1154" t="s">
        <v>1582</v>
      </c>
      <c r="D99" s="1068" t="s">
        <v>1583</v>
      </c>
      <c r="E99" s="1139">
        <v>0.3</v>
      </c>
      <c r="F99" s="1154">
        <v>50</v>
      </c>
    </row>
    <row r="100" spans="1:6" s="1105" customFormat="1" ht="24">
      <c r="A100" s="1154">
        <v>40</v>
      </c>
      <c r="B100" s="3424"/>
      <c r="C100" s="1154" t="s">
        <v>1584</v>
      </c>
      <c r="D100" s="1068" t="s">
        <v>1585</v>
      </c>
      <c r="E100" s="1139">
        <v>0.2</v>
      </c>
      <c r="F100" s="1154">
        <v>30</v>
      </c>
    </row>
    <row r="101" spans="1:6" s="1105" customFormat="1" ht="36">
      <c r="A101" s="1154">
        <v>41</v>
      </c>
      <c r="B101" s="342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4" t="s">
        <v>1596</v>
      </c>
      <c r="C105" s="1154" t="s">
        <v>1597</v>
      </c>
      <c r="D105" s="1068" t="s">
        <v>1598</v>
      </c>
      <c r="E105" s="1139">
        <v>0.2</v>
      </c>
      <c r="F105" s="1154">
        <v>30</v>
      </c>
    </row>
    <row r="106" spans="1:6" s="1105" customFormat="1" ht="36">
      <c r="A106" s="1154">
        <v>46</v>
      </c>
      <c r="B106" s="3424"/>
      <c r="C106" s="1154" t="s">
        <v>1599</v>
      </c>
      <c r="D106" s="1068" t="s">
        <v>1600</v>
      </c>
      <c r="E106" s="1139">
        <v>0.2</v>
      </c>
      <c r="F106" s="1154">
        <v>30</v>
      </c>
    </row>
    <row r="107" spans="1:6" s="1105" customFormat="1" ht="36">
      <c r="A107" s="1154">
        <v>47</v>
      </c>
      <c r="B107" s="3424" t="s">
        <v>1601</v>
      </c>
      <c r="C107" s="1154" t="s">
        <v>1602</v>
      </c>
      <c r="D107" s="1068" t="s">
        <v>1603</v>
      </c>
      <c r="E107" s="1139">
        <v>0.3</v>
      </c>
      <c r="F107" s="1154">
        <v>50</v>
      </c>
    </row>
    <row r="108" spans="1:6" s="1105" customFormat="1" ht="36">
      <c r="A108" s="1154">
        <v>48</v>
      </c>
      <c r="B108" s="342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4" t="s">
        <v>1612</v>
      </c>
      <c r="C111" s="1154" t="s">
        <v>1613</v>
      </c>
      <c r="D111" s="1068" t="s">
        <v>1614</v>
      </c>
      <c r="E111" s="1139">
        <v>0.2</v>
      </c>
      <c r="F111" s="1154">
        <v>30</v>
      </c>
    </row>
    <row r="112" spans="1:6" s="1105" customFormat="1" ht="24">
      <c r="A112" s="1154">
        <v>52</v>
      </c>
      <c r="B112" s="3424"/>
      <c r="C112" s="1154" t="s">
        <v>1615</v>
      </c>
      <c r="D112" s="1068" t="s">
        <v>1616</v>
      </c>
      <c r="E112" s="1139">
        <v>0.2</v>
      </c>
      <c r="F112" s="1154">
        <v>30</v>
      </c>
    </row>
    <row r="113" spans="1:14" s="1105" customFormat="1" ht="24">
      <c r="A113" s="1154">
        <v>53</v>
      </c>
      <c r="B113" s="342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4" t="s">
        <v>1625</v>
      </c>
      <c r="C116" s="1154" t="s">
        <v>1626</v>
      </c>
      <c r="D116" s="1068" t="s">
        <v>1627</v>
      </c>
      <c r="E116" s="1139">
        <v>0.2</v>
      </c>
      <c r="F116" s="1154">
        <v>30</v>
      </c>
    </row>
    <row r="117" spans="1:14" ht="36">
      <c r="A117" s="1154">
        <v>57</v>
      </c>
      <c r="B117" s="342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3" t="s">
        <v>1634</v>
      </c>
      <c r="B121" s="3423"/>
      <c r="C121" s="3423"/>
      <c r="D121" s="3423"/>
      <c r="E121" s="3423"/>
      <c r="F121" s="3423"/>
      <c r="G121" s="3423"/>
      <c r="H121" s="3423"/>
      <c r="I121" s="3423"/>
      <c r="J121" s="342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6" t="s">
        <v>1040</v>
      </c>
      <c r="B1" s="3436"/>
      <c r="C1" s="3436"/>
      <c r="D1" s="3436"/>
      <c r="E1" s="3436"/>
      <c r="F1" s="3436"/>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7" t="s">
        <v>1053</v>
      </c>
      <c r="B2" s="3437"/>
      <c r="C2" s="3437"/>
      <c r="D2" s="3437"/>
      <c r="E2" s="3437"/>
      <c r="F2" s="3437"/>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8"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9"/>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40" t="s">
        <v>2082</v>
      </c>
      <c r="B1" s="3440"/>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2955</v>
      </c>
      <c r="B1" s="3107"/>
      <c r="C1" s="3107"/>
      <c r="D1" s="3107"/>
      <c r="E1" s="3107"/>
      <c r="F1" s="3107"/>
    </row>
    <row r="2" spans="1:6" ht="14.25">
      <c r="A2" s="3108" t="s">
        <v>2950</v>
      </c>
      <c r="B2" s="3109" t="e">
        <f ca="1">SUMIF(B7:B14,"&lt;&gt;#ref!",B7:B14)</f>
        <v>#DIV/0!</v>
      </c>
      <c r="C2" s="3108" t="s">
        <v>2951</v>
      </c>
      <c r="D2" s="3107"/>
      <c r="E2" s="3107"/>
      <c r="F2" s="3107"/>
    </row>
    <row r="3" spans="1:6" ht="14.25">
      <c r="A3" s="3108" t="s">
        <v>2984</v>
      </c>
      <c r="B3" s="3109" t="e">
        <f ca="1">ROUND(B2*10000/E3,0)</f>
        <v>#DIV/0!</v>
      </c>
      <c r="C3" s="3108" t="s">
        <v>2081</v>
      </c>
      <c r="D3" s="3108" t="s">
        <v>2952</v>
      </c>
      <c r="E3" s="3109">
        <f ca="1">SUMIF(E7:E14,"&lt;&gt;#ref!",E7:E14)</f>
        <v>0</v>
      </c>
      <c r="F3" s="3107"/>
    </row>
    <row r="4" spans="1:6" ht="14.25">
      <c r="A4" s="3108" t="s">
        <v>2959</v>
      </c>
      <c r="B4" s="3109" t="e">
        <f ca="1">ROUND(B2*10000/E4,0)</f>
        <v>#DIV/0!</v>
      </c>
      <c r="C4" s="3108" t="s">
        <v>2081</v>
      </c>
      <c r="D4" s="3108" t="s">
        <v>2960</v>
      </c>
      <c r="E4" s="3109">
        <f ca="1">SUMIF(F7:F14,"&lt;&gt;#ref!",F7:F14)</f>
        <v>0</v>
      </c>
      <c r="F4" s="3107"/>
    </row>
    <row r="5" spans="1:6" ht="14.25">
      <c r="A5" s="3110"/>
      <c r="B5" s="1883"/>
      <c r="C5" s="1883"/>
      <c r="D5" s="1883"/>
      <c r="E5" s="1883"/>
      <c r="F5" s="3107"/>
    </row>
    <row r="6" spans="1:6" ht="28.5">
      <c r="A6" s="3111" t="s">
        <v>2956</v>
      </c>
      <c r="B6" s="3108" t="s">
        <v>2953</v>
      </c>
      <c r="C6" s="3109"/>
      <c r="D6" s="1883"/>
      <c r="E6" s="3108" t="s">
        <v>2954</v>
      </c>
      <c r="F6" s="3108" t="s">
        <v>2958</v>
      </c>
    </row>
    <row r="7" spans="1:6" ht="14.25">
      <c r="A7" s="260" t="s">
        <v>2957</v>
      </c>
      <c r="B7" s="3112" t="e">
        <f ca="1">SUMIF(INDIRECT("'"&amp;A7&amp;"'"&amp;"!A:A"),"总价",INDIRECT("'"&amp;A7&amp;"'"&amp;"!B:B"))</f>
        <v>#DIV/0!</v>
      </c>
      <c r="C7" s="3108" t="s">
        <v>2951</v>
      </c>
      <c r="D7" s="1883"/>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2951</v>
      </c>
      <c r="D8" s="1883"/>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2951</v>
      </c>
      <c r="D9" s="1883"/>
      <c r="E9" s="3113" t="e">
        <f t="shared" ca="1" si="1"/>
        <v>#REF!</v>
      </c>
      <c r="F9" s="3113" t="e">
        <f t="shared" ca="1" si="2"/>
        <v>#REF!</v>
      </c>
    </row>
    <row r="10" spans="1:6" ht="14.25">
      <c r="A10" s="260"/>
      <c r="B10" s="3112" t="e">
        <f t="shared" ca="1" si="0"/>
        <v>#REF!</v>
      </c>
      <c r="C10" s="3108" t="s">
        <v>2951</v>
      </c>
      <c r="D10" s="1883"/>
      <c r="E10" s="3113" t="e">
        <f t="shared" ca="1" si="1"/>
        <v>#REF!</v>
      </c>
      <c r="F10" s="3113" t="e">
        <f t="shared" ca="1" si="2"/>
        <v>#REF!</v>
      </c>
    </row>
    <row r="11" spans="1:6" ht="14.25">
      <c r="A11" s="260"/>
      <c r="B11" s="3112" t="e">
        <f t="shared" ca="1" si="0"/>
        <v>#REF!</v>
      </c>
      <c r="C11" s="3108" t="s">
        <v>2951</v>
      </c>
      <c r="D11" s="1883"/>
      <c r="E11" s="3113" t="e">
        <f t="shared" ca="1" si="1"/>
        <v>#REF!</v>
      </c>
      <c r="F11" s="3113" t="e">
        <f t="shared" ca="1" si="2"/>
        <v>#REF!</v>
      </c>
    </row>
    <row r="12" spans="1:6" ht="14.25">
      <c r="A12" s="260"/>
      <c r="B12" s="3112" t="e">
        <f t="shared" ca="1" si="0"/>
        <v>#REF!</v>
      </c>
      <c r="C12" s="3108" t="s">
        <v>2951</v>
      </c>
      <c r="D12" s="1883"/>
      <c r="E12" s="3113" t="e">
        <f t="shared" ca="1" si="1"/>
        <v>#REF!</v>
      </c>
      <c r="F12" s="3113" t="e">
        <f t="shared" ca="1" si="2"/>
        <v>#REF!</v>
      </c>
    </row>
    <row r="13" spans="1:6" ht="14.25">
      <c r="A13" s="260"/>
      <c r="B13" s="3112" t="e">
        <f t="shared" ca="1" si="0"/>
        <v>#REF!</v>
      </c>
      <c r="C13" s="3108" t="s">
        <v>2951</v>
      </c>
      <c r="D13" s="1883"/>
      <c r="E13" s="3113" t="e">
        <f t="shared" ca="1" si="1"/>
        <v>#REF!</v>
      </c>
      <c r="F13" s="3113" t="e">
        <f t="shared" ca="1" si="2"/>
        <v>#REF!</v>
      </c>
    </row>
    <row r="14" spans="1:6" ht="14.25">
      <c r="A14" s="3106"/>
      <c r="B14" s="3112" t="e">
        <f t="shared" ca="1" si="0"/>
        <v>#REF!</v>
      </c>
      <c r="C14" s="3108" t="s">
        <v>2951</v>
      </c>
      <c r="D14" s="1883"/>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2377</v>
      </c>
      <c r="F1" s="2390">
        <f ca="1">J54</f>
        <v>-2</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8" t="s">
        <v>2464</v>
      </c>
      <c r="E7" s="2492"/>
      <c r="F7" s="2493"/>
      <c r="G7" s="1593"/>
      <c r="H7" s="781">
        <v>1</v>
      </c>
      <c r="I7" s="782" t="s">
        <v>2461</v>
      </c>
      <c r="J7" s="53">
        <f ca="1">J8+J12+J14</f>
        <v>0</v>
      </c>
      <c r="K7" s="2498" t="s">
        <v>2464</v>
      </c>
      <c r="L7" s="2492"/>
      <c r="M7" s="2493"/>
    </row>
    <row r="8" spans="1:25" ht="18" customHeight="1">
      <c r="A8" s="1832" t="s">
        <v>1825</v>
      </c>
      <c r="B8" s="3442" t="s">
        <v>2466</v>
      </c>
      <c r="C8" s="1827">
        <f ca="1">ROUND(F8*F10*F9*(1-F11)/10000,0)</f>
        <v>0</v>
      </c>
      <c r="D8" s="1824" t="s">
        <v>2537</v>
      </c>
      <c r="E8" s="61" t="s">
        <v>637</v>
      </c>
      <c r="F8" s="785">
        <f ca="1">INDIRECT("'数据-取费表'!u"&amp;$G$1)</f>
        <v>0</v>
      </c>
      <c r="G8" s="1593"/>
      <c r="H8" s="2506" t="s">
        <v>1825</v>
      </c>
      <c r="I8" s="3442" t="s">
        <v>2466</v>
      </c>
      <c r="J8" s="783">
        <f ca="1">ROUND(M8*M10*M9*(1-M11)/10000,0)</f>
        <v>0</v>
      </c>
      <c r="K8" s="341" t="s">
        <v>2537</v>
      </c>
      <c r="L8" s="784" t="s">
        <v>1739</v>
      </c>
      <c r="M8" s="785">
        <f ca="1">INDIRECT("'数据-取费表'!z"&amp;$G$1)</f>
        <v>0</v>
      </c>
    </row>
    <row r="9" spans="1:25" ht="18" customHeight="1">
      <c r="A9" s="2502"/>
      <c r="B9" s="3443"/>
      <c r="C9" s="1828"/>
      <c r="D9" s="1825"/>
      <c r="E9" s="61" t="s">
        <v>638</v>
      </c>
      <c r="F9" s="785">
        <f ca="1">IF(INDIRECT("'数据-取费表'!ah"&amp;$G$1)="",INDIRECT("'数据-取费表'!k"&amp;$G$1),INDIRECT("'数据-取费表'!ah"&amp;$G$1))</f>
        <v>0</v>
      </c>
      <c r="G9" s="1593"/>
      <c r="H9" s="2491"/>
      <c r="I9" s="3443"/>
      <c r="J9" s="788"/>
      <c r="K9" s="789"/>
      <c r="L9" s="784" t="s">
        <v>1740</v>
      </c>
      <c r="M9" s="785">
        <f ca="1">F9</f>
        <v>0</v>
      </c>
    </row>
    <row r="10" spans="1:25" ht="18" customHeight="1">
      <c r="A10" s="2495"/>
      <c r="B10" s="3444"/>
      <c r="C10" s="1828"/>
      <c r="D10" s="1825"/>
      <c r="E10" s="61" t="s">
        <v>639</v>
      </c>
      <c r="F10" s="785">
        <f ca="1">INDIRECT("'数据-取费表'!ai"&amp;$G$1)</f>
        <v>0</v>
      </c>
      <c r="G10" s="1593"/>
      <c r="H10" s="2491"/>
      <c r="I10" s="3444"/>
      <c r="J10" s="788"/>
      <c r="K10" s="789"/>
      <c r="L10" s="784" t="s">
        <v>1741</v>
      </c>
      <c r="M10" s="785">
        <f ca="1">INDIRECT("'数据-取费表'!ai"&amp;$G$1)</f>
        <v>0</v>
      </c>
    </row>
    <row r="11" spans="1:25" ht="18" customHeight="1">
      <c r="A11" s="786"/>
      <c r="B11" s="3445"/>
      <c r="C11" s="1828"/>
      <c r="D11" s="1825"/>
      <c r="E11" s="61" t="s">
        <v>640</v>
      </c>
      <c r="F11" s="794">
        <f ca="1">INDIRECT("'数据-取费表'!w"&amp;$G$1)</f>
        <v>0</v>
      </c>
      <c r="G11" s="1593"/>
      <c r="H11" s="2507"/>
      <c r="I11" s="3444"/>
      <c r="J11" s="788"/>
      <c r="K11" s="789"/>
      <c r="L11" s="795" t="s">
        <v>1742</v>
      </c>
      <c r="M11" s="796">
        <f ca="1">INDIRECT("'数据-取费表'!ab"&amp;$G$1)</f>
        <v>0</v>
      </c>
    </row>
    <row r="12" spans="1:25" ht="18" customHeight="1">
      <c r="A12" s="1832" t="s">
        <v>1826</v>
      </c>
      <c r="B12" s="2496" t="s">
        <v>2462</v>
      </c>
      <c r="C12" s="799">
        <f ca="1">ROUND(IF(F12="押一",C8/12*F13,IF(F12="押二",C8/12*2*F13,IF(F12="押三",C8/12*3*F13,C13*F13))),0)</f>
        <v>0</v>
      </c>
      <c r="D12" s="2503" t="s">
        <v>2980</v>
      </c>
      <c r="E12" s="2500" t="s">
        <v>2467</v>
      </c>
      <c r="F12" s="2623"/>
      <c r="G12" s="1593"/>
      <c r="H12" s="2563" t="s">
        <v>1826</v>
      </c>
      <c r="I12" s="2568" t="s">
        <v>2462</v>
      </c>
      <c r="J12" s="783">
        <f ca="1">ROUND(IF(M12="押一",J8/12*M13,IF(M12="押二",J8/12*2*M13,IF(M12="押三",J8/12*3*M13,J13*M13))),0)</f>
        <v>0</v>
      </c>
      <c r="K12" s="2503" t="s">
        <v>2980</v>
      </c>
      <c r="L12" s="2500" t="s">
        <v>2467</v>
      </c>
      <c r="M12" s="2623"/>
    </row>
    <row r="13" spans="1:25" ht="18" customHeight="1">
      <c r="A13" s="790"/>
      <c r="B13" s="2497" t="s">
        <v>2576</v>
      </c>
      <c r="C13" s="2501"/>
      <c r="D13" s="789"/>
      <c r="E13" s="2500" t="s">
        <v>2459</v>
      </c>
      <c r="F13" s="796">
        <f ca="1">'数据-取费表'!B39</f>
        <v>1.4999999999999999E-2</v>
      </c>
      <c r="G13" s="1593"/>
      <c r="H13" s="2564"/>
      <c r="I13" s="2497" t="s">
        <v>2576</v>
      </c>
      <c r="J13" s="2501"/>
      <c r="K13" s="2565"/>
      <c r="L13" s="2500" t="s">
        <v>2459</v>
      </c>
      <c r="M13" s="2494">
        <f ca="1">'数据-取费表'!B39</f>
        <v>1.4999999999999999E-2</v>
      </c>
    </row>
    <row r="14" spans="1:25" ht="18" customHeight="1" thickBot="1">
      <c r="A14" s="2539" t="s">
        <v>2470</v>
      </c>
      <c r="B14" s="2540" t="s">
        <v>2463</v>
      </c>
      <c r="C14" s="2541"/>
      <c r="D14" s="2542"/>
      <c r="E14" s="2543"/>
      <c r="F14" s="2544"/>
      <c r="G14" s="1593"/>
      <c r="H14" s="2553" t="s">
        <v>2470</v>
      </c>
      <c r="I14" s="2566" t="s">
        <v>2463</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2828</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5.5000000000000007E-2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1.5</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73"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2" t="s">
        <v>2825</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2826</v>
      </c>
      <c r="C31" s="2546">
        <f ca="1">ROUND((C21+C22+C25+C28)/(1-F23-C26-C29-C30),0)</f>
        <v>0</v>
      </c>
      <c r="D31" s="2547"/>
      <c r="E31" s="2548"/>
      <c r="F31" s="2549"/>
      <c r="G31" s="1594"/>
      <c r="H31" s="823" t="s">
        <v>1873</v>
      </c>
      <c r="I31" s="3013" t="s">
        <v>2827</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5.5000000000000007E-2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1.5</v>
      </c>
      <c r="G36" s="2064"/>
      <c r="H36" s="2067"/>
      <c r="I36" s="3441"/>
      <c r="J36" s="2081"/>
      <c r="K36" s="2082"/>
      <c r="L36" s="2081"/>
      <c r="M36" s="2081"/>
    </row>
    <row r="37" spans="1:18" ht="18" customHeight="1">
      <c r="A37" s="815"/>
      <c r="B37" s="793"/>
      <c r="C37" s="69"/>
      <c r="D37" s="816"/>
      <c r="E37" s="784" t="s">
        <v>674</v>
      </c>
      <c r="F37" s="785">
        <f ca="1">INDIRECT("'数据-取费表'!r"&amp;$G$1)</f>
        <v>0</v>
      </c>
      <c r="G37" s="2064"/>
      <c r="H37" s="2067"/>
      <c r="I37" s="3441"/>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4" t="s">
        <v>2968</v>
      </c>
      <c r="F43" s="3125">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9">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6" t="s">
        <v>2971</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3162" t="str">
        <f ca="1">IF(M48="住宅",0,IF(L49&gt;J52,L61,J61))</f>
        <v>0</v>
      </c>
      <c r="O47" s="2396" t="s">
        <v>2413</v>
      </c>
      <c r="P47" s="1593"/>
      <c r="Q47" s="1605"/>
      <c r="R47" s="1593"/>
    </row>
    <row r="48" spans="1:18" s="2061" customFormat="1" ht="18" customHeight="1" thickBot="1">
      <c r="A48" s="2086"/>
      <c r="C48" s="2089"/>
      <c r="D48" s="2090"/>
      <c r="E48" s="2090"/>
      <c r="F48" s="2091"/>
      <c r="G48" s="2092"/>
      <c r="I48" s="3152" t="s">
        <v>2347</v>
      </c>
      <c r="J48" s="2383"/>
      <c r="K48" s="3159" t="s">
        <v>2352</v>
      </c>
      <c r="L48" s="3163">
        <f ca="1">INDIRECT("'数据-取费表'!d"&amp;$G$1)</f>
        <v>0</v>
      </c>
      <c r="M48" s="3123" t="str">
        <f>IF(ISNUMBER(FIND("住宅",C1)),"住宅","非住宅")</f>
        <v>非住宅</v>
      </c>
      <c r="O48" s="2397" t="s">
        <v>2378</v>
      </c>
      <c r="P48" s="2398" t="s">
        <v>2379</v>
      </c>
      <c r="Q48" s="2399" t="s">
        <v>2380</v>
      </c>
      <c r="R48" s="2398" t="s">
        <v>2381</v>
      </c>
    </row>
    <row r="49" spans="1:18" s="2061" customFormat="1" ht="18" customHeight="1" thickBot="1">
      <c r="A49" s="2086"/>
      <c r="D49" s="2093"/>
      <c r="E49" s="2094"/>
      <c r="F49" s="2091"/>
      <c r="G49" s="2092"/>
      <c r="H49" s="2095"/>
      <c r="I49" s="3128" t="s">
        <v>2348</v>
      </c>
      <c r="J49" s="2384"/>
      <c r="K49" s="3160" t="s">
        <v>2354</v>
      </c>
      <c r="L49" s="1910">
        <f ca="1">INDIRECT("'数据-取费表'!f"&amp;$G$1)</f>
        <v>0</v>
      </c>
      <c r="O49" s="2400" t="s">
        <v>2382</v>
      </c>
      <c r="P49" s="2401" t="s">
        <v>2408</v>
      </c>
      <c r="Q49" s="2402">
        <f ca="1">C41+J31</f>
        <v>0</v>
      </c>
      <c r="R49" s="2401" t="s">
        <v>2383</v>
      </c>
    </row>
    <row r="50" spans="1:18" s="2061" customFormat="1" ht="18" customHeight="1" thickBot="1">
      <c r="A50" s="2086"/>
      <c r="D50" s="2096"/>
      <c r="E50" s="2096"/>
      <c r="F50" s="2090"/>
      <c r="G50" s="2097"/>
      <c r="H50" s="2095"/>
      <c r="I50" s="3128" t="s">
        <v>2349</v>
      </c>
      <c r="J50" s="2385"/>
      <c r="K50" s="3161" t="s">
        <v>2355</v>
      </c>
      <c r="L50" s="2386"/>
      <c r="O50" s="2400" t="s">
        <v>2384</v>
      </c>
      <c r="P50" s="2401" t="s">
        <v>2409</v>
      </c>
      <c r="Q50" s="2402" t="str">
        <f ca="1">J61</f>
        <v>0</v>
      </c>
      <c r="R50" s="2401" t="s">
        <v>2385</v>
      </c>
    </row>
    <row r="51" spans="1:18" s="2061" customFormat="1" ht="18" customHeight="1" thickBot="1">
      <c r="A51" s="2098"/>
      <c r="D51" s="2096"/>
      <c r="E51" s="2096"/>
      <c r="F51" s="2087"/>
      <c r="H51" s="2095"/>
      <c r="I51" s="3128" t="s">
        <v>2350</v>
      </c>
      <c r="J51" s="3156">
        <f>SUMPRODUCT((I64:I66=J48)*(J63:L63=J49)*(J64:L66))</f>
        <v>0</v>
      </c>
      <c r="K51" s="3161" t="s">
        <v>2356</v>
      </c>
      <c r="L51" s="2386"/>
      <c r="O51" s="2403" t="s">
        <v>2386</v>
      </c>
      <c r="P51" s="2401" t="s">
        <v>2410</v>
      </c>
      <c r="Q51" s="2402">
        <f ca="1">C31</f>
        <v>0</v>
      </c>
      <c r="R51" s="2401" t="s">
        <v>2383</v>
      </c>
    </row>
    <row r="52" spans="1:18" s="2061" customFormat="1" ht="18" customHeight="1" thickBot="1">
      <c r="A52" s="2098"/>
      <c r="F52" s="2087"/>
      <c r="I52" s="3153" t="s">
        <v>2351</v>
      </c>
      <c r="J52" s="3157">
        <f>IF(J50="",J51,J50+J51-YEAR('数据-取费表'!B3))</f>
        <v>0</v>
      </c>
      <c r="K52" s="3128" t="s">
        <v>2357</v>
      </c>
      <c r="L52" s="3164">
        <f ca="1">ROUND(-PV(INDIRECT("'数据-取费表'!h"&amp;$G$1),L49,(C40-C14*J36),0),0)</f>
        <v>0</v>
      </c>
      <c r="O52" s="2403" t="s">
        <v>2387</v>
      </c>
      <c r="P52" s="2401" t="s">
        <v>2388</v>
      </c>
      <c r="Q52" s="2404" t="e">
        <f ca="1">J59</f>
        <v>#VALUE!</v>
      </c>
      <c r="R52" s="2405"/>
    </row>
    <row r="53" spans="1:18" s="2061" customFormat="1" ht="18" customHeight="1" thickBot="1">
      <c r="A53" s="2098"/>
      <c r="F53" s="2087"/>
      <c r="I53" s="3154" t="s">
        <v>2424</v>
      </c>
      <c r="J53" s="2387"/>
      <c r="K53" s="3154" t="s">
        <v>2423</v>
      </c>
      <c r="L53" s="2387"/>
      <c r="O53" s="2403" t="s">
        <v>2389</v>
      </c>
      <c r="P53" s="2401" t="s">
        <v>2390</v>
      </c>
      <c r="Q53" s="2404">
        <f>J53</f>
        <v>0</v>
      </c>
      <c r="R53" s="2405"/>
    </row>
    <row r="54" spans="1:18" s="2061" customFormat="1" ht="29.25" thickBot="1">
      <c r="A54" s="2098"/>
      <c r="I54" s="3155" t="s">
        <v>2985</v>
      </c>
      <c r="J54" s="3158">
        <f ca="1">IF(M48="住宅",MAX(J52,L49-'数据-取费表'!B20),MIN(J52,L49-'数据-取费表'!B20))</f>
        <v>-2</v>
      </c>
      <c r="K54" s="3446"/>
      <c r="L54" s="3447"/>
      <c r="O54" s="2403" t="s">
        <v>2391</v>
      </c>
      <c r="P54" s="2401" t="s">
        <v>2392</v>
      </c>
      <c r="Q54" s="2402">
        <f ca="1">J54</f>
        <v>-2</v>
      </c>
      <c r="R54" s="2401" t="s">
        <v>2393</v>
      </c>
    </row>
    <row r="55" spans="1:18" s="2061" customFormat="1" ht="18" customHeight="1" thickBot="1">
      <c r="A55" s="2098"/>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400" t="s">
        <v>2394</v>
      </c>
      <c r="P55" s="2401" t="s">
        <v>2411</v>
      </c>
      <c r="Q55" s="2402">
        <f ca="1">Q49+Q50</f>
        <v>0</v>
      </c>
      <c r="R55" s="2405" t="s">
        <v>2395</v>
      </c>
    </row>
    <row r="56" spans="1:18" s="2061" customFormat="1" ht="16.5" thickBot="1">
      <c r="A56" s="2098"/>
      <c r="B56" s="2099"/>
      <c r="C56" s="2099"/>
      <c r="I56" s="3167" t="s">
        <v>2358</v>
      </c>
      <c r="J56" s="3103" t="e">
        <f ca="1">ROUND(IF(J48="钢混",J58/J51,1-(1-2%)*(J51-J58)/J51),3)</f>
        <v>#VALUE!</v>
      </c>
      <c r="K56" s="3168" t="s">
        <v>2359</v>
      </c>
      <c r="L56" s="2388"/>
      <c r="O56" s="2406" t="s">
        <v>2414</v>
      </c>
      <c r="P56" s="1593"/>
      <c r="Q56" s="1605"/>
      <c r="R56" s="1593"/>
    </row>
    <row r="57" spans="1:18" s="2061" customFormat="1" ht="43.5" thickBot="1">
      <c r="A57" s="2098"/>
      <c r="B57" s="2099"/>
      <c r="C57" s="2099"/>
      <c r="I57" s="3169" t="s">
        <v>2360</v>
      </c>
      <c r="J57" s="3179" t="s">
        <v>1679</v>
      </c>
      <c r="K57" s="3128" t="s">
        <v>2365</v>
      </c>
      <c r="L57" s="1910">
        <f ca="1">IF(L49&lt;J52,"——",L49-J52)</f>
        <v>0</v>
      </c>
      <c r="O57" s="2397" t="s">
        <v>2378</v>
      </c>
      <c r="P57" s="2398" t="s">
        <v>2379</v>
      </c>
      <c r="Q57" s="2399" t="s">
        <v>2380</v>
      </c>
      <c r="R57" s="2398" t="s">
        <v>2381</v>
      </c>
    </row>
    <row r="58" spans="1:18" s="2061" customFormat="1" ht="29.25" thickBot="1">
      <c r="A58" s="2098"/>
      <c r="B58" s="2099"/>
      <c r="C58" s="2099"/>
      <c r="I58" s="3170" t="s">
        <v>2361</v>
      </c>
      <c r="J58" s="3171" t="str">
        <f ca="1">IF(OR(M48="住宅",J52&lt;L49,J57="是"),"——",J52-L49)</f>
        <v>——</v>
      </c>
      <c r="K58" s="3128" t="s">
        <v>2366</v>
      </c>
      <c r="L58" s="1910">
        <f ca="1">IF(L49&lt;J52,"——",IF(L56="比较法",L50,IF(L56="基准地价",L51,L52)))</f>
        <v>0</v>
      </c>
      <c r="O58" s="2400" t="s">
        <v>2382</v>
      </c>
      <c r="P58" s="2401" t="s">
        <v>2408</v>
      </c>
      <c r="Q58" s="2402">
        <f ca="1">C41+J31</f>
        <v>0</v>
      </c>
      <c r="R58" s="2401" t="s">
        <v>2383</v>
      </c>
    </row>
    <row r="59" spans="1:18" s="2061" customFormat="1" ht="29.25" thickBot="1">
      <c r="A59" s="2098"/>
      <c r="B59" s="2099"/>
      <c r="C59" s="2099"/>
      <c r="I59" s="3170" t="s">
        <v>2362</v>
      </c>
      <c r="J59" s="3104" t="e">
        <f ca="1">IF(J56&lt;0.4,0.4,J56)</f>
        <v>#VALUE!</v>
      </c>
      <c r="K59" s="3128" t="s">
        <v>2367</v>
      </c>
      <c r="L59" s="1910">
        <f ca="1">IF(ISERROR(POWER(1+L53,L48-L49)*(POWER(1+L53,L49)-1)/(POWER(1+L53,L48)-1)),0,POWER(1+L53,L48-L49)*(POWER(1+L53,L49)-1)/(POWER(1+L53,L48)-1))</f>
        <v>0</v>
      </c>
      <c r="O59" s="2400" t="s">
        <v>2384</v>
      </c>
      <c r="P59" s="2401" t="s">
        <v>2415</v>
      </c>
      <c r="Q59" s="2402" t="e">
        <f ca="1">L61</f>
        <v>#DIV/0!</v>
      </c>
      <c r="R59" s="2405" t="s">
        <v>2417</v>
      </c>
    </row>
    <row r="60" spans="1:18" s="2061" customFormat="1" ht="29.25" thickBot="1">
      <c r="A60" s="2098"/>
      <c r="B60" s="2099"/>
      <c r="C60" s="2099"/>
      <c r="I60" s="3170" t="s">
        <v>2363</v>
      </c>
      <c r="J60" s="3171" t="str">
        <f ca="1">IF(OR(M48="住宅",J52&lt;L49,J57="是"),"——",ROUND(C30*J59,0))</f>
        <v>——</v>
      </c>
      <c r="K60" s="3128" t="s">
        <v>2368</v>
      </c>
      <c r="L60" s="1910">
        <f ca="1">IF(ISERROR(POWER(1+L53,L48-J52)*(POWER(1+L53,J52)-1)/(POWER(1+L53,L48)-1)),0,POWER(1+L53,L48-J52)*(POWER(1+L53,J52)-1)/(POWER(1+L53,L48)-1))</f>
        <v>0</v>
      </c>
      <c r="O60" s="2403" t="s">
        <v>2386</v>
      </c>
      <c r="P60" s="2401" t="s">
        <v>2416</v>
      </c>
      <c r="Q60" s="2402">
        <f>IF(L56="比较法",L50,IF(L56="基准地价",L51,0))</f>
        <v>0</v>
      </c>
      <c r="R60" s="2401" t="s">
        <v>2383</v>
      </c>
    </row>
    <row r="61" spans="1:18" s="2061" customFormat="1" ht="15.75" thickBot="1">
      <c r="A61" s="2098"/>
      <c r="B61" s="2099"/>
      <c r="C61" s="2099"/>
      <c r="I61" s="3172" t="s">
        <v>2364</v>
      </c>
      <c r="J61" s="3173" t="str">
        <f ca="1">IF(OR(M48="住宅",J52&lt;L49,J57="是"),"0",ROUND(J60/(1+J53)^J54,0))</f>
        <v>0</v>
      </c>
      <c r="K61" s="3174" t="s">
        <v>2369</v>
      </c>
      <c r="L61" s="3173" t="e">
        <f ca="1">IF(OR(M48="住宅",L49&lt;J52),0,ROUND(L58*(L59/L60-1),0))</f>
        <v>#DIV/0!</v>
      </c>
      <c r="O61" s="2403" t="s">
        <v>2387</v>
      </c>
      <c r="P61" s="2401" t="s">
        <v>2396</v>
      </c>
      <c r="Q61" s="2404">
        <f>L53</f>
        <v>0</v>
      </c>
      <c r="R61" s="2405"/>
    </row>
    <row r="62" spans="1:18" s="2061" customFormat="1" ht="20.25" thickBot="1">
      <c r="A62" s="2098"/>
      <c r="B62" s="2099"/>
      <c r="C62" s="2099"/>
      <c r="K62" s="2088"/>
      <c r="O62" s="2403" t="s">
        <v>2389</v>
      </c>
      <c r="P62" s="2401" t="s">
        <v>2397</v>
      </c>
      <c r="Q62" s="2402">
        <f ca="1">L59</f>
        <v>0</v>
      </c>
      <c r="R62" s="2405" t="s">
        <v>2398</v>
      </c>
    </row>
    <row r="63" spans="1:18" s="2061" customFormat="1" ht="20.25" thickBot="1">
      <c r="A63" s="2098"/>
      <c r="B63" s="2099"/>
      <c r="C63" s="2099"/>
      <c r="I63" s="3175" t="s">
        <v>2370</v>
      </c>
      <c r="J63" s="3176" t="s">
        <v>2371</v>
      </c>
      <c r="K63" s="3176" t="s">
        <v>2372</v>
      </c>
      <c r="L63" s="3176" t="s">
        <v>2353</v>
      </c>
      <c r="M63" s="3177" t="s">
        <v>2948</v>
      </c>
      <c r="O63" s="2403" t="s">
        <v>2391</v>
      </c>
      <c r="P63" s="2401" t="s">
        <v>2399</v>
      </c>
      <c r="Q63" s="2402">
        <f ca="1">L60</f>
        <v>0</v>
      </c>
      <c r="R63" s="2405" t="s">
        <v>2400</v>
      </c>
    </row>
    <row r="64" spans="1:18" s="2061" customFormat="1" ht="15.75" thickBot="1">
      <c r="A64" s="2098"/>
      <c r="B64" s="2099"/>
      <c r="C64" s="2099"/>
      <c r="I64" s="3175" t="s">
        <v>2373</v>
      </c>
      <c r="J64" s="3176">
        <v>70</v>
      </c>
      <c r="K64" s="3176">
        <v>50</v>
      </c>
      <c r="L64" s="3176">
        <v>80</v>
      </c>
      <c r="M64" s="3178">
        <v>0.02</v>
      </c>
      <c r="O64" s="2400" t="s">
        <v>2394</v>
      </c>
      <c r="P64" s="2401" t="s">
        <v>2411</v>
      </c>
      <c r="Q64" s="2402" t="e">
        <f ca="1">Q58+Q59</f>
        <v>#DIV/0!</v>
      </c>
      <c r="R64" s="2405" t="s">
        <v>2395</v>
      </c>
    </row>
    <row r="65" spans="1:18" s="2061" customFormat="1" ht="16.5" thickBot="1">
      <c r="A65" s="2098"/>
      <c r="B65" s="2099"/>
      <c r="C65" s="2099"/>
      <c r="I65" s="3175" t="s">
        <v>2374</v>
      </c>
      <c r="J65" s="3176">
        <v>50</v>
      </c>
      <c r="K65" s="3176">
        <v>35</v>
      </c>
      <c r="L65" s="3176">
        <v>60</v>
      </c>
      <c r="M65" s="846">
        <v>0</v>
      </c>
      <c r="O65" s="2406" t="s">
        <v>2418</v>
      </c>
      <c r="P65" s="1593"/>
      <c r="Q65" s="1605"/>
      <c r="R65" s="1593"/>
    </row>
    <row r="66" spans="1:18" s="2061" customFormat="1" ht="15.75" thickBot="1">
      <c r="A66" s="2098"/>
      <c r="B66" s="2099"/>
      <c r="C66" s="2099"/>
      <c r="I66" s="3175" t="s">
        <v>2375</v>
      </c>
      <c r="J66" s="3176">
        <v>40</v>
      </c>
      <c r="K66" s="3176">
        <v>30</v>
      </c>
      <c r="L66" s="3176">
        <v>50</v>
      </c>
      <c r="M66" s="3178">
        <v>0.02</v>
      </c>
      <c r="O66" s="2397" t="s">
        <v>2378</v>
      </c>
      <c r="P66" s="2398" t="s">
        <v>2379</v>
      </c>
      <c r="Q66" s="2399" t="s">
        <v>2380</v>
      </c>
      <c r="R66" s="2398" t="s">
        <v>2381</v>
      </c>
    </row>
    <row r="67" spans="1:18" s="2061" customFormat="1" ht="15.75" thickBot="1">
      <c r="A67" s="2098"/>
      <c r="B67" s="2099"/>
      <c r="C67" s="2099"/>
      <c r="K67" s="2088"/>
      <c r="O67" s="2400" t="s">
        <v>2382</v>
      </c>
      <c r="P67" s="2401" t="s">
        <v>2408</v>
      </c>
      <c r="Q67" s="2402">
        <f ca="1">C41+J31</f>
        <v>0</v>
      </c>
      <c r="R67" s="2401" t="s">
        <v>2383</v>
      </c>
    </row>
    <row r="68" spans="1:18" s="2061" customFormat="1" ht="20.25" thickBot="1">
      <c r="A68" s="2098"/>
      <c r="B68" s="2099"/>
      <c r="C68" s="2099"/>
      <c r="K68" s="2088"/>
      <c r="O68" s="2400" t="s">
        <v>2384</v>
      </c>
      <c r="P68" s="2401" t="s">
        <v>2415</v>
      </c>
      <c r="Q68" s="2402" t="e">
        <f ca="1">L61</f>
        <v>#DIV/0!</v>
      </c>
      <c r="R68" s="2405" t="s">
        <v>2417</v>
      </c>
    </row>
    <row r="69" spans="1:18" s="2061" customFormat="1" ht="21.75" thickBot="1">
      <c r="A69" s="2098"/>
      <c r="B69" s="2099"/>
      <c r="C69" s="2099"/>
      <c r="K69" s="2088"/>
      <c r="O69" s="2403" t="s">
        <v>2386</v>
      </c>
      <c r="P69" s="2401" t="s">
        <v>2416</v>
      </c>
      <c r="Q69" s="2407">
        <f ca="1">L52</f>
        <v>0</v>
      </c>
      <c r="R69" s="2408" t="s">
        <v>2419</v>
      </c>
    </row>
    <row r="70" spans="1:18" s="2061" customFormat="1" ht="20.25" thickBot="1">
      <c r="A70" s="2098"/>
      <c r="B70" s="2099"/>
      <c r="C70" s="2099"/>
      <c r="K70" s="2088"/>
      <c r="O70" s="2403" t="s">
        <v>2387</v>
      </c>
      <c r="P70" s="2409" t="s">
        <v>2401</v>
      </c>
      <c r="Q70" s="2402">
        <f ca="1">ROUND(Q71-Q72*Q73,0)</f>
        <v>0</v>
      </c>
      <c r="R70" s="2405"/>
    </row>
    <row r="71" spans="1:18" s="2061" customFormat="1" ht="15.75" thickBot="1">
      <c r="A71" s="2098"/>
      <c r="B71" s="2099"/>
      <c r="C71" s="2099"/>
      <c r="K71" s="2088"/>
      <c r="O71" s="2403" t="s">
        <v>2402</v>
      </c>
      <c r="P71" s="2409" t="s">
        <v>2403</v>
      </c>
      <c r="Q71" s="2402">
        <f ca="1">C42</f>
        <v>0</v>
      </c>
      <c r="R71" s="2401" t="s">
        <v>2383</v>
      </c>
    </row>
    <row r="72" spans="1:18" s="2061" customFormat="1" ht="15.75" thickBot="1">
      <c r="A72" s="2098"/>
      <c r="B72" s="2099"/>
      <c r="C72" s="2099"/>
      <c r="K72" s="2088"/>
      <c r="O72" s="2403" t="s">
        <v>2404</v>
      </c>
      <c r="P72" s="2409" t="s">
        <v>2405</v>
      </c>
      <c r="Q72" s="2402">
        <f ca="1">C15</f>
        <v>0</v>
      </c>
      <c r="R72" s="2401" t="s">
        <v>2383</v>
      </c>
    </row>
    <row r="73" spans="1:18" s="2061" customFormat="1" ht="15.75" thickBot="1">
      <c r="A73" s="2098"/>
      <c r="B73" s="2099"/>
      <c r="C73" s="2099"/>
      <c r="K73" s="2088"/>
      <c r="O73" s="2403" t="s">
        <v>2406</v>
      </c>
      <c r="P73" s="2409" t="s">
        <v>2407</v>
      </c>
      <c r="Q73" s="2404">
        <f ca="1">F43</f>
        <v>0</v>
      </c>
      <c r="R73" s="2405"/>
    </row>
    <row r="74" spans="1:18" s="2061" customFormat="1" ht="15.75" thickBot="1">
      <c r="A74" s="2098"/>
      <c r="B74" s="2099"/>
      <c r="C74" s="2099"/>
      <c r="K74" s="2088"/>
      <c r="O74" s="2403" t="s">
        <v>2389</v>
      </c>
      <c r="P74" s="2401" t="s">
        <v>2396</v>
      </c>
      <c r="Q74" s="2404">
        <f>L53</f>
        <v>0</v>
      </c>
      <c r="R74" s="2405"/>
    </row>
    <row r="75" spans="1:18" s="2061" customFormat="1" ht="20.25" thickBot="1">
      <c r="A75" s="2098"/>
      <c r="B75" s="2099"/>
      <c r="C75" s="2099"/>
      <c r="K75" s="2088"/>
      <c r="O75" s="2403" t="s">
        <v>2391</v>
      </c>
      <c r="P75" s="2401" t="s">
        <v>2397</v>
      </c>
      <c r="Q75" s="2402">
        <f ca="1">L59</f>
        <v>0</v>
      </c>
      <c r="R75" s="2405" t="s">
        <v>2398</v>
      </c>
    </row>
    <row r="76" spans="1:18" s="2061" customFormat="1" ht="20.25" thickBot="1">
      <c r="A76" s="2098"/>
      <c r="B76" s="2099"/>
      <c r="C76" s="2099"/>
      <c r="K76" s="2088"/>
      <c r="O76" s="2403" t="s">
        <v>2420</v>
      </c>
      <c r="P76" s="2401" t="s">
        <v>2399</v>
      </c>
      <c r="Q76" s="2402">
        <f ca="1">L60</f>
        <v>0</v>
      </c>
      <c r="R76" s="2405" t="s">
        <v>2400</v>
      </c>
    </row>
    <row r="77" spans="1:18" s="2061" customFormat="1" ht="15.75" thickBot="1">
      <c r="A77" s="2098"/>
      <c r="B77" s="2099"/>
      <c r="C77" s="2099"/>
      <c r="K77" s="2088"/>
      <c r="O77" s="2400" t="s">
        <v>2394</v>
      </c>
      <c r="P77" s="2401" t="s">
        <v>2411</v>
      </c>
      <c r="Q77" s="2402" t="e">
        <f ca="1">Q67+Q68</f>
        <v>#DIV/0!</v>
      </c>
      <c r="R77" s="2405"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15721.95平方米。根据《建设工程规划许可证》[]、《出让合同》[]，估价对象规划建筑面积为147819.42平方米。</v>
      </c>
    </row>
    <row r="7" spans="1:4" ht="56.25">
      <c r="A7" s="1797" t="s">
        <v>2750</v>
      </c>
    </row>
    <row r="8" spans="1:4" ht="18.75">
      <c r="A8" s="1796" t="s">
        <v>1907</v>
      </c>
    </row>
    <row r="9" spans="1:4" ht="75">
      <c r="A9" s="179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2018年10月17日</v>
      </c>
    </row>
    <row r="12" spans="1:4" ht="18.75">
      <c r="A12" s="1799" t="s">
        <v>2028</v>
      </c>
    </row>
    <row r="13" spans="1:4" ht="18.75">
      <c r="A13" s="1793" t="s">
        <v>2947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根据《国有土地使用证》[]，估价对象（分摊）出让国有建设用地使用权面积为15721.95平方米。根据《建设工程规划许可证》[]、《出让合同》[]，估价对象规划建筑面积为147819.42平方米。</v>
      </c>
    </row>
    <row r="21" spans="1:1" ht="18.75">
      <c r="A21" s="1793" t="s">
        <v>2077</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地下车库2062年11月4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10月17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B1" zoomScale="80" zoomScaleNormal="80" workbookViewId="0">
      <selection activeCell="J6" sqref="J6:J17"/>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50" t="s">
        <v>2579</v>
      </c>
      <c r="C1" s="3450"/>
      <c r="D1" s="3450"/>
      <c r="E1" s="3450"/>
      <c r="F1" s="3450"/>
      <c r="G1" s="3449" t="s">
        <v>2580</v>
      </c>
      <c r="H1" s="3449"/>
      <c r="I1" s="3449"/>
      <c r="J1" s="3449"/>
      <c r="K1" s="3449"/>
      <c r="L1" s="3449"/>
      <c r="N1" s="3449" t="s">
        <v>2581</v>
      </c>
      <c r="O1" s="3449"/>
      <c r="P1" s="3449"/>
      <c r="Q1" s="3449"/>
      <c r="R1" s="2656"/>
      <c r="S1" s="3449" t="s">
        <v>2582</v>
      </c>
      <c r="T1" s="3449"/>
      <c r="U1" s="3449"/>
      <c r="V1" s="3449"/>
      <c r="X1" s="3448" t="s">
        <v>2642</v>
      </c>
      <c r="Y1" s="3449"/>
      <c r="Z1" s="3449"/>
      <c r="AA1" s="3449"/>
      <c r="AB1" s="3449"/>
      <c r="AD1" s="3448" t="s">
        <v>2646</v>
      </c>
      <c r="AE1" s="3449"/>
      <c r="AF1" s="3449"/>
      <c r="AG1" s="3449"/>
      <c r="AH1" s="3449"/>
    </row>
    <row r="2" spans="1:34" s="2758" customFormat="1" ht="14.25" thickBot="1">
      <c r="B2" s="2766" t="s">
        <v>2583</v>
      </c>
      <c r="C2" s="2766" t="s">
        <v>2644</v>
      </c>
      <c r="D2" s="2759" t="s">
        <v>1645</v>
      </c>
      <c r="E2" s="2759" t="s">
        <v>1952</v>
      </c>
      <c r="F2" s="2766" t="s">
        <v>2645</v>
      </c>
      <c r="G2" s="2762"/>
      <c r="H2" s="2761"/>
      <c r="I2" s="2766" t="s">
        <v>2962</v>
      </c>
      <c r="J2" s="2759" t="s">
        <v>2964</v>
      </c>
      <c r="K2" s="2759" t="s">
        <v>2965</v>
      </c>
      <c r="L2" s="2766" t="s">
        <v>2966</v>
      </c>
      <c r="N2" s="2766" t="s">
        <v>2583</v>
      </c>
      <c r="O2" s="2759" t="s">
        <v>2963</v>
      </c>
      <c r="P2" s="2759" t="s">
        <v>1952</v>
      </c>
      <c r="Q2" s="2766" t="s">
        <v>2645</v>
      </c>
      <c r="R2" s="2760"/>
      <c r="S2" s="2766" t="s">
        <v>2583</v>
      </c>
      <c r="T2" s="2759" t="s">
        <v>2963</v>
      </c>
      <c r="U2" s="2759" t="s">
        <v>1952</v>
      </c>
      <c r="V2" s="2766" t="s">
        <v>2645</v>
      </c>
      <c r="X2" s="2766" t="s">
        <v>2583</v>
      </c>
      <c r="Y2" s="2766" t="s">
        <v>2644</v>
      </c>
      <c r="Z2" s="2759" t="s">
        <v>1645</v>
      </c>
      <c r="AA2" s="2759" t="s">
        <v>1952</v>
      </c>
      <c r="AB2" s="2766" t="s">
        <v>2645</v>
      </c>
      <c r="AD2" s="2766" t="s">
        <v>2583</v>
      </c>
      <c r="AE2" s="2766" t="s">
        <v>2644</v>
      </c>
      <c r="AF2" s="2759" t="s">
        <v>1645</v>
      </c>
      <c r="AG2" s="2759" t="s">
        <v>1952</v>
      </c>
      <c r="AH2" s="2766" t="s">
        <v>2645</v>
      </c>
    </row>
    <row r="3" spans="1:34" s="3136" customFormat="1" ht="14.25">
      <c r="A3" s="3148" t="s">
        <v>2975</v>
      </c>
      <c r="B3" s="3137"/>
      <c r="C3" s="3137"/>
      <c r="D3" s="3138"/>
      <c r="E3" s="3138"/>
      <c r="F3" s="3137"/>
      <c r="G3" s="3139"/>
      <c r="H3" s="3140"/>
      <c r="I3" s="3147">
        <f>ROUND(AVERAGE($I4:$I24),2)</f>
        <v>2.19</v>
      </c>
      <c r="J3" s="3147">
        <f>ROUND(AVERAGE($J4:$J24),2)</f>
        <v>1.53</v>
      </c>
      <c r="K3" s="3147">
        <f>ROUND(AVERAGE($K4:$K24),2)</f>
        <v>2.41</v>
      </c>
      <c r="L3" s="3147">
        <f>ROUND(AVERAGE($L4:$L24),2)</f>
        <v>1.42</v>
      </c>
      <c r="N3" s="3139"/>
      <c r="O3" s="3141"/>
      <c r="P3" s="3141"/>
      <c r="Q3" s="3141"/>
      <c r="R3" s="3141"/>
      <c r="S3" s="3139"/>
      <c r="T3" s="3141"/>
      <c r="U3" s="3141"/>
      <c r="V3" s="3141"/>
      <c r="W3" s="3144"/>
      <c r="X3" s="3142">
        <f>ROUND(SUMPRODUCT(PRODUCT(1+N3:N$23)),4)</f>
        <v>1.4956</v>
      </c>
      <c r="Y3" s="3142">
        <f>ROUND(SUMPRODUCT(PRODUCT(1+O3:O$23)),4)</f>
        <v>1.3237000000000001</v>
      </c>
      <c r="Z3" s="3142">
        <f t="shared" ref="Z3:Z21" si="0">Y3</f>
        <v>1.3237000000000001</v>
      </c>
      <c r="AA3" s="3142">
        <f>ROUND(SUMPRODUCT(PRODUCT(1+P3:P$23)),4)</f>
        <v>1.554</v>
      </c>
      <c r="AB3" s="3142">
        <f>ROUND(SUMPRODUCT(PRODUCT(1+Q3:Q$23)),4)</f>
        <v>1.3087</v>
      </c>
      <c r="AD3" s="3143">
        <f>ROUND(AVERAGE(I3:I$24)/100,4)</f>
        <v>2.1899999999999999E-2</v>
      </c>
      <c r="AE3" s="3143">
        <f>ROUND(AVERAGE(J3:J$24)/100,4)</f>
        <v>1.5299999999999999E-2</v>
      </c>
      <c r="AF3" s="3143">
        <f t="shared" ref="AF3:AF22" si="1">AE3</f>
        <v>1.5299999999999999E-2</v>
      </c>
      <c r="AG3" s="3143">
        <f>ROUND(AVERAGE(K3:K$24)/100,4)</f>
        <v>2.41E-2</v>
      </c>
      <c r="AH3" s="3143">
        <f>ROUND(AVERAGE(L3:L$24)/100,4)</f>
        <v>1.4200000000000001E-2</v>
      </c>
    </row>
    <row r="4" spans="1:34" s="2751" customFormat="1" ht="14.25">
      <c r="B4" s="2752"/>
      <c r="C4" s="2752"/>
      <c r="D4" s="2753"/>
      <c r="E4" s="2753"/>
      <c r="F4" s="2752"/>
      <c r="G4" s="2757"/>
      <c r="H4" s="2754"/>
      <c r="I4" s="3129"/>
      <c r="J4" s="3129"/>
      <c r="K4" s="3129"/>
      <c r="L4" s="3129"/>
      <c r="N4" s="2757"/>
      <c r="O4" s="2755"/>
      <c r="P4" s="2755"/>
      <c r="Q4" s="2755"/>
      <c r="R4" s="2755"/>
      <c r="S4" s="2757"/>
      <c r="T4" s="2755"/>
      <c r="U4" s="2755"/>
      <c r="V4" s="2755"/>
      <c r="W4" s="3145"/>
      <c r="X4" s="2756"/>
      <c r="Y4" s="2756"/>
      <c r="Z4" s="2756"/>
      <c r="AA4" s="2756"/>
      <c r="AB4" s="2756"/>
      <c r="AD4" s="2676"/>
      <c r="AE4" s="2676"/>
      <c r="AF4" s="2676"/>
      <c r="AG4" s="2676"/>
      <c r="AH4" s="2676"/>
    </row>
    <row r="5" spans="1:34" s="3117" customFormat="1">
      <c r="A5" s="3115" t="s">
        <v>2988</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6">
        <v>4</v>
      </c>
      <c r="I5" s="3130">
        <v>0</v>
      </c>
      <c r="J5" s="3130">
        <v>0</v>
      </c>
      <c r="K5" s="3130">
        <v>0</v>
      </c>
      <c r="L5" s="3130">
        <v>0</v>
      </c>
      <c r="N5" s="2764">
        <f t="shared" ref="N5" si="6">I5/100</f>
        <v>0</v>
      </c>
      <c r="O5" s="2764">
        <f t="shared" ref="O5" si="7">J5/100</f>
        <v>0</v>
      </c>
      <c r="P5" s="2764">
        <f t="shared" ref="P5" si="8">K5/100</f>
        <v>0</v>
      </c>
      <c r="Q5" s="2764">
        <f t="shared" ref="Q5" si="9">L5/100</f>
        <v>0</v>
      </c>
      <c r="R5" s="3118"/>
      <c r="S5" s="3119"/>
      <c r="T5" s="3118"/>
      <c r="U5" s="3118"/>
      <c r="V5" s="3118"/>
      <c r="W5" s="3146" t="s">
        <v>2976</v>
      </c>
      <c r="X5" s="3120">
        <f>ROUND(SUMPRODUCT(PRODUCT(1+N5:N$23)),4)</f>
        <v>1.4956</v>
      </c>
      <c r="Y5" s="3120">
        <f>ROUND(SUMPRODUCT(PRODUCT(1+O5:O$23)),4)</f>
        <v>1.3237000000000001</v>
      </c>
      <c r="Z5" s="3120">
        <f t="shared" ref="Z5" si="10">Y5</f>
        <v>1.3237000000000001</v>
      </c>
      <c r="AA5" s="3120">
        <f>ROUND(SUMPRODUCT(PRODUCT(1+P5:P$23)),4)</f>
        <v>1.554</v>
      </c>
      <c r="AB5" s="3120">
        <f>ROUND(SUMPRODUCT(PRODUCT(1+Q5:Q$23)),4)</f>
        <v>1.3087</v>
      </c>
      <c r="AD5" s="3121">
        <f>ROUND(AVERAGE(I5:I$24)/100,4)</f>
        <v>2.1899999999999999E-2</v>
      </c>
      <c r="AE5" s="3121">
        <f>ROUND(AVERAGE(J5:J$24)/100,4)</f>
        <v>1.5299999999999999E-2</v>
      </c>
      <c r="AF5" s="3121">
        <f t="shared" ref="AF5" si="11">AE5</f>
        <v>1.5299999999999999E-2</v>
      </c>
      <c r="AG5" s="3121">
        <f>ROUND(AVERAGE(K5:K$24)/100,4)</f>
        <v>2.41E-2</v>
      </c>
      <c r="AH5" s="3121">
        <f>ROUND(AVERAGE(L5:L$24)/100,4)</f>
        <v>1.4200000000000001E-2</v>
      </c>
    </row>
    <row r="6" spans="1:34" s="2763" customFormat="1" ht="13.5" thickBot="1">
      <c r="A6" s="2657" t="s">
        <v>2986</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5"/>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ROUND(SUMPRODUCT(PRODUCT(1+N6:N$23)),4)</f>
        <v>1.4956</v>
      </c>
      <c r="Y6" s="2756">
        <f>ROUND(SUMPRODUCT(PRODUCT(1+O6:O$23)),4)</f>
        <v>1.3237000000000001</v>
      </c>
      <c r="Z6" s="2756">
        <f t="shared" ref="Z6" si="20">Y6</f>
        <v>1.3237000000000001</v>
      </c>
      <c r="AA6" s="2756">
        <f>ROUND(SUMPRODUCT(PRODUCT(1+P6:P$23)),4)</f>
        <v>1.554</v>
      </c>
      <c r="AB6" s="2756">
        <f>ROUND(SUMPRODUCT(PRODUCT(1+Q6:Q$23)),4)</f>
        <v>1.3087</v>
      </c>
      <c r="AC6" s="2665"/>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2987</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5"/>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ROUND(SUMPRODUCT(PRODUCT(1+N7:N$23)),4)</f>
        <v>1.4733000000000001</v>
      </c>
      <c r="Y7" s="2756">
        <f>ROUND(SUMPRODUCT(PRODUCT(1+O7:O$23)),4)</f>
        <v>1.3052999999999999</v>
      </c>
      <c r="Z7" s="2756">
        <f t="shared" ref="Z7" si="30">Y7</f>
        <v>1.3052999999999999</v>
      </c>
      <c r="AA7" s="2756">
        <f>ROUND(SUMPRODUCT(PRODUCT(1+P7:P$23)),4)</f>
        <v>1.5306999999999999</v>
      </c>
      <c r="AB7" s="2756">
        <f>ROUND(SUMPRODUCT(PRODUCT(1+Q7:Q$23)),4)</f>
        <v>1.2863</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2982</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5"/>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ROUND(SUMPRODUCT(PRODUCT(1+N8:N$23)),4)</f>
        <v>1.4517</v>
      </c>
      <c r="Y8" s="2756">
        <f>ROUND(SUMPRODUCT(PRODUCT(1+O8:O$23)),4)</f>
        <v>1.2928999999999999</v>
      </c>
      <c r="Z8" s="2756">
        <f t="shared" ref="Z8" si="40">Y8</f>
        <v>1.2928999999999999</v>
      </c>
      <c r="AA8" s="2756">
        <f>ROUND(SUMPRODUCT(PRODUCT(1+P8:P$23)),4)</f>
        <v>1.5068999999999999</v>
      </c>
      <c r="AB8" s="2756">
        <f>ROUND(SUMPRODUCT(PRODUCT(1+Q8:Q$23)),4)</f>
        <v>1.2557</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2973</v>
      </c>
      <c r="B9" s="3150">
        <v>439</v>
      </c>
      <c r="C9" s="3150">
        <v>327</v>
      </c>
      <c r="D9" s="3150">
        <f t="shared" si="33"/>
        <v>327</v>
      </c>
      <c r="E9" s="3150">
        <v>627</v>
      </c>
      <c r="F9" s="3151">
        <v>283</v>
      </c>
      <c r="G9" s="3133">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ROUND(SUMPRODUCT(PRODUCT(1+N9:N$23)),4)</f>
        <v>1.4274</v>
      </c>
      <c r="Y9" s="2756">
        <f>ROUND(SUMPRODUCT(PRODUCT(1+O9:O$23)),4)</f>
        <v>1.2685</v>
      </c>
      <c r="Z9" s="2756">
        <f t="shared" si="0"/>
        <v>1.2685</v>
      </c>
      <c r="AA9" s="2756">
        <f>ROUND(SUMPRODUCT(PRODUCT(1+P9:P$23)),4)</f>
        <v>1.4825999999999999</v>
      </c>
      <c r="AB9" s="2756">
        <f>ROUND(SUMPRODUCT(PRODUCT(1+Q9:Q$23)),4)</f>
        <v>1.2309000000000001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2977</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5"/>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ROUND(SUMPRODUCT(PRODUCT(1+N10:N$23)),4)</f>
        <v>1.4034</v>
      </c>
      <c r="Y10" s="2756">
        <f>ROUND(SUMPRODUCT(PRODUCT(1+O10:O$23)),4)</f>
        <v>1.2463</v>
      </c>
      <c r="Z10" s="2756">
        <f t="shared" si="0"/>
        <v>1.2463</v>
      </c>
      <c r="AA10" s="2756">
        <f>ROUND(SUMPRODUCT(PRODUCT(1+P10:P$23)),4)</f>
        <v>1.4577</v>
      </c>
      <c r="AB10" s="2756">
        <f>ROUND(SUMPRODUCT(PRODUCT(1+Q10:Q$23)),4)</f>
        <v>1.2136</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2584</v>
      </c>
      <c r="B11" s="2671">
        <f t="shared" si="45"/>
        <v>419.31181600000002</v>
      </c>
      <c r="C11" s="2671">
        <f t="shared" si="45"/>
        <v>313.95436800000004</v>
      </c>
      <c r="D11" s="2671">
        <f t="shared" si="33"/>
        <v>313.95436800000004</v>
      </c>
      <c r="E11" s="2671">
        <f t="shared" si="46"/>
        <v>596.63028431999999</v>
      </c>
      <c r="F11" s="2671">
        <f t="shared" si="46"/>
        <v>274.74220703999998</v>
      </c>
      <c r="G11" s="3134"/>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ROUND(SUMPRODUCT(PRODUCT(1+N11:N$23)),4)</f>
        <v>1.3628</v>
      </c>
      <c r="Y11" s="2756">
        <f>ROUND(SUMPRODUCT(PRODUCT(1+O11:O$23)),4)</f>
        <v>1.2205999999999999</v>
      </c>
      <c r="Z11" s="2756">
        <f t="shared" si="0"/>
        <v>1.2205999999999999</v>
      </c>
      <c r="AA11" s="2756">
        <f>ROUND(SUMPRODUCT(PRODUCT(1+P11:P$23)),4)</f>
        <v>1.4118999999999999</v>
      </c>
      <c r="AB11" s="2756">
        <f>ROUND(SUMPRODUCT(PRODUCT(1+Q11:Q$23)),4)</f>
        <v>1.1930000000000001</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2585</v>
      </c>
      <c r="B12" s="2671">
        <f t="shared" si="45"/>
        <v>405.524</v>
      </c>
      <c r="C12" s="2671">
        <f t="shared" si="45"/>
        <v>307.79840000000002</v>
      </c>
      <c r="D12" s="2671">
        <f t="shared" si="33"/>
        <v>307.79840000000002</v>
      </c>
      <c r="E12" s="2671">
        <f t="shared" si="46"/>
        <v>574.67759999999998</v>
      </c>
      <c r="F12" s="2671">
        <f t="shared" si="46"/>
        <v>270.20280000000002</v>
      </c>
      <c r="G12" s="3135"/>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ROUND(SUMPRODUCT(PRODUCT(1+N12:N$23)),4)</f>
        <v>1.3180000000000001</v>
      </c>
      <c r="Y12" s="2756">
        <f>ROUND(SUMPRODUCT(PRODUCT(1+O12:O$23)),4)</f>
        <v>1.1966000000000001</v>
      </c>
      <c r="Z12" s="2756">
        <f t="shared" si="0"/>
        <v>1.1966000000000001</v>
      </c>
      <c r="AA12" s="2756">
        <f>ROUND(SUMPRODUCT(PRODUCT(1+P12:P$23)),4)</f>
        <v>1.36</v>
      </c>
      <c r="AB12" s="2756">
        <f>ROUND(SUMPRODUCT(PRODUCT(1+Q12:Q$23)),4)</f>
        <v>1.1733</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971</v>
      </c>
      <c r="B13" s="2663">
        <v>392</v>
      </c>
      <c r="C13" s="2663">
        <v>302</v>
      </c>
      <c r="D13" s="2663">
        <f t="shared" si="33"/>
        <v>302</v>
      </c>
      <c r="E13" s="2663">
        <v>553</v>
      </c>
      <c r="F13" s="2664">
        <v>266</v>
      </c>
      <c r="G13" s="3457">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ROUND(SUMPRODUCT(PRODUCT(1+N13:N$23)),4)</f>
        <v>1.274</v>
      </c>
      <c r="Y13" s="2756">
        <f>ROUND(SUMPRODUCT(PRODUCT(1+O13:O$23)),4)</f>
        <v>1.1740999999999999</v>
      </c>
      <c r="Z13" s="2756">
        <f t="shared" si="0"/>
        <v>1.1740999999999999</v>
      </c>
      <c r="AA13" s="2756">
        <f>ROUND(SUMPRODUCT(PRODUCT(1+P13:P$23)),4)</f>
        <v>1.3087</v>
      </c>
      <c r="AB13" s="2756">
        <f>ROUND(SUMPRODUCT(PRODUCT(1+Q13:Q$23)),4)</f>
        <v>1.1551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970</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452"/>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ROUND(SUMPRODUCT(PRODUCT(1+N14:N$23)),4)</f>
        <v>1.2184999999999999</v>
      </c>
      <c r="Y14" s="2756">
        <f>ROUND(SUMPRODUCT(PRODUCT(1+O14:O$23)),4)</f>
        <v>1.1494</v>
      </c>
      <c r="Z14" s="2756">
        <f t="shared" si="0"/>
        <v>1.1494</v>
      </c>
      <c r="AA14" s="2756">
        <f>ROUND(SUMPRODUCT(PRODUCT(1+P14:P$23)),4)</f>
        <v>1.2425999999999999</v>
      </c>
      <c r="AB14" s="2756">
        <f>ROUND(SUMPRODUCT(PRODUCT(1+Q14:Q$23)),4)</f>
        <v>1.1372</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960</v>
      </c>
      <c r="B15" s="2671">
        <f t="shared" si="54"/>
        <v>360.06949782209392</v>
      </c>
      <c r="C15" s="2671">
        <f t="shared" si="54"/>
        <v>289.84672674747821</v>
      </c>
      <c r="D15" s="2671">
        <f t="shared" si="55"/>
        <v>289.84672674747821</v>
      </c>
      <c r="E15" s="2671">
        <f t="shared" si="56"/>
        <v>501.06543001181495</v>
      </c>
      <c r="F15" s="2671">
        <f t="shared" si="56"/>
        <v>256.82882500744967</v>
      </c>
      <c r="G15" s="3452"/>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ROUND(SUMPRODUCT(PRODUCT(1+N15:N$23)),4)</f>
        <v>1.1702999999999999</v>
      </c>
      <c r="Y15" s="2756">
        <f>ROUND(SUMPRODUCT(PRODUCT(1+O15:O$23)),4)</f>
        <v>1.1269</v>
      </c>
      <c r="Z15" s="2756">
        <f t="shared" si="0"/>
        <v>1.1269</v>
      </c>
      <c r="AA15" s="2756">
        <f>ROUND(SUMPRODUCT(PRODUCT(1+P15:P$23)),4)</f>
        <v>1.1858</v>
      </c>
      <c r="AB15" s="2756">
        <f>ROUND(SUMPRODUCT(PRODUCT(1+Q15:Q$23)),4)</f>
        <v>1.1152</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969</v>
      </c>
      <c r="B16" s="2671">
        <f t="shared" si="54"/>
        <v>346.720748986128</v>
      </c>
      <c r="C16" s="2671">
        <f t="shared" si="54"/>
        <v>284.30282172386285</v>
      </c>
      <c r="D16" s="2671">
        <f t="shared" si="55"/>
        <v>284.30282172386285</v>
      </c>
      <c r="E16" s="2671">
        <f t="shared" si="56"/>
        <v>479.58023546306947</v>
      </c>
      <c r="F16" s="2671">
        <f t="shared" si="56"/>
        <v>253.25788877571213</v>
      </c>
      <c r="G16" s="3453"/>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ROUND(SUMPRODUCT(PRODUCT(1+N16:N$23)),4)</f>
        <v>1.1269</v>
      </c>
      <c r="Y16" s="2756">
        <f>ROUND(SUMPRODUCT(PRODUCT(1+O16:O$23)),4)</f>
        <v>1.1052999999999999</v>
      </c>
      <c r="Z16" s="2756">
        <f t="shared" si="0"/>
        <v>1.1052999999999999</v>
      </c>
      <c r="AA16" s="2756">
        <f>ROUND(SUMPRODUCT(PRODUCT(1+P16:P$23)),4)</f>
        <v>1.1349</v>
      </c>
      <c r="AB16" s="2756">
        <f>ROUND(SUMPRODUCT(PRODUCT(1+Q16:Q$23)),4)</f>
        <v>1.0996999999999999</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968</v>
      </c>
      <c r="B17" s="2663">
        <v>333</v>
      </c>
      <c r="C17" s="2663">
        <v>277</v>
      </c>
      <c r="D17" s="2663">
        <f t="shared" si="55"/>
        <v>277</v>
      </c>
      <c r="E17" s="2663">
        <v>459</v>
      </c>
      <c r="F17" s="2664">
        <v>249</v>
      </c>
      <c r="G17" s="3451">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ROUND(SUMPRODUCT(PRODUCT(1+N17:N$23)),4)</f>
        <v>1.0826</v>
      </c>
      <c r="Y17" s="2756">
        <f>ROUND(SUMPRODUCT(PRODUCT(1+O17:O$23)),4)</f>
        <v>1.0738000000000001</v>
      </c>
      <c r="Z17" s="2756">
        <f t="shared" si="0"/>
        <v>1.0738000000000001</v>
      </c>
      <c r="AA17" s="2756">
        <f>ROUND(SUMPRODUCT(PRODUCT(1+P17:P$23)),4)</f>
        <v>1.0855999999999999</v>
      </c>
      <c r="AB17" s="2756">
        <f>ROUND(SUMPRODUCT(PRODUCT(1+Q17:Q$23)),4)</f>
        <v>1.0837000000000001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967</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452"/>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ROUND(SUMPRODUCT(PRODUCT(1+N18:N$23)),4)</f>
        <v>1.0651999999999999</v>
      </c>
      <c r="Y18" s="2756">
        <f>ROUND(SUMPRODUCT(PRODUCT(1+O18:O$23)),4)</f>
        <v>1.0621</v>
      </c>
      <c r="Z18" s="2756">
        <f t="shared" si="0"/>
        <v>1.0621</v>
      </c>
      <c r="AA18" s="2756">
        <f>ROUND(SUMPRODUCT(PRODUCT(1+P18:P$23)),4)</f>
        <v>1.0668</v>
      </c>
      <c r="AB18" s="2756">
        <f>ROUND(SUMPRODUCT(PRODUCT(1+Q18:Q$23)),4)</f>
        <v>1.0636000000000001</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966</v>
      </c>
      <c r="B19" s="2671">
        <f t="shared" si="58"/>
        <v>322.34053690220776</v>
      </c>
      <c r="C19" s="2671">
        <f t="shared" si="58"/>
        <v>271.46160770422546</v>
      </c>
      <c r="D19" s="2671">
        <f t="shared" si="55"/>
        <v>271.46160770422546</v>
      </c>
      <c r="E19" s="2671">
        <f t="shared" si="59"/>
        <v>442.69434542172456</v>
      </c>
      <c r="F19" s="2671">
        <f t="shared" si="59"/>
        <v>241.34030753190925</v>
      </c>
      <c r="G19" s="3452"/>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ROUND(SUMPRODUCT(PRODUCT(1+N19:N$23)),4)</f>
        <v>1.048</v>
      </c>
      <c r="Y19" s="2756">
        <f>ROUND(SUMPRODUCT(PRODUCT(1+O19:O$23)),4)</f>
        <v>1.0524</v>
      </c>
      <c r="Z19" s="2756">
        <f t="shared" si="0"/>
        <v>1.0524</v>
      </c>
      <c r="AA19" s="2756">
        <f>ROUND(SUMPRODUCT(PRODUCT(1+P19:P$23)),4)</f>
        <v>1.0470999999999999</v>
      </c>
      <c r="AB19" s="2756">
        <f>ROUND(SUMPRODUCT(PRODUCT(1+Q19:Q$23)),4)</f>
        <v>1.0504</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965</v>
      </c>
      <c r="B20" s="2671">
        <f t="shared" si="58"/>
        <v>319.87748030386797</v>
      </c>
      <c r="C20" s="2671">
        <f t="shared" si="58"/>
        <v>269.60135833173649</v>
      </c>
      <c r="D20" s="2671">
        <f t="shared" si="55"/>
        <v>269.60135833173649</v>
      </c>
      <c r="E20" s="2671">
        <f t="shared" si="59"/>
        <v>439.18089823583784</v>
      </c>
      <c r="F20" s="2671">
        <f t="shared" si="59"/>
        <v>239.23503918706311</v>
      </c>
      <c r="G20" s="3453"/>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ROUND(SUMPRODUCT(PRODUCT(1+N20:N$23)),4)</f>
        <v>1.0399</v>
      </c>
      <c r="Y20" s="2756">
        <f>ROUND(SUMPRODUCT(PRODUCT(1+O20:O$23)),4)</f>
        <v>1.0451999999999999</v>
      </c>
      <c r="Z20" s="2756">
        <f t="shared" si="0"/>
        <v>1.0451999999999999</v>
      </c>
      <c r="AA20" s="2756">
        <f>ROUND(SUMPRODUCT(PRODUCT(1+P20:P$23)),4)</f>
        <v>1.0387999999999999</v>
      </c>
      <c r="AB20" s="2756">
        <f>ROUND(SUMPRODUCT(PRODUCT(1+Q20:Q$23)),4)</f>
        <v>1.0411999999999999</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964</v>
      </c>
      <c r="B21" s="2685">
        <v>318</v>
      </c>
      <c r="C21" s="2685">
        <v>268</v>
      </c>
      <c r="D21" s="2685">
        <f t="shared" si="55"/>
        <v>268</v>
      </c>
      <c r="E21" s="2685">
        <v>437</v>
      </c>
      <c r="F21" s="2686">
        <v>237</v>
      </c>
      <c r="G21" s="3451">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ROUND(SUMPRODUCT(PRODUCT(1+N21:N$23)),4)</f>
        <v>1.0347</v>
      </c>
      <c r="Y21" s="2756">
        <f>ROUND(SUMPRODUCT(PRODUCT(1+O21:O$23)),4)</f>
        <v>1.0395000000000001</v>
      </c>
      <c r="Z21" s="2756">
        <f t="shared" si="0"/>
        <v>1.0395000000000001</v>
      </c>
      <c r="AA21" s="2756">
        <f>ROUND(SUMPRODUCT(PRODUCT(1+P21:P$23)),4)</f>
        <v>1.0338000000000001</v>
      </c>
      <c r="AB21" s="2756">
        <f>ROUND(SUMPRODUCT(PRODUCT(1+Q21:Q$23)),4)</f>
        <v>1.0316000000000001</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963</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452"/>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ROUND(SUMPRODUCT(PRODUCT(1+N22:N$23)),4)</f>
        <v>1.0325</v>
      </c>
      <c r="Y22" s="2756">
        <f>ROUND(SUMPRODUCT(PRODUCT(1+O22:O$23)),4)</f>
        <v>1.0353000000000001</v>
      </c>
      <c r="Z22" s="2756">
        <f t="shared" ref="Z22:Z23" si="62">Y22</f>
        <v>1.0353000000000001</v>
      </c>
      <c r="AA22" s="2756">
        <f>ROUND(SUMPRODUCT(PRODUCT(1+P22:P$23)),4)</f>
        <v>1.0326</v>
      </c>
      <c r="AB22" s="2756">
        <f>ROUND(SUMPRODUCT(PRODUCT(1+Q22:Q$23)),4)</f>
        <v>1.0225</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962</v>
      </c>
      <c r="B23" s="2671">
        <f t="shared" si="60"/>
        <v>314.72141172386546</v>
      </c>
      <c r="C23" s="2671">
        <f t="shared" si="60"/>
        <v>263.03901319069001</v>
      </c>
      <c r="D23" s="2671">
        <f t="shared" si="55"/>
        <v>263.03901319069001</v>
      </c>
      <c r="E23" s="2671">
        <f t="shared" si="61"/>
        <v>433.65745506782821</v>
      </c>
      <c r="F23" s="2671">
        <f t="shared" si="61"/>
        <v>233.23005080045735</v>
      </c>
      <c r="G23" s="3452"/>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1+N23</f>
        <v>1.024</v>
      </c>
      <c r="Y23" s="2756">
        <f>1+O23</f>
        <v>1.0203</v>
      </c>
      <c r="Z23" s="2756">
        <f t="shared" si="62"/>
        <v>1.0203</v>
      </c>
      <c r="AA23" s="2756">
        <f>1+P23</f>
        <v>1.0259</v>
      </c>
      <c r="AB23" s="2756">
        <f>1+Q23</f>
        <v>1.0152000000000001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961</v>
      </c>
      <c r="B24" s="2690">
        <f t="shared" si="60"/>
        <v>307.34512863658733</v>
      </c>
      <c r="C24" s="2690">
        <f t="shared" si="60"/>
        <v>257.80556031626975</v>
      </c>
      <c r="D24" s="2690">
        <f t="shared" si="55"/>
        <v>257.80556031626975</v>
      </c>
      <c r="E24" s="2690">
        <f t="shared" si="61"/>
        <v>422.70928459677179</v>
      </c>
      <c r="F24" s="2690">
        <f t="shared" si="61"/>
        <v>229.73803270336617</v>
      </c>
      <c r="G24" s="3453"/>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2643</v>
      </c>
      <c r="X24" s="2767">
        <v>1</v>
      </c>
      <c r="Y24" s="2767">
        <v>1</v>
      </c>
      <c r="Z24" s="2767">
        <v>1</v>
      </c>
      <c r="AA24" s="2767">
        <v>1</v>
      </c>
      <c r="AB24" s="2767">
        <v>1</v>
      </c>
      <c r="AD24" s="3010">
        <f>I24/100</f>
        <v>2.9700000000000001E-2</v>
      </c>
      <c r="AE24" s="3010">
        <f>J24/100</f>
        <v>2.3399999999999997E-2</v>
      </c>
      <c r="AF24" s="3010">
        <f>AE24</f>
        <v>2.3399999999999997E-2</v>
      </c>
      <c r="AG24" s="3010">
        <f>K24/100</f>
        <v>3.2799999999999996E-2</v>
      </c>
      <c r="AH24" s="3010">
        <f>L24/100</f>
        <v>1.3600000000000001E-2</v>
      </c>
    </row>
    <row r="25" spans="1:34" ht="13.5" thickBot="1">
      <c r="A25" s="2657" t="s">
        <v>2586</v>
      </c>
      <c r="B25" s="2663">
        <v>299</v>
      </c>
      <c r="C25" s="2663">
        <v>252</v>
      </c>
      <c r="D25" s="2663">
        <f t="shared" si="55"/>
        <v>252</v>
      </c>
      <c r="E25" s="2663">
        <v>409</v>
      </c>
      <c r="F25" s="2664">
        <v>227</v>
      </c>
      <c r="G25" s="3454">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2587</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455"/>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2588</v>
      </c>
      <c r="B27" s="2671">
        <f t="shared" si="64"/>
        <v>288.2649053828776</v>
      </c>
      <c r="C27" s="2671">
        <f t="shared" si="64"/>
        <v>243.64564425013293</v>
      </c>
      <c r="D27" s="2671">
        <f t="shared" si="55"/>
        <v>243.64564425013293</v>
      </c>
      <c r="E27" s="2671">
        <f t="shared" si="65"/>
        <v>393.31080825986544</v>
      </c>
      <c r="F27" s="2671">
        <f t="shared" si="65"/>
        <v>223.07903790551154</v>
      </c>
      <c r="G27" s="3455"/>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2589</v>
      </c>
      <c r="B28" s="2671">
        <f t="shared" si="64"/>
        <v>282.50186729015837</v>
      </c>
      <c r="C28" s="2671">
        <f t="shared" si="64"/>
        <v>238.09796174155468</v>
      </c>
      <c r="D28" s="2671">
        <f t="shared" si="55"/>
        <v>238.09796174155468</v>
      </c>
      <c r="E28" s="2671">
        <f t="shared" si="65"/>
        <v>385.33438646014054</v>
      </c>
      <c r="F28" s="2671">
        <f t="shared" si="65"/>
        <v>221.55034055567739</v>
      </c>
      <c r="G28" s="3456"/>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2590</v>
      </c>
      <c r="B29" s="2701">
        <v>278</v>
      </c>
      <c r="C29" s="2701">
        <v>234</v>
      </c>
      <c r="D29" s="2701">
        <f t="shared" si="55"/>
        <v>234</v>
      </c>
      <c r="E29" s="2701">
        <v>379</v>
      </c>
      <c r="F29" s="2702">
        <v>220</v>
      </c>
      <c r="G29" s="3451">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2591</v>
      </c>
      <c r="B30" s="2671">
        <f>B29/(1+N29)</f>
        <v>275.49301357645425</v>
      </c>
      <c r="C30" s="2671">
        <f>C29/(1+O29)</f>
        <v>232.41954707985698</v>
      </c>
      <c r="D30" s="2671">
        <f t="shared" si="55"/>
        <v>232.41954707985698</v>
      </c>
      <c r="E30" s="2671">
        <f t="shared" ref="E30:F32" si="66">E29/(1+P29)</f>
        <v>375.32184591008121</v>
      </c>
      <c r="F30" s="2671">
        <f t="shared" si="66"/>
        <v>218.03766105054513</v>
      </c>
      <c r="G30" s="3452"/>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2592</v>
      </c>
      <c r="B31" s="2671">
        <f>B30/(1+N30)</f>
        <v>275.24529281292263</v>
      </c>
      <c r="C31" s="2671">
        <f>C30/(1+O30)</f>
        <v>231.74747938962707</v>
      </c>
      <c r="D31" s="2671">
        <f t="shared" si="55"/>
        <v>231.74747938962707</v>
      </c>
      <c r="E31" s="2671">
        <f t="shared" si="66"/>
        <v>375.35938184826603</v>
      </c>
      <c r="F31" s="2671">
        <f t="shared" si="66"/>
        <v>216.78033510692495</v>
      </c>
      <c r="G31" s="3452"/>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2593</v>
      </c>
      <c r="B32" s="2671">
        <f>B31/(1+N31)</f>
        <v>275.19025476197027</v>
      </c>
      <c r="C32" s="2703">
        <v>232</v>
      </c>
      <c r="D32" s="2703">
        <f t="shared" si="55"/>
        <v>232</v>
      </c>
      <c r="E32" s="2671">
        <f t="shared" si="66"/>
        <v>375.65990977608692</v>
      </c>
      <c r="F32" s="2671">
        <f t="shared" si="66"/>
        <v>214.12518283971252</v>
      </c>
      <c r="G32" s="3453"/>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2594</v>
      </c>
      <c r="B33" s="2663">
        <v>275</v>
      </c>
      <c r="C33" s="2663">
        <v>232</v>
      </c>
      <c r="D33" s="2663">
        <f t="shared" si="55"/>
        <v>232</v>
      </c>
      <c r="E33" s="2663">
        <v>376</v>
      </c>
      <c r="F33" s="2664">
        <v>213</v>
      </c>
      <c r="G33" s="3451">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2595</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452">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2596</v>
      </c>
      <c r="B35" s="2671">
        <f t="shared" si="67"/>
        <v>275.19335084830601</v>
      </c>
      <c r="C35" s="2671">
        <f t="shared" si="67"/>
        <v>230.18088050139744</v>
      </c>
      <c r="D35" s="2671">
        <f t="shared" si="55"/>
        <v>230.18088050139744</v>
      </c>
      <c r="E35" s="2671">
        <f t="shared" si="68"/>
        <v>377.58482925212331</v>
      </c>
      <c r="F35" s="2671">
        <f t="shared" si="68"/>
        <v>210.90687997847917</v>
      </c>
      <c r="G35" s="3452">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2597</v>
      </c>
      <c r="B36" s="2671">
        <f t="shared" si="67"/>
        <v>276.29854502841971</v>
      </c>
      <c r="C36" s="2671">
        <f t="shared" si="67"/>
        <v>229.79023709833027</v>
      </c>
      <c r="D36" s="2671">
        <f t="shared" si="55"/>
        <v>229.79023709833027</v>
      </c>
      <c r="E36" s="2671">
        <f t="shared" si="68"/>
        <v>379.78759731655936</v>
      </c>
      <c r="F36" s="2671">
        <f t="shared" si="68"/>
        <v>211.32953905659235</v>
      </c>
      <c r="G36" s="3453">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2598</v>
      </c>
      <c r="B37" s="2663">
        <v>269</v>
      </c>
      <c r="C37" s="2663">
        <v>221</v>
      </c>
      <c r="D37" s="2663">
        <f t="shared" si="55"/>
        <v>221</v>
      </c>
      <c r="E37" s="2663">
        <v>373</v>
      </c>
      <c r="F37" s="2664">
        <v>196</v>
      </c>
      <c r="G37" s="3451">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2599</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452">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2600</v>
      </c>
      <c r="B39" s="2671">
        <f t="shared" si="69"/>
        <v>242.95398227588385</v>
      </c>
      <c r="C39" s="2671">
        <f t="shared" si="69"/>
        <v>199.59137053614126</v>
      </c>
      <c r="D39" s="2671">
        <f t="shared" si="55"/>
        <v>199.59137053614126</v>
      </c>
      <c r="E39" s="2671">
        <f t="shared" si="70"/>
        <v>335.92189522342125</v>
      </c>
      <c r="F39" s="2671">
        <f t="shared" si="70"/>
        <v>183.10139991109489</v>
      </c>
      <c r="G39" s="3452">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2601</v>
      </c>
      <c r="B40" s="2671">
        <f t="shared" si="69"/>
        <v>232.06990378821649</v>
      </c>
      <c r="C40" s="2671">
        <f t="shared" si="69"/>
        <v>192.74878854286936</v>
      </c>
      <c r="D40" s="2671">
        <f t="shared" si="55"/>
        <v>192.74878854286936</v>
      </c>
      <c r="E40" s="2671">
        <f t="shared" si="70"/>
        <v>319.71247284992984</v>
      </c>
      <c r="F40" s="2671">
        <f t="shared" si="70"/>
        <v>175.67053622862409</v>
      </c>
      <c r="G40" s="3453">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2602</v>
      </c>
      <c r="B41" s="2663">
        <v>220</v>
      </c>
      <c r="C41" s="2663">
        <v>187</v>
      </c>
      <c r="D41" s="2663">
        <f t="shared" si="55"/>
        <v>187</v>
      </c>
      <c r="E41" s="2663">
        <v>301</v>
      </c>
      <c r="F41" s="2664">
        <v>168</v>
      </c>
      <c r="G41" s="3451">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2603</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452">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2604</v>
      </c>
      <c r="B43" s="2671">
        <f t="shared" si="71"/>
        <v>210.630522469011</v>
      </c>
      <c r="C43" s="2671">
        <f t="shared" si="71"/>
        <v>181.69567812247232</v>
      </c>
      <c r="D43" s="2671">
        <f t="shared" si="55"/>
        <v>181.69567812247232</v>
      </c>
      <c r="E43" s="2671">
        <f t="shared" si="72"/>
        <v>286.13517466736738</v>
      </c>
      <c r="F43" s="2671">
        <f t="shared" si="72"/>
        <v>165.47535084591149</v>
      </c>
      <c r="G43" s="3452">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2605</v>
      </c>
      <c r="B44" s="2671">
        <f t="shared" si="71"/>
        <v>208.83454537875372</v>
      </c>
      <c r="C44" s="2671">
        <f t="shared" si="71"/>
        <v>183.77230517090351</v>
      </c>
      <c r="D44" s="2671">
        <f t="shared" si="55"/>
        <v>183.77230517090351</v>
      </c>
      <c r="E44" s="2671">
        <f t="shared" si="72"/>
        <v>281.10342338870947</v>
      </c>
      <c r="F44" s="2671">
        <f t="shared" si="72"/>
        <v>168.97309388942256</v>
      </c>
      <c r="G44" s="3453">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2606</v>
      </c>
      <c r="B45" s="2701">
        <v>214</v>
      </c>
      <c r="C45" s="2701">
        <v>188</v>
      </c>
      <c r="D45" s="2701">
        <f t="shared" si="55"/>
        <v>188</v>
      </c>
      <c r="E45" s="2701">
        <v>289</v>
      </c>
      <c r="F45" s="2702">
        <v>166</v>
      </c>
      <c r="G45" s="3451">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2607</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452">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2608</v>
      </c>
      <c r="B47" s="2671">
        <f t="shared" si="73"/>
        <v>206.31694671589116</v>
      </c>
      <c r="C47" s="2671">
        <f t="shared" si="73"/>
        <v>183.61041121036101</v>
      </c>
      <c r="D47" s="2671">
        <f t="shared" si="55"/>
        <v>183.61041121036101</v>
      </c>
      <c r="E47" s="2671">
        <f t="shared" si="74"/>
        <v>276.66850301795557</v>
      </c>
      <c r="F47" s="2671">
        <f t="shared" si="74"/>
        <v>165.1360938278614</v>
      </c>
      <c r="G47" s="3452">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2609</v>
      </c>
      <c r="B48" s="2704">
        <f t="shared" si="73"/>
        <v>196.62341248059772</v>
      </c>
      <c r="C48" s="2704">
        <f t="shared" si="73"/>
        <v>170.99125648199012</v>
      </c>
      <c r="D48" s="2704">
        <f t="shared" si="55"/>
        <v>170.99125648199012</v>
      </c>
      <c r="E48" s="2704">
        <f t="shared" si="74"/>
        <v>266.07857570490052</v>
      </c>
      <c r="F48" s="2704">
        <f t="shared" si="74"/>
        <v>154.53499328828505</v>
      </c>
      <c r="G48" s="3453">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2610</v>
      </c>
      <c r="B49" s="2663">
        <v>188</v>
      </c>
      <c r="C49" s="2663">
        <v>165</v>
      </c>
      <c r="D49" s="2663">
        <f t="shared" si="55"/>
        <v>165</v>
      </c>
      <c r="E49" s="2663">
        <v>254</v>
      </c>
      <c r="F49" s="2664">
        <v>148</v>
      </c>
      <c r="G49" s="3451">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2611</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452">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2612</v>
      </c>
      <c r="B51" s="2671">
        <f t="shared" si="77"/>
        <v>168.82017748715555</v>
      </c>
      <c r="C51" s="2671">
        <f t="shared" si="77"/>
        <v>148.06267029972753</v>
      </c>
      <c r="D51" s="2671">
        <f t="shared" si="55"/>
        <v>148.06267029972753</v>
      </c>
      <c r="E51" s="2671">
        <f t="shared" si="78"/>
        <v>216.46288379323747</v>
      </c>
      <c r="F51" s="2671">
        <f t="shared" si="78"/>
        <v>134.23529411764704</v>
      </c>
      <c r="G51" s="3452">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2613</v>
      </c>
      <c r="B52" s="2671">
        <f t="shared" si="77"/>
        <v>163.84913591779542</v>
      </c>
      <c r="C52" s="2671">
        <f t="shared" si="77"/>
        <v>145.0283378746594</v>
      </c>
      <c r="D52" s="2671">
        <f t="shared" si="55"/>
        <v>145.0283378746594</v>
      </c>
      <c r="E52" s="2671">
        <f t="shared" si="78"/>
        <v>204.95180722891567</v>
      </c>
      <c r="F52" s="2671">
        <f t="shared" si="78"/>
        <v>125.95920303605313</v>
      </c>
      <c r="G52" s="3453">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2614</v>
      </c>
      <c r="B53" s="2685">
        <v>159</v>
      </c>
      <c r="C53" s="2685">
        <v>141</v>
      </c>
      <c r="D53" s="2685">
        <f t="shared" si="55"/>
        <v>141</v>
      </c>
      <c r="E53" s="2685">
        <v>195</v>
      </c>
      <c r="F53" s="2686">
        <v>122</v>
      </c>
      <c r="G53" s="3451">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2615</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452">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2616</v>
      </c>
      <c r="B55" s="2671">
        <f t="shared" si="81"/>
        <v>146.57412060301507</v>
      </c>
      <c r="C55" s="2671">
        <f t="shared" si="81"/>
        <v>136.46831955922866</v>
      </c>
      <c r="D55" s="2671">
        <f t="shared" si="55"/>
        <v>136.46831955922866</v>
      </c>
      <c r="E55" s="2671">
        <f t="shared" si="82"/>
        <v>166.73864894795128</v>
      </c>
      <c r="F55" s="2671">
        <f t="shared" si="82"/>
        <v>115.05882352941177</v>
      </c>
      <c r="G55" s="3452">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2617</v>
      </c>
      <c r="B56" s="2671">
        <f t="shared" si="81"/>
        <v>144.04145728643215</v>
      </c>
      <c r="C56" s="2671">
        <f t="shared" si="81"/>
        <v>136.12396694214877</v>
      </c>
      <c r="D56" s="2671">
        <f t="shared" si="55"/>
        <v>136.12396694214877</v>
      </c>
      <c r="E56" s="2671">
        <f t="shared" si="82"/>
        <v>158.32225913621264</v>
      </c>
      <c r="F56" s="2671">
        <f t="shared" si="82"/>
        <v>114.04278074866311</v>
      </c>
      <c r="G56" s="3453">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2618</v>
      </c>
      <c r="B57" s="2685">
        <v>138</v>
      </c>
      <c r="C57" s="2685">
        <v>131</v>
      </c>
      <c r="D57" s="2685">
        <f t="shared" si="55"/>
        <v>131</v>
      </c>
      <c r="E57" s="2685">
        <v>155</v>
      </c>
      <c r="F57" s="2686">
        <v>114</v>
      </c>
      <c r="G57" s="3451">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2619</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452">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2620</v>
      </c>
      <c r="B59" s="2671">
        <f t="shared" si="85"/>
        <v>124.29032258064517</v>
      </c>
      <c r="C59" s="2671">
        <f t="shared" si="85"/>
        <v>123.8968609865471</v>
      </c>
      <c r="D59" s="2671">
        <f t="shared" si="55"/>
        <v>123.8968609865471</v>
      </c>
      <c r="E59" s="2671">
        <f t="shared" si="86"/>
        <v>138.00507614213197</v>
      </c>
      <c r="F59" s="2671">
        <f t="shared" si="86"/>
        <v>107.96106557377048</v>
      </c>
      <c r="G59" s="3452">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2621</v>
      </c>
      <c r="B60" s="2671">
        <f t="shared" si="85"/>
        <v>122.57204301075269</v>
      </c>
      <c r="C60" s="2671">
        <f t="shared" si="85"/>
        <v>123.4932735426009</v>
      </c>
      <c r="D60" s="2671">
        <f t="shared" si="55"/>
        <v>123.4932735426009</v>
      </c>
      <c r="E60" s="2671">
        <f t="shared" si="86"/>
        <v>129.82233502538071</v>
      </c>
      <c r="F60" s="2671">
        <f t="shared" si="86"/>
        <v>107.39446721311475</v>
      </c>
      <c r="G60" s="3453">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2622</v>
      </c>
      <c r="B61" s="2701">
        <v>121</v>
      </c>
      <c r="C61" s="2701">
        <v>122</v>
      </c>
      <c r="D61" s="2701">
        <f t="shared" si="55"/>
        <v>122</v>
      </c>
      <c r="E61" s="2701">
        <v>124</v>
      </c>
      <c r="F61" s="2702">
        <v>107</v>
      </c>
      <c r="G61" s="3451">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2623</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452">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2624</v>
      </c>
      <c r="B63" s="2671">
        <f t="shared" si="89"/>
        <v>116.99099099099099</v>
      </c>
      <c r="C63" s="2671">
        <f t="shared" si="89"/>
        <v>118.84848484848486</v>
      </c>
      <c r="D63" s="2671">
        <f t="shared" si="55"/>
        <v>118.84848484848486</v>
      </c>
      <c r="E63" s="2671">
        <f t="shared" si="90"/>
        <v>117.60960960960961</v>
      </c>
      <c r="F63" s="2671">
        <f t="shared" si="90"/>
        <v>104</v>
      </c>
      <c r="G63" s="3452">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2625</v>
      </c>
      <c r="B64" s="2704">
        <f t="shared" si="89"/>
        <v>112.48648648648648</v>
      </c>
      <c r="C64" s="2704">
        <f t="shared" si="89"/>
        <v>115.21212121212122</v>
      </c>
      <c r="D64" s="2704">
        <f t="shared" si="55"/>
        <v>115.21212121212122</v>
      </c>
      <c r="E64" s="2704">
        <f t="shared" si="90"/>
        <v>110.4024024024024</v>
      </c>
      <c r="F64" s="2704">
        <f t="shared" si="90"/>
        <v>104</v>
      </c>
      <c r="G64" s="3453">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2626</v>
      </c>
      <c r="B65" s="2722">
        <v>111</v>
      </c>
      <c r="C65" s="2722">
        <v>114</v>
      </c>
      <c r="D65" s="2722">
        <f t="shared" si="55"/>
        <v>114</v>
      </c>
      <c r="E65" s="2722">
        <v>108</v>
      </c>
      <c r="F65" s="2723">
        <v>104</v>
      </c>
      <c r="G65" s="3451">
        <v>2003</v>
      </c>
      <c r="H65" s="2712">
        <v>4</v>
      </c>
      <c r="I65" s="2724"/>
      <c r="J65" s="2724"/>
      <c r="K65" s="2724"/>
      <c r="L65" s="2724"/>
      <c r="N65" s="2725"/>
      <c r="O65" s="2724"/>
      <c r="P65" s="2724"/>
      <c r="Q65" s="2724"/>
      <c r="S65" s="2725"/>
      <c r="T65" s="2724"/>
      <c r="U65" s="2724"/>
      <c r="V65" s="2724"/>
      <c r="X65" s="2716"/>
      <c r="Y65" s="2716"/>
      <c r="Z65" s="2716"/>
    </row>
    <row r="66" spans="1:26">
      <c r="A66" s="2657" t="s">
        <v>2627</v>
      </c>
      <c r="B66" s="2726">
        <f t="shared" ref="B66:C68" si="91">B67+(B$65-B$69)/4</f>
        <v>109.75</v>
      </c>
      <c r="C66" s="2726">
        <f t="shared" si="91"/>
        <v>112.25</v>
      </c>
      <c r="D66" s="2726">
        <f t="shared" si="55"/>
        <v>112.25</v>
      </c>
      <c r="E66" s="2726">
        <f t="shared" ref="E66:F68" si="92">E67+(E$65-E$69)/4</f>
        <v>107.25</v>
      </c>
      <c r="F66" s="2726">
        <f t="shared" si="92"/>
        <v>103.5</v>
      </c>
      <c r="G66" s="3452">
        <v>2003</v>
      </c>
      <c r="H66" s="2682">
        <v>3</v>
      </c>
      <c r="I66" s="2724"/>
      <c r="J66" s="2724"/>
      <c r="K66" s="2724"/>
      <c r="L66" s="2724"/>
      <c r="X66" s="2716"/>
      <c r="Y66" s="2716"/>
      <c r="Z66" s="2716"/>
    </row>
    <row r="67" spans="1:26">
      <c r="A67" s="2657" t="s">
        <v>2628</v>
      </c>
      <c r="B67" s="2726">
        <f t="shared" si="91"/>
        <v>108.5</v>
      </c>
      <c r="C67" s="2726">
        <f t="shared" si="91"/>
        <v>110.5</v>
      </c>
      <c r="D67" s="2726">
        <f t="shared" si="55"/>
        <v>110.5</v>
      </c>
      <c r="E67" s="2726">
        <f t="shared" si="92"/>
        <v>106.5</v>
      </c>
      <c r="F67" s="2726">
        <f t="shared" si="92"/>
        <v>103</v>
      </c>
      <c r="G67" s="3452">
        <v>2003</v>
      </c>
      <c r="H67" s="2662">
        <v>2</v>
      </c>
      <c r="I67" s="2724"/>
      <c r="J67" s="2724"/>
      <c r="K67" s="2724"/>
      <c r="L67" s="2724"/>
      <c r="X67" s="2716"/>
      <c r="Y67" s="2716"/>
      <c r="Z67" s="2716"/>
    </row>
    <row r="68" spans="1:26" ht="13.5" thickBot="1">
      <c r="A68" s="2657" t="s">
        <v>2629</v>
      </c>
      <c r="B68" s="2726">
        <f t="shared" si="91"/>
        <v>107.25</v>
      </c>
      <c r="C68" s="2726">
        <f t="shared" si="91"/>
        <v>108.75</v>
      </c>
      <c r="D68" s="2726">
        <f t="shared" si="55"/>
        <v>108.75</v>
      </c>
      <c r="E68" s="2726">
        <f t="shared" si="92"/>
        <v>105.75</v>
      </c>
      <c r="F68" s="2726">
        <f t="shared" si="92"/>
        <v>102.5</v>
      </c>
      <c r="G68" s="3453">
        <v>2003</v>
      </c>
      <c r="H68" s="2727">
        <v>1</v>
      </c>
      <c r="I68" s="2724"/>
      <c r="J68" s="2724"/>
      <c r="K68" s="2724"/>
      <c r="L68" s="2724"/>
      <c r="S68" s="2666"/>
      <c r="T68" s="2667"/>
      <c r="U68" s="2667"/>
      <c r="X68" s="2716"/>
      <c r="Y68" s="2716"/>
      <c r="Z68" s="2716"/>
    </row>
    <row r="69" spans="1:26" ht="13.5" thickBot="1">
      <c r="A69" s="2657" t="s">
        <v>2630</v>
      </c>
      <c r="B69" s="2728">
        <v>106</v>
      </c>
      <c r="C69" s="2728">
        <v>107</v>
      </c>
      <c r="D69" s="2728">
        <f t="shared" si="55"/>
        <v>107</v>
      </c>
      <c r="E69" s="2728">
        <v>105</v>
      </c>
      <c r="F69" s="2729">
        <v>102</v>
      </c>
      <c r="G69" s="3451">
        <v>2002</v>
      </c>
      <c r="H69" s="2677">
        <v>4</v>
      </c>
      <c r="I69" s="2724"/>
      <c r="J69" s="2724"/>
      <c r="K69" s="2724"/>
      <c r="L69" s="2724"/>
      <c r="N69" s="2725"/>
      <c r="O69" s="2724"/>
      <c r="P69" s="2724"/>
      <c r="Q69" s="2724"/>
      <c r="S69" s="2725"/>
      <c r="T69" s="2724"/>
      <c r="U69" s="2724"/>
      <c r="V69" s="2724"/>
      <c r="X69" s="2716"/>
      <c r="Y69" s="2716"/>
      <c r="Z69" s="2716"/>
    </row>
    <row r="70" spans="1:26">
      <c r="A70" s="2657" t="s">
        <v>2631</v>
      </c>
      <c r="B70" s="2726">
        <f t="shared" ref="B70:C72" si="93">B71+(B$69-B$73)/4</f>
        <v>105</v>
      </c>
      <c r="C70" s="2726">
        <f t="shared" si="93"/>
        <v>106</v>
      </c>
      <c r="D70" s="2726">
        <f t="shared" si="55"/>
        <v>106</v>
      </c>
      <c r="E70" s="2726">
        <f t="shared" ref="E70:F72" si="94">E71+(E$69-E$73)/4</f>
        <v>104.5</v>
      </c>
      <c r="F70" s="2726">
        <f t="shared" si="94"/>
        <v>101.5</v>
      </c>
      <c r="G70" s="3452">
        <v>2002</v>
      </c>
      <c r="H70" s="2682">
        <v>3</v>
      </c>
      <c r="I70" s="2724"/>
      <c r="J70" s="2724"/>
      <c r="K70" s="2724"/>
      <c r="L70" s="2724"/>
      <c r="X70" s="2716"/>
      <c r="Y70" s="2716"/>
      <c r="Z70" s="2716"/>
    </row>
    <row r="71" spans="1:26">
      <c r="A71" s="2657" t="s">
        <v>2632</v>
      </c>
      <c r="B71" s="2726">
        <f t="shared" si="93"/>
        <v>104</v>
      </c>
      <c r="C71" s="2726">
        <f t="shared" si="93"/>
        <v>105</v>
      </c>
      <c r="D71" s="2726">
        <f t="shared" si="55"/>
        <v>105</v>
      </c>
      <c r="E71" s="2726">
        <f t="shared" si="94"/>
        <v>104</v>
      </c>
      <c r="F71" s="2726">
        <f t="shared" si="94"/>
        <v>101</v>
      </c>
      <c r="G71" s="3452">
        <v>2002</v>
      </c>
      <c r="H71" s="2662">
        <v>2</v>
      </c>
      <c r="I71" s="2724"/>
      <c r="J71" s="2724"/>
      <c r="K71" s="2724"/>
      <c r="L71" s="2724"/>
      <c r="X71" s="2716"/>
      <c r="Y71" s="2716"/>
      <c r="Z71" s="2716"/>
    </row>
    <row r="72" spans="1:26" s="2693" customFormat="1" ht="13.5" thickBot="1">
      <c r="A72" s="2689" t="s">
        <v>2633</v>
      </c>
      <c r="B72" s="2730">
        <f t="shared" si="93"/>
        <v>103</v>
      </c>
      <c r="C72" s="2730">
        <f t="shared" si="93"/>
        <v>104</v>
      </c>
      <c r="D72" s="2730">
        <f t="shared" si="55"/>
        <v>104</v>
      </c>
      <c r="E72" s="2730">
        <f t="shared" si="94"/>
        <v>103.5</v>
      </c>
      <c r="F72" s="2730">
        <f t="shared" si="94"/>
        <v>100.5</v>
      </c>
      <c r="G72" s="3453">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2634</v>
      </c>
      <c r="G75" s="2740"/>
      <c r="N75" s="2740"/>
      <c r="S75" s="2740"/>
    </row>
    <row r="76" spans="1:26" s="2739" customFormat="1">
      <c r="A76" s="2739" t="s">
        <v>2635</v>
      </c>
      <c r="G76" s="2740"/>
      <c r="N76" s="2740"/>
      <c r="S76" s="2740"/>
    </row>
    <row r="77" spans="1:26" s="2739" customFormat="1">
      <c r="A77" s="2739" t="s">
        <v>2636</v>
      </c>
      <c r="G77" s="2740"/>
      <c r="I77" s="2741"/>
      <c r="J77" s="2741"/>
      <c r="K77" s="2741"/>
      <c r="L77" s="2741"/>
      <c r="N77" s="2742"/>
      <c r="O77" s="2741"/>
      <c r="P77" s="2741"/>
      <c r="Q77" s="2741"/>
      <c r="S77" s="2742"/>
      <c r="T77" s="2741"/>
      <c r="U77" s="2741"/>
      <c r="V77" s="2741"/>
    </row>
    <row r="78" spans="1:26" s="2739" customFormat="1">
      <c r="A78" s="2739" t="s">
        <v>2637</v>
      </c>
      <c r="G78" s="2740"/>
      <c r="N78" s="2740"/>
      <c r="S78" s="2740"/>
    </row>
    <row r="85" spans="7:22" ht="13.5" thickBot="1"/>
    <row r="86" spans="7:22">
      <c r="G86" s="2665"/>
      <c r="S86" s="2743" t="s">
        <v>2638</v>
      </c>
      <c r="T86" s="2744" t="s">
        <v>2639</v>
      </c>
      <c r="U86" s="2744" t="s">
        <v>2640</v>
      </c>
      <c r="V86" s="2744" t="s">
        <v>2641</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6" sqref="C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1678</v>
      </c>
      <c r="D1" s="3127" t="s">
        <v>3088</v>
      </c>
      <c r="E1" s="2389" t="s">
        <v>2377</v>
      </c>
      <c r="F1" s="2390">
        <f ca="1">J53</f>
        <v>42.07</v>
      </c>
      <c r="G1" s="774">
        <f>MATCH(C1,'数据-取费表'!A6:A16,0)+5</f>
        <v>6</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118038</v>
      </c>
      <c r="C2" s="2059"/>
      <c r="D2" s="2057"/>
      <c r="E2" s="2058"/>
      <c r="F2" s="2058"/>
      <c r="G2" s="1591"/>
      <c r="H2" s="2059"/>
      <c r="I2" s="2059"/>
      <c r="J2" s="2059"/>
      <c r="K2" s="2060"/>
      <c r="L2" s="2059"/>
      <c r="M2" s="2059"/>
    </row>
    <row r="3" spans="1:33" ht="18" customHeight="1" thickBot="1">
      <c r="A3" s="833" t="s">
        <v>1728</v>
      </c>
      <c r="B3" s="834">
        <f ca="1">IF(ISERROR(B2*10000/F43),0,ROUND(B2*10000/F43,0))</f>
        <v>23397</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6970</v>
      </c>
      <c r="D5" s="2498" t="s">
        <v>2464</v>
      </c>
      <c r="E5" s="2492"/>
      <c r="F5" s="2493"/>
      <c r="G5" s="1593"/>
      <c r="H5" s="781">
        <v>1</v>
      </c>
      <c r="I5" s="782" t="s">
        <v>2461</v>
      </c>
      <c r="J5" s="55">
        <f ca="1">J6+J10+J12</f>
        <v>0</v>
      </c>
      <c r="K5" s="2498" t="s">
        <v>2464</v>
      </c>
      <c r="L5" s="2492"/>
      <c r="M5" s="2493"/>
    </row>
    <row r="6" spans="1:33" ht="18" customHeight="1">
      <c r="A6" s="1832" t="s">
        <v>1825</v>
      </c>
      <c r="B6" s="3442" t="s">
        <v>2466</v>
      </c>
      <c r="C6" s="783">
        <f ca="1">ROUND(F6*F8*F7*(1-F9)/10000,0)</f>
        <v>6961</v>
      </c>
      <c r="D6" s="2499" t="s">
        <v>2465</v>
      </c>
      <c r="E6" s="784" t="s">
        <v>1739</v>
      </c>
      <c r="F6" s="785">
        <f ca="1">INDIRECT("'数据-取费表'!u"&amp;$G$1)</f>
        <v>4.2</v>
      </c>
      <c r="G6" s="1593"/>
      <c r="H6" s="2506" t="s">
        <v>2471</v>
      </c>
      <c r="I6" s="3442" t="s">
        <v>2466</v>
      </c>
      <c r="J6" s="783">
        <f ca="1">ROUND(M6*M8*M7*(1-M9)/10000,0)</f>
        <v>0</v>
      </c>
      <c r="K6" s="341" t="s">
        <v>1738</v>
      </c>
      <c r="L6" s="784" t="s">
        <v>1739</v>
      </c>
      <c r="M6" s="785">
        <f ca="1">INDIRECT("'数据-取费表'!z"&amp;$G$1)</f>
        <v>0</v>
      </c>
    </row>
    <row r="7" spans="1:33" ht="18" customHeight="1">
      <c r="A7" s="2502"/>
      <c r="B7" s="3443"/>
      <c r="C7" s="788"/>
      <c r="D7" s="789"/>
      <c r="E7" s="784" t="s">
        <v>1740</v>
      </c>
      <c r="F7" s="785">
        <f ca="1">IF(INDIRECT("'数据-取费表'!ah"&amp;$G$1)="",INDIRECT("'数据-取费表'!k"&amp;$G$1),INDIRECT("'数据-取费表'!ah"&amp;$G$1))</f>
        <v>50449.86</v>
      </c>
      <c r="G7" s="1593"/>
      <c r="H7" s="2491"/>
      <c r="I7" s="3443"/>
      <c r="J7" s="788"/>
      <c r="K7" s="789"/>
      <c r="L7" s="784" t="s">
        <v>1740</v>
      </c>
      <c r="M7" s="785">
        <f ca="1">F7</f>
        <v>50449.86</v>
      </c>
    </row>
    <row r="8" spans="1:33" ht="18" customHeight="1">
      <c r="A8" s="2495"/>
      <c r="B8" s="3444"/>
      <c r="C8" s="788"/>
      <c r="D8" s="789"/>
      <c r="E8" s="784" t="s">
        <v>1741</v>
      </c>
      <c r="F8" s="785">
        <f ca="1">INDIRECT("'数据-取费表'!ai"&amp;$G$1)</f>
        <v>365</v>
      </c>
      <c r="G8" s="1593"/>
      <c r="H8" s="2491"/>
      <c r="I8" s="3444"/>
      <c r="J8" s="788"/>
      <c r="K8" s="789"/>
      <c r="L8" s="784" t="s">
        <v>1741</v>
      </c>
      <c r="M8" s="785">
        <f ca="1">INDIRECT("'数据-取费表'!ai"&amp;$G$1)</f>
        <v>365</v>
      </c>
    </row>
    <row r="9" spans="1:33" ht="18" customHeight="1">
      <c r="A9" s="786"/>
      <c r="B9" s="3445"/>
      <c r="C9" s="788"/>
      <c r="D9" s="789"/>
      <c r="E9" s="784" t="s">
        <v>1742</v>
      </c>
      <c r="F9" s="794">
        <f ca="1">INDIRECT("'数据-取费表'!w"&amp;$G$1)</f>
        <v>0.1</v>
      </c>
      <c r="G9" s="1593"/>
      <c r="H9" s="2507"/>
      <c r="I9" s="3444"/>
      <c r="J9" s="788"/>
      <c r="K9" s="789"/>
      <c r="L9" s="795" t="s">
        <v>1742</v>
      </c>
      <c r="M9" s="796">
        <f ca="1">INDIRECT("'数据-取费表'!ab"&amp;$G$1)</f>
        <v>0</v>
      </c>
    </row>
    <row r="10" spans="1:33" ht="18" customHeight="1">
      <c r="A10" s="1832" t="s">
        <v>2469</v>
      </c>
      <c r="B10" s="2496" t="s">
        <v>2462</v>
      </c>
      <c r="C10" s="799">
        <f ca="1">ROUND(IF(F10="押一",C6/12*F11,IF(F10="押二",C6/12*2*F11,IF(F10="押三",C6/12*3*F11,C11*F11))),0)</f>
        <v>9</v>
      </c>
      <c r="D10" s="2503" t="s">
        <v>2980</v>
      </c>
      <c r="E10" s="2500" t="s">
        <v>2467</v>
      </c>
      <c r="F10" s="2623" t="s">
        <v>3005</v>
      </c>
      <c r="G10" s="1593"/>
      <c r="H10" s="2563" t="s">
        <v>2472</v>
      </c>
      <c r="I10" s="2568" t="s">
        <v>2462</v>
      </c>
      <c r="J10" s="783">
        <f ca="1">ROUND(IF(M10="押一",J6/12*M11,IF(M10="押二",J6/12*2*M11,IF(M10="押三",J6/12*3*M11,J11*M11))),0)</f>
        <v>0</v>
      </c>
      <c r="K10" s="2503" t="s">
        <v>2980</v>
      </c>
      <c r="L10" s="2500" t="s">
        <v>2467</v>
      </c>
      <c r="M10" s="2623"/>
    </row>
    <row r="11" spans="1:33" ht="18" customHeight="1">
      <c r="A11" s="790"/>
      <c r="B11" s="2497" t="s">
        <v>2576</v>
      </c>
      <c r="C11" s="2501"/>
      <c r="D11" s="789"/>
      <c r="E11" s="2500" t="s">
        <v>2468</v>
      </c>
      <c r="F11" s="796">
        <f ca="1">'数据-取费表'!B39</f>
        <v>1.4999999999999999E-2</v>
      </c>
      <c r="G11" s="1593"/>
      <c r="H11" s="2564"/>
      <c r="I11" s="2497" t="s">
        <v>2576</v>
      </c>
      <c r="J11" s="2501"/>
      <c r="K11" s="2565"/>
      <c r="L11" s="2500" t="s">
        <v>2468</v>
      </c>
      <c r="M11" s="2494">
        <f ca="1">'数据-取费表'!B39</f>
        <v>1.4999999999999999E-2</v>
      </c>
    </row>
    <row r="12" spans="1:33" ht="18" customHeight="1" thickBot="1">
      <c r="A12" s="2539" t="s">
        <v>2470</v>
      </c>
      <c r="B12" s="2540" t="s">
        <v>2463</v>
      </c>
      <c r="C12" s="2541"/>
      <c r="D12" s="2542"/>
      <c r="E12" s="2543"/>
      <c r="F12" s="2544"/>
      <c r="G12" s="1593"/>
      <c r="H12" s="2553" t="s">
        <v>2473</v>
      </c>
      <c r="I12" s="2566" t="s">
        <v>2463</v>
      </c>
      <c r="J12" s="2567"/>
      <c r="K12" s="2542"/>
      <c r="L12" s="2543"/>
      <c r="M12" s="2556"/>
    </row>
    <row r="13" spans="1:33" ht="18" customHeight="1" thickTop="1">
      <c r="A13" s="1831">
        <v>2</v>
      </c>
      <c r="B13" s="1829" t="s">
        <v>1743</v>
      </c>
      <c r="C13" s="792">
        <f ca="1">ROUND(C29*F13,0)</f>
        <v>34749</v>
      </c>
      <c r="D13" s="1836" t="s">
        <v>2300</v>
      </c>
      <c r="E13" s="1836" t="s">
        <v>1745</v>
      </c>
      <c r="F13" s="2538">
        <f ca="1">INDIRECT("'数据-取费表'!y"&amp;$G$1)</f>
        <v>1</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23112</v>
      </c>
      <c r="D14" s="1981" t="s">
        <v>1746</v>
      </c>
      <c r="E14" s="1982"/>
      <c r="F14" s="805"/>
      <c r="G14" s="1593"/>
      <c r="H14" s="1650" t="s">
        <v>1831</v>
      </c>
      <c r="I14" s="2233" t="s">
        <v>2829</v>
      </c>
      <c r="J14" s="53">
        <f ca="1">C29</f>
        <v>34749</v>
      </c>
      <c r="K14" s="26"/>
      <c r="L14" s="801"/>
      <c r="M14" s="802"/>
    </row>
    <row r="15" spans="1:33" s="2066" customFormat="1" ht="18" customHeight="1" thickBot="1">
      <c r="A15" s="1649" t="s">
        <v>1886</v>
      </c>
      <c r="B15" s="784" t="s">
        <v>647</v>
      </c>
      <c r="C15" s="53">
        <f ca="1">ROUND(C14*F15,0)</f>
        <v>693</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3441</v>
      </c>
      <c r="K16" s="1823" t="s">
        <v>1751</v>
      </c>
      <c r="L16" s="2488"/>
      <c r="M16" s="2493"/>
    </row>
    <row r="17" spans="1:33" s="2066" customFormat="1" ht="18" customHeight="1">
      <c r="A17" s="1649" t="s">
        <v>1888</v>
      </c>
      <c r="B17" s="784" t="s">
        <v>653</v>
      </c>
      <c r="C17" s="53">
        <f ca="1">ROUND(F17*(F43+INDIRECT("'数据-取费表'!S"&amp;$G$1))/10000,0)</f>
        <v>1042</v>
      </c>
      <c r="D17" s="784" t="s">
        <v>1752</v>
      </c>
      <c r="E17" s="784" t="s">
        <v>1753</v>
      </c>
      <c r="F17" s="56">
        <f>'数据-取费表'!B35</f>
        <v>200</v>
      </c>
      <c r="G17" s="1594"/>
      <c r="H17" s="1650" t="s">
        <v>1831</v>
      </c>
      <c r="I17" s="784" t="s">
        <v>656</v>
      </c>
      <c r="J17" s="53">
        <f ca="1">ROUND(IF(项目基本情况!B11="自然人",J5*M17,J18+J19+J20),0)</f>
        <v>2920</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347</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25194</v>
      </c>
      <c r="D19" s="261" t="s">
        <v>1758</v>
      </c>
      <c r="E19" s="1984"/>
      <c r="F19" s="56"/>
      <c r="G19" s="1593"/>
      <c r="H19" s="1649" t="s">
        <v>1886</v>
      </c>
      <c r="I19" s="784" t="s">
        <v>1759</v>
      </c>
      <c r="J19" s="53">
        <f ca="1">IF(K19="按租金收入计税",ROUND(J5*M19,1),ROUND(C29*F33*0.7,1))</f>
        <v>2918.9</v>
      </c>
      <c r="K19" s="811" t="s">
        <v>665</v>
      </c>
      <c r="L19" s="784" t="s">
        <v>1748</v>
      </c>
      <c r="M19" s="809">
        <f>IF(K19="按租金收入计税",'数据-取费表'!B51,'数据-取费表'!B50)</f>
        <v>1.2E-2</v>
      </c>
    </row>
    <row r="20" spans="1:33" s="2066" customFormat="1" ht="18" customHeight="1">
      <c r="A20" s="1650" t="s">
        <v>1890</v>
      </c>
      <c r="B20" s="784" t="s">
        <v>666</v>
      </c>
      <c r="C20" s="53">
        <f ca="1">ROUND(C19*F20,0)</f>
        <v>504</v>
      </c>
      <c r="D20" s="812" t="s">
        <v>1760</v>
      </c>
      <c r="E20" s="784" t="s">
        <v>1748</v>
      </c>
      <c r="F20" s="809">
        <f>'数据-取费表'!B37</f>
        <v>0.02</v>
      </c>
      <c r="G20" s="1594"/>
      <c r="H20" s="1652" t="s">
        <v>1881</v>
      </c>
      <c r="I20" s="341" t="s">
        <v>1761</v>
      </c>
      <c r="J20" s="54">
        <f ca="1">ROUND(M20*M21/10000,0)</f>
        <v>1</v>
      </c>
      <c r="K20" s="814" t="s">
        <v>1762</v>
      </c>
      <c r="L20" s="784" t="s">
        <v>1763</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8"/>
      <c r="I21" s="793"/>
      <c r="J21" s="69"/>
      <c r="K21" s="816"/>
      <c r="L21" s="784" t="s">
        <v>1767</v>
      </c>
      <c r="M21" s="785">
        <f ca="1">INDIRECT("'数据-取费表'!r"&amp;$G$1)</f>
        <v>5540.14</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521</v>
      </c>
      <c r="K22" s="2486" t="s">
        <v>1770</v>
      </c>
      <c r="L22" s="784" t="s">
        <v>1748</v>
      </c>
      <c r="M22" s="817">
        <f ca="1">INDIRECT("'数据-取费表'!Ak"&amp;$G$1)</f>
        <v>1.4999999999999999E-2</v>
      </c>
    </row>
    <row r="23" spans="1:33" s="2066" customFormat="1" ht="18" customHeight="1">
      <c r="A23" s="1649" t="s">
        <v>1832</v>
      </c>
      <c r="B23" s="784" t="s">
        <v>2538</v>
      </c>
      <c r="C23" s="53">
        <f ca="1">ROUND(IF('数据-取费表'!B22&lt;=1,(C19+C20)*F24*F23/2,(C19+C20)*(POWER((1+F24),F23/2)-1)),0)</f>
        <v>1221</v>
      </c>
      <c r="D23" s="2573"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6" t="s">
        <v>1772</v>
      </c>
      <c r="L23" s="784" t="s">
        <v>1748</v>
      </c>
      <c r="M23" s="818">
        <f ca="1">INDIRECT("'数据-取费表'!Al"&amp;$G$1)</f>
        <v>2E-3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0.02</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1" t="s">
        <v>2825</v>
      </c>
      <c r="J25" s="792">
        <f ca="1">J5-J16</f>
        <v>-3441</v>
      </c>
      <c r="K25" s="2550" t="s">
        <v>1778</v>
      </c>
      <c r="L25" s="2551"/>
      <c r="M25" s="2552"/>
    </row>
    <row r="26" spans="1:33" ht="18" customHeight="1">
      <c r="A26" s="1649" t="s">
        <v>1832</v>
      </c>
      <c r="B26" s="784" t="s">
        <v>2441</v>
      </c>
      <c r="C26" s="53">
        <f ca="1">ROUND((C19+C20)*F26,0)</f>
        <v>5140</v>
      </c>
      <c r="D26" s="812" t="s">
        <v>1779</v>
      </c>
      <c r="E26" s="795" t="s">
        <v>1780</v>
      </c>
      <c r="F26" s="794">
        <f ca="1">INDIRECT("'数据-取费表'!q"&amp;$G$1)</f>
        <v>0.2</v>
      </c>
      <c r="G26" s="1593"/>
      <c r="H26" s="2504" t="s">
        <v>1781</v>
      </c>
      <c r="I26" s="2234" t="s">
        <v>2830</v>
      </c>
      <c r="J26" s="783">
        <f ca="1">IF(J5&lt;&gt;0,ROUND(J25*(1-((1+M28)/(1+M26))^M27)/(M26-M28),0),0)</f>
        <v>0</v>
      </c>
      <c r="K26" s="814" t="s">
        <v>1782</v>
      </c>
      <c r="L26" s="784" t="s">
        <v>2422</v>
      </c>
      <c r="M26" s="794">
        <f ca="1">INDIRECT("'数据-取费表'!I"&amp;$G$1)</f>
        <v>5.5E-2</v>
      </c>
    </row>
    <row r="27" spans="1:33" ht="18" customHeight="1">
      <c r="A27" s="1649" t="s">
        <v>1833</v>
      </c>
      <c r="B27" s="784" t="s">
        <v>686</v>
      </c>
      <c r="C27" s="53">
        <f ca="1">ROUND(F21*F26,4)</f>
        <v>4.0000000000000001E-3</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5.2400000000000002E-2</v>
      </c>
      <c r="D28" s="812" t="s">
        <v>2302</v>
      </c>
      <c r="E28" s="784" t="s">
        <v>1786</v>
      </c>
      <c r="F28" s="809">
        <f>'数据-取费表'!B41</f>
        <v>5.5000000000000007E-2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f ca="1">ROUND((C19+C20+C23+C26)/(1-F21-C24-C27-C28),0)</f>
        <v>34749</v>
      </c>
      <c r="D29" s="2547"/>
      <c r="E29" s="2548"/>
      <c r="F29" s="2549"/>
      <c r="G29" s="1594"/>
      <c r="H29" s="823" t="s">
        <v>1788</v>
      </c>
      <c r="I29" s="824" t="s">
        <v>1789</v>
      </c>
      <c r="J29" s="825">
        <f ca="1">ROUND(J26/(1+F40)^F41,0)</f>
        <v>0</v>
      </c>
      <c r="K29" s="826" t="s">
        <v>1790</v>
      </c>
      <c r="L29" s="827"/>
      <c r="M29" s="828">
        <f ca="1">INDIRECT("'数据-取费表'!k"&amp;$G$1)</f>
        <v>50449.86</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1932</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1202.3</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365.1</v>
      </c>
      <c r="D32" s="1979" t="s">
        <v>1796</v>
      </c>
      <c r="E32" s="784" t="s">
        <v>1797</v>
      </c>
      <c r="F32" s="809">
        <f>'数据-取费表'!B41</f>
        <v>5.5000000000000007E-2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836.4</v>
      </c>
      <c r="D33" s="811" t="s">
        <v>3006</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0.8</v>
      </c>
      <c r="D34" s="814" t="s">
        <v>1800</v>
      </c>
      <c r="E34" s="784" t="s">
        <v>1801</v>
      </c>
      <c r="F34" s="640">
        <f>'数据-取费表'!B52</f>
        <v>1.5</v>
      </c>
      <c r="G34" s="2064"/>
      <c r="H34" s="2067"/>
      <c r="I34" s="835" t="s">
        <v>1814</v>
      </c>
      <c r="J34" s="836"/>
      <c r="K34" s="2082"/>
      <c r="L34" s="2081"/>
      <c r="M34" s="2081"/>
    </row>
    <row r="35" spans="1:18" ht="18" customHeight="1">
      <c r="A35" s="815"/>
      <c r="B35" s="793"/>
      <c r="C35" s="69"/>
      <c r="D35" s="816"/>
      <c r="E35" s="784" t="s">
        <v>1802</v>
      </c>
      <c r="F35" s="785">
        <f ca="1">INDIRECT("'数据-取费表'!r"&amp;$G$1)</f>
        <v>5540.14</v>
      </c>
      <c r="G35" s="2064"/>
      <c r="H35" s="2067"/>
      <c r="I35" s="837" t="s">
        <v>1815</v>
      </c>
      <c r="J35" s="838">
        <f ca="1">ROUND(C13*J36,0)</f>
        <v>2954</v>
      </c>
      <c r="K35" s="2080"/>
      <c r="L35" s="2079"/>
      <c r="M35" s="2079"/>
    </row>
    <row r="36" spans="1:18" ht="18" customHeight="1">
      <c r="A36" s="1650" t="s">
        <v>1890</v>
      </c>
      <c r="B36" s="784" t="s">
        <v>1803</v>
      </c>
      <c r="C36" s="53">
        <f ca="1">ROUND(C29*F36,1)</f>
        <v>521.20000000000005</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69.5</v>
      </c>
      <c r="D37" s="1979" t="s">
        <v>1805</v>
      </c>
      <c r="E37" s="784" t="s">
        <v>1797</v>
      </c>
      <c r="F37" s="818">
        <f ca="1">INDIRECT("'数据-取费表'!Al"&amp;$G$1)</f>
        <v>2E-3</v>
      </c>
      <c r="G37" s="2064"/>
      <c r="H37" s="2079"/>
      <c r="I37" s="841" t="s">
        <v>1817</v>
      </c>
      <c r="J37" s="842"/>
      <c r="K37" s="2084"/>
      <c r="L37" s="2079"/>
      <c r="M37" s="2079"/>
    </row>
    <row r="38" spans="1:18" ht="18" customHeight="1" thickBot="1">
      <c r="A38" s="2553" t="s">
        <v>1892</v>
      </c>
      <c r="B38" s="2548" t="s">
        <v>666</v>
      </c>
      <c r="C38" s="2546">
        <f ca="1">ROUND(C5*F38,1)</f>
        <v>139.4</v>
      </c>
      <c r="D38" s="2547" t="s">
        <v>1806</v>
      </c>
      <c r="E38" s="2548" t="s">
        <v>1797</v>
      </c>
      <c r="F38" s="2544">
        <f ca="1">INDIRECT("'数据-取费表'!Am"&amp;$G$1)</f>
        <v>0.02</v>
      </c>
      <c r="G38" s="2064"/>
      <c r="H38" s="2079"/>
      <c r="I38" s="843" t="s">
        <v>1818</v>
      </c>
      <c r="J38" s="844"/>
      <c r="K38" s="2085"/>
      <c r="L38" s="2079"/>
      <c r="M38" s="2079"/>
    </row>
    <row r="39" spans="1:18" ht="24.6" customHeight="1" thickTop="1">
      <c r="A39" s="1831" t="s">
        <v>1895</v>
      </c>
      <c r="B39" s="3011" t="s">
        <v>2825</v>
      </c>
      <c r="C39" s="792">
        <f ca="1">C5-C30</f>
        <v>5038</v>
      </c>
      <c r="D39" s="2550" t="s">
        <v>1807</v>
      </c>
      <c r="E39" s="2551"/>
      <c r="F39" s="2552"/>
      <c r="G39" s="2064"/>
      <c r="H39" s="2079"/>
      <c r="I39" s="837" t="s">
        <v>1819</v>
      </c>
      <c r="J39" s="845">
        <f ca="1">ROUND(J35/C39,3)</f>
        <v>0.58599999999999997</v>
      </c>
      <c r="K39" s="2085"/>
      <c r="L39" s="2079"/>
      <c r="M39" s="2079"/>
    </row>
    <row r="40" spans="1:18" ht="18" customHeight="1">
      <c r="A40" s="781" t="s">
        <v>1896</v>
      </c>
      <c r="B40" s="2234" t="s">
        <v>2304</v>
      </c>
      <c r="C40" s="783">
        <f ca="1">ROUND(C39*(1-((1+F42)/(1+F40))^F41)/(F40-F42),0)</f>
        <v>118038</v>
      </c>
      <c r="D40" s="814" t="s">
        <v>1808</v>
      </c>
      <c r="E40" s="784" t="s">
        <v>2422</v>
      </c>
      <c r="F40" s="794">
        <f ca="1">INDIRECT("'数据-取费表'!I"&amp;$G$1)</f>
        <v>5.5E-2</v>
      </c>
      <c r="G40" s="2064"/>
      <c r="H40" s="2064"/>
      <c r="I40" s="837" t="s">
        <v>1820</v>
      </c>
      <c r="J40" s="845">
        <f ca="1">1-J39</f>
        <v>0.41400000000000003</v>
      </c>
      <c r="K40" s="2085"/>
      <c r="L40" s="2064"/>
      <c r="M40" s="2064"/>
    </row>
    <row r="41" spans="1:18" ht="18" customHeight="1">
      <c r="A41" s="786"/>
      <c r="B41" s="787"/>
      <c r="C41" s="788"/>
      <c r="D41" s="821" t="s">
        <v>1809</v>
      </c>
      <c r="E41" s="784" t="s">
        <v>2970</v>
      </c>
      <c r="F41" s="822">
        <f ca="1">IF(INDIRECT("'数据-取费表'!af"&amp;$G$1)=0,INDIRECT("'数据-取费表'!ae"&amp;$G$1),INDIRECT("'数据-取费表'!af"&amp;$G$1))</f>
        <v>42.07</v>
      </c>
      <c r="G41" s="2064"/>
      <c r="H41" s="1990"/>
      <c r="I41" s="843" t="s">
        <v>1821</v>
      </c>
      <c r="J41" s="846"/>
      <c r="K41" s="2084"/>
      <c r="L41" s="1990"/>
      <c r="M41" s="1990"/>
    </row>
    <row r="42" spans="1:18" ht="18" customHeight="1">
      <c r="A42" s="790"/>
      <c r="B42" s="791"/>
      <c r="C42" s="792"/>
      <c r="D42" s="816"/>
      <c r="E42" s="784" t="s">
        <v>1810</v>
      </c>
      <c r="F42" s="794">
        <f ca="1">INDIRECT("'数据-取费表'!v"&amp;$G$1)</f>
        <v>2.5000000000000001E-2</v>
      </c>
      <c r="G42" s="2064"/>
      <c r="H42" s="1990"/>
      <c r="I42" s="847" t="s">
        <v>1822</v>
      </c>
      <c r="J42" s="845">
        <f ca="1">ROUND(C13/C40,3)</f>
        <v>0.29399999999999998</v>
      </c>
      <c r="K42" s="2084"/>
      <c r="L42" s="1990"/>
      <c r="M42" s="1990"/>
    </row>
    <row r="43" spans="1:18" ht="18" customHeight="1" thickBot="1">
      <c r="A43" s="823" t="s">
        <v>1788</v>
      </c>
      <c r="B43" s="824" t="s">
        <v>1811</v>
      </c>
      <c r="C43" s="825">
        <f ca="1">ROUND(C40*10000/F43,0)</f>
        <v>23397</v>
      </c>
      <c r="D43" s="826" t="s">
        <v>1812</v>
      </c>
      <c r="E43" s="827" t="s">
        <v>1813</v>
      </c>
      <c r="F43" s="828">
        <f ca="1">INDIRECT("'数据-取费表'!k"&amp;$G$1)</f>
        <v>50449.86</v>
      </c>
      <c r="G43" s="2064"/>
      <c r="H43" s="1990"/>
      <c r="I43" s="847" t="s">
        <v>1823</v>
      </c>
      <c r="J43" s="848">
        <f ca="1">1-J42</f>
        <v>0.70599999999999996</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f ca="1">C67-C40</f>
        <v>-127670</v>
      </c>
      <c r="D46" s="2087"/>
      <c r="E46" s="2087"/>
      <c r="F46" s="2087"/>
      <c r="I46" s="2380" t="s">
        <v>2346</v>
      </c>
      <c r="J46" s="2381"/>
      <c r="K46" s="2382"/>
      <c r="L46" s="3162">
        <f>IF(OR(M47="住宅",D1="土地（套用方法）"),0,IF(L48&gt;J51,L60,J60))</f>
        <v>0</v>
      </c>
      <c r="O46" s="2396" t="s">
        <v>2413</v>
      </c>
      <c r="P46" s="1593"/>
      <c r="Q46" s="1605"/>
      <c r="R46" s="1593"/>
    </row>
    <row r="47" spans="1:18" s="2061" customFormat="1" ht="18" customHeight="1" thickBot="1">
      <c r="A47" s="2374">
        <v>1</v>
      </c>
      <c r="B47" s="2375" t="s">
        <v>635</v>
      </c>
      <c r="C47" s="2576">
        <f ca="1">C48+C52+C54</f>
        <v>0</v>
      </c>
      <c r="D47" s="2087"/>
      <c r="E47" s="2087"/>
      <c r="F47" s="2087"/>
      <c r="I47" s="3152" t="s">
        <v>2347</v>
      </c>
      <c r="J47" s="2383" t="s">
        <v>3007</v>
      </c>
      <c r="K47" s="3159" t="s">
        <v>2352</v>
      </c>
      <c r="L47" s="3163">
        <f ca="1">INDIRECT("'数据-取费表'!d"&amp;$G$1)</f>
        <v>50</v>
      </c>
      <c r="M47" s="1605" t="str">
        <f>IF(ISNUMBER(FIND("住宅",C1)),"住宅","非住宅")</f>
        <v>非住宅</v>
      </c>
      <c r="O47" s="2397" t="s">
        <v>2378</v>
      </c>
      <c r="P47" s="2398" t="s">
        <v>2379</v>
      </c>
      <c r="Q47" s="2399" t="s">
        <v>2380</v>
      </c>
      <c r="R47" s="2398" t="s">
        <v>2381</v>
      </c>
    </row>
    <row r="48" spans="1:18" s="2061" customFormat="1" ht="18" customHeight="1" thickBot="1">
      <c r="A48" s="2644" t="s">
        <v>2540</v>
      </c>
      <c r="B48" s="2645" t="s">
        <v>2541</v>
      </c>
      <c r="C48" s="2376">
        <f ca="1">ROUND(F48*F50*F49*(1-F51)/10000,0)</f>
        <v>0</v>
      </c>
      <c r="D48" s="2377" t="s">
        <v>636</v>
      </c>
      <c r="E48" s="2378" t="s">
        <v>2299</v>
      </c>
      <c r="F48" s="2379"/>
      <c r="G48" s="2092"/>
      <c r="I48" s="3128" t="s">
        <v>2348</v>
      </c>
      <c r="J48" s="2384" t="s">
        <v>2353</v>
      </c>
      <c r="K48" s="3160" t="s">
        <v>2354</v>
      </c>
      <c r="L48" s="1910">
        <f ca="1">INDIRECT("'数据-取费表'!f"&amp;$G$1)</f>
        <v>44.07</v>
      </c>
      <c r="O48" s="2400" t="s">
        <v>2382</v>
      </c>
      <c r="P48" s="2401" t="s">
        <v>2408</v>
      </c>
      <c r="Q48" s="2402">
        <f ca="1">C40+J29</f>
        <v>118038</v>
      </c>
      <c r="R48" s="2401" t="s">
        <v>2383</v>
      </c>
    </row>
    <row r="49" spans="1:18" s="2061" customFormat="1" ht="18" customHeight="1" thickBot="1">
      <c r="A49" s="786"/>
      <c r="B49" s="787"/>
      <c r="C49" s="788"/>
      <c r="D49" s="789"/>
      <c r="E49" s="784" t="s">
        <v>1740</v>
      </c>
      <c r="F49" s="785">
        <f ca="1">F7</f>
        <v>50449.86</v>
      </c>
      <c r="G49" s="2092"/>
      <c r="H49" s="2095"/>
      <c r="I49" s="3128" t="s">
        <v>2349</v>
      </c>
      <c r="J49" s="2385"/>
      <c r="K49" s="3161" t="s">
        <v>2355</v>
      </c>
      <c r="L49" s="2386"/>
      <c r="O49" s="2400" t="s">
        <v>2384</v>
      </c>
      <c r="P49" s="2401" t="s">
        <v>2409</v>
      </c>
      <c r="Q49" s="2402" t="str">
        <f ca="1">J60</f>
        <v>0</v>
      </c>
      <c r="R49" s="2401" t="s">
        <v>2385</v>
      </c>
    </row>
    <row r="50" spans="1:18" s="2061" customFormat="1" ht="18" customHeight="1" thickBot="1">
      <c r="A50" s="786"/>
      <c r="B50" s="787"/>
      <c r="C50" s="788"/>
      <c r="D50" s="789"/>
      <c r="E50" s="784" t="s">
        <v>1741</v>
      </c>
      <c r="F50" s="785">
        <f ca="1">F8</f>
        <v>365</v>
      </c>
      <c r="G50" s="2097"/>
      <c r="H50" s="2095"/>
      <c r="I50" s="3128" t="s">
        <v>2350</v>
      </c>
      <c r="J50" s="3156">
        <f>SUMPRODUCT((I63:I65=J47)*(J62:L62=J48)*(J63:L65))</f>
        <v>60</v>
      </c>
      <c r="K50" s="3161" t="s">
        <v>2356</v>
      </c>
      <c r="L50" s="2386"/>
      <c r="O50" s="2403" t="s">
        <v>2386</v>
      </c>
      <c r="P50" s="2401" t="s">
        <v>2410</v>
      </c>
      <c r="Q50" s="2402">
        <f ca="1">C29</f>
        <v>34749</v>
      </c>
      <c r="R50" s="2401" t="s">
        <v>2383</v>
      </c>
    </row>
    <row r="51" spans="1:18" s="2061" customFormat="1" ht="18" customHeight="1" thickBot="1">
      <c r="A51" s="786"/>
      <c r="B51" s="787"/>
      <c r="C51" s="788"/>
      <c r="D51" s="789"/>
      <c r="E51" s="784" t="s">
        <v>640</v>
      </c>
      <c r="F51" s="2373"/>
      <c r="H51" s="2095"/>
      <c r="I51" s="3153" t="s">
        <v>2351</v>
      </c>
      <c r="J51" s="3157">
        <f>IF(J49="",J50,J49+J50-YEAR('数据-取费表'!B2))</f>
        <v>60</v>
      </c>
      <c r="K51" s="3128" t="s">
        <v>2357</v>
      </c>
      <c r="L51" s="3164">
        <f ca="1">ROUND(-PV(INDIRECT("'数据-取费表'!h"&amp;$G$1),L48,(C39-C13*J36),0),0)</f>
        <v>36832</v>
      </c>
      <c r="O51" s="2403" t="s">
        <v>2387</v>
      </c>
      <c r="P51" s="2401" t="s">
        <v>2388</v>
      </c>
      <c r="Q51" s="2404" t="e">
        <f ca="1">J58</f>
        <v>#VALUE!</v>
      </c>
      <c r="R51" s="2405"/>
    </row>
    <row r="52" spans="1:18" s="2061" customFormat="1" ht="18" customHeight="1" thickBot="1">
      <c r="A52" s="781" t="s">
        <v>2539</v>
      </c>
      <c r="B52" s="2496" t="s">
        <v>2462</v>
      </c>
      <c r="C52" s="799">
        <f ca="1">ROUND(IF(F52="押一",C48/12*F11,IF(F52="押二",C48/12*2*F11,IF(F52="押三",C48/12*3*F11,C53*F11))),0)</f>
        <v>0</v>
      </c>
      <c r="D52" s="2503" t="s">
        <v>2981</v>
      </c>
      <c r="E52" s="2500" t="s">
        <v>2467</v>
      </c>
      <c r="F52" s="2623"/>
      <c r="I52" s="3154" t="s">
        <v>2424</v>
      </c>
      <c r="J52" s="2387"/>
      <c r="K52" s="3154" t="s">
        <v>2423</v>
      </c>
      <c r="L52" s="2387"/>
      <c r="O52" s="2403" t="s">
        <v>2389</v>
      </c>
      <c r="P52" s="2401" t="s">
        <v>2390</v>
      </c>
      <c r="Q52" s="2404">
        <f>J52</f>
        <v>0</v>
      </c>
      <c r="R52" s="2405"/>
    </row>
    <row r="53" spans="1:18" s="2061" customFormat="1" ht="39.75" customHeight="1" thickBot="1">
      <c r="A53" s="786"/>
      <c r="B53" s="2497" t="s">
        <v>2576</v>
      </c>
      <c r="C53" s="2501"/>
      <c r="D53" s="2503"/>
      <c r="E53" s="2500"/>
      <c r="F53" s="800"/>
      <c r="I53" s="3155" t="s">
        <v>2985</v>
      </c>
      <c r="J53" s="3158">
        <f ca="1">IF(M47="住宅",IF(D1="——",MAX(J51,L48),MAX(J51,L48-'数据-取费表'!B20)),IF(D1="——",MIN(J51,L48),MIN(J51,L48-'数据-取费表'!B20)))</f>
        <v>42.07</v>
      </c>
      <c r="K53" s="3458" t="s">
        <v>2972</v>
      </c>
      <c r="L53" s="3459"/>
      <c r="O53" s="2403" t="s">
        <v>2391</v>
      </c>
      <c r="P53" s="2401" t="s">
        <v>2392</v>
      </c>
      <c r="Q53" s="2402">
        <f ca="1">J53</f>
        <v>42.07</v>
      </c>
      <c r="R53" s="2401" t="s">
        <v>2393</v>
      </c>
    </row>
    <row r="54" spans="1:18" s="2061" customFormat="1" ht="18" customHeight="1" thickBot="1">
      <c r="A54" s="2539" t="s">
        <v>2470</v>
      </c>
      <c r="B54" s="2540" t="s">
        <v>2463</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2394</v>
      </c>
      <c r="P54" s="2401" t="s">
        <v>2411</v>
      </c>
      <c r="Q54" s="2402">
        <f ca="1">Q48+Q49</f>
        <v>118038</v>
      </c>
      <c r="R54" s="2405" t="s">
        <v>2395</v>
      </c>
    </row>
    <row r="55" spans="1:18" s="2061" customFormat="1" ht="18" customHeight="1" thickTop="1" thickBot="1">
      <c r="A55" s="797">
        <v>2</v>
      </c>
      <c r="B55" s="798" t="s">
        <v>644</v>
      </c>
      <c r="C55" s="799">
        <f ca="1">C13</f>
        <v>34749</v>
      </c>
      <c r="D55" s="795"/>
      <c r="E55" s="795"/>
      <c r="F55" s="800"/>
      <c r="I55" s="3167" t="s">
        <v>2358</v>
      </c>
      <c r="J55" s="3103" t="e">
        <f ca="1">ROUND(IF(J47="钢混",J57/J50,1-(1-2%)*(J50-J57)/J50),3)</f>
        <v>#VALUE!</v>
      </c>
      <c r="K55" s="3168" t="s">
        <v>2359</v>
      </c>
      <c r="L55" s="2388"/>
      <c r="O55" s="2406" t="s">
        <v>2414</v>
      </c>
      <c r="P55" s="1593"/>
      <c r="Q55" s="1605"/>
      <c r="R55" s="1593"/>
    </row>
    <row r="56" spans="1:18" s="2061" customFormat="1" ht="42.75" customHeight="1" thickBot="1">
      <c r="A56" s="1651"/>
      <c r="B56" s="2233" t="s">
        <v>2305</v>
      </c>
      <c r="C56" s="53">
        <f ca="1">C29</f>
        <v>34749</v>
      </c>
      <c r="D56" s="2641"/>
      <c r="E56" s="784"/>
      <c r="F56" s="809"/>
      <c r="I56" s="3169" t="s">
        <v>2360</v>
      </c>
      <c r="J56" s="3179" t="s">
        <v>1679</v>
      </c>
      <c r="K56" s="3128" t="s">
        <v>2365</v>
      </c>
      <c r="L56" s="1910" t="str">
        <f ca="1">IF(L48&lt;J51,"——",L48-J51)</f>
        <v>——</v>
      </c>
      <c r="O56" s="2397" t="s">
        <v>2378</v>
      </c>
      <c r="P56" s="2398" t="s">
        <v>2379</v>
      </c>
      <c r="Q56" s="2399" t="s">
        <v>2380</v>
      </c>
      <c r="R56" s="2398" t="s">
        <v>2381</v>
      </c>
    </row>
    <row r="57" spans="1:18" s="2061" customFormat="1" ht="28.5" customHeight="1" thickBot="1">
      <c r="A57" s="797" t="s">
        <v>1749</v>
      </c>
      <c r="B57" s="798" t="s">
        <v>651</v>
      </c>
      <c r="C57" s="799">
        <f ca="1">ROUND(C58+C63+C64+C65,0)</f>
        <v>592</v>
      </c>
      <c r="D57" s="26" t="s">
        <v>1751</v>
      </c>
      <c r="E57" s="2642"/>
      <c r="F57" s="56"/>
      <c r="I57" s="3170" t="s">
        <v>2361</v>
      </c>
      <c r="J57" s="3171" t="str">
        <f ca="1">IF(OR(M47="住宅",J51&lt;L48,J56="是"),"——",J51-L48)</f>
        <v>——</v>
      </c>
      <c r="K57" s="3128" t="s">
        <v>2366</v>
      </c>
      <c r="L57" s="1910" t="str">
        <f ca="1">IF(L48&lt;J51,"——",IF(L55="比较法",L49,IF(L55="基准地价",L50,L51)))</f>
        <v>——</v>
      </c>
      <c r="O57" s="2400" t="s">
        <v>2382</v>
      </c>
      <c r="P57" s="2401" t="s">
        <v>2412</v>
      </c>
      <c r="Q57" s="2402">
        <f ca="1">C40+J29</f>
        <v>118038</v>
      </c>
      <c r="R57" s="2401" t="s">
        <v>2383</v>
      </c>
    </row>
    <row r="58" spans="1:18" s="2061" customFormat="1" ht="28.5" customHeight="1" thickBot="1">
      <c r="A58" s="1650" t="s">
        <v>1825</v>
      </c>
      <c r="B58" s="784" t="s">
        <v>656</v>
      </c>
      <c r="C58" s="53">
        <f ca="1">ROUND(IF(项目基本情况!B11="自然人",C47*F58,C59+C60+C61),1)</f>
        <v>0.8</v>
      </c>
      <c r="D58" s="2640" t="s">
        <v>657</v>
      </c>
      <c r="E58" s="2641" t="s">
        <v>690</v>
      </c>
      <c r="F58" s="810" t="str">
        <f ca="1">IF(项目基本情况!B11="企业","",IF(INDIRECT("'数据-取费表'!c"&amp;$G$1)="住宅",5%,IF(F48*F49*F50/12/(1+'数据-取费表'!C42)&gt;20000,12%,7%)))</f>
        <v/>
      </c>
      <c r="I58" s="3170" t="s">
        <v>2362</v>
      </c>
      <c r="J58" s="3104" t="e">
        <f ca="1">IF(J55&lt;0.4,0.4,J55)</f>
        <v>#VALUE!</v>
      </c>
      <c r="K58" s="3128" t="s">
        <v>2367</v>
      </c>
      <c r="L58" s="1910" t="e">
        <f ca="1">ROUND(POWER(1+L52,L47-L48)*(POWER(1+L52,L48)-1)/(POWER(1+L52,L47)-1),4)</f>
        <v>#DIV/0!</v>
      </c>
      <c r="O58" s="2400" t="s">
        <v>2384</v>
      </c>
      <c r="P58" s="2401" t="s">
        <v>2415</v>
      </c>
      <c r="Q58" s="2402">
        <f ca="1">L60</f>
        <v>0</v>
      </c>
      <c r="R58" s="2405" t="s">
        <v>2417</v>
      </c>
    </row>
    <row r="59" spans="1:18" s="2061" customFormat="1" ht="28.5" customHeight="1" thickBot="1">
      <c r="A59" s="1649" t="s">
        <v>1832</v>
      </c>
      <c r="B59" s="784" t="s">
        <v>660</v>
      </c>
      <c r="C59" s="53">
        <f ca="1">ROUND(C47*F59/1.05,1)</f>
        <v>0</v>
      </c>
      <c r="D59" s="2641" t="s">
        <v>1757</v>
      </c>
      <c r="E59" s="784" t="s">
        <v>1748</v>
      </c>
      <c r="F59" s="809">
        <f t="shared" ref="F59:F65" si="0">F32</f>
        <v>5.5000000000000007E-2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3" t="s">
        <v>2387</v>
      </c>
      <c r="P60" s="2401" t="s">
        <v>2396</v>
      </c>
      <c r="Q60" s="2404">
        <f>L52</f>
        <v>0</v>
      </c>
      <c r="R60" s="2405"/>
    </row>
    <row r="61" spans="1:18" s="2061" customFormat="1" ht="18" customHeight="1" thickBot="1">
      <c r="A61" s="1652" t="s">
        <v>1834</v>
      </c>
      <c r="B61" s="341" t="s">
        <v>668</v>
      </c>
      <c r="C61" s="54">
        <f ca="1">ROUND(F61*F62/10000,1)</f>
        <v>0.8</v>
      </c>
      <c r="D61" s="814" t="s">
        <v>669</v>
      </c>
      <c r="E61" s="784" t="s">
        <v>670</v>
      </c>
      <c r="F61" s="640">
        <f t="shared" si="0"/>
        <v>1.5</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5540.14</v>
      </c>
      <c r="I62" s="3175" t="s">
        <v>2370</v>
      </c>
      <c r="J62" s="3176" t="s">
        <v>2371</v>
      </c>
      <c r="K62" s="3176" t="s">
        <v>2372</v>
      </c>
      <c r="L62" s="3176" t="s">
        <v>2353</v>
      </c>
      <c r="M62" s="3177" t="s">
        <v>2948</v>
      </c>
      <c r="O62" s="2403" t="s">
        <v>2391</v>
      </c>
      <c r="P62" s="2401" t="str">
        <f>K59</f>
        <v>建设期及建筑物耐用年限下的土地年期修正系数Kn</v>
      </c>
      <c r="Q62" s="2402" t="e">
        <f ca="1">L59</f>
        <v>#DIV/0!</v>
      </c>
      <c r="R62" s="2405" t="s">
        <v>2400</v>
      </c>
    </row>
    <row r="63" spans="1:18" s="2061" customFormat="1" ht="15.75" thickBot="1">
      <c r="A63" s="1650" t="s">
        <v>1890</v>
      </c>
      <c r="B63" s="784" t="s">
        <v>676</v>
      </c>
      <c r="C63" s="53">
        <f ca="1">ROUND(C56*F63,1)</f>
        <v>521.20000000000005</v>
      </c>
      <c r="D63" s="2641" t="s">
        <v>1804</v>
      </c>
      <c r="E63" s="784" t="s">
        <v>1748</v>
      </c>
      <c r="F63" s="817">
        <f t="shared" ca="1" si="0"/>
        <v>1.4999999999999999E-2</v>
      </c>
      <c r="I63" s="3175" t="s">
        <v>2373</v>
      </c>
      <c r="J63" s="3176">
        <v>70</v>
      </c>
      <c r="K63" s="3176">
        <v>50</v>
      </c>
      <c r="L63" s="3176">
        <v>80</v>
      </c>
      <c r="M63" s="3178">
        <v>0.02</v>
      </c>
      <c r="O63" s="2400" t="s">
        <v>2394</v>
      </c>
      <c r="P63" s="2401" t="s">
        <v>2411</v>
      </c>
      <c r="Q63" s="2402">
        <f ca="1">Q57+Q58</f>
        <v>118038</v>
      </c>
      <c r="R63" s="2405" t="s">
        <v>2395</v>
      </c>
    </row>
    <row r="64" spans="1:18" s="2061" customFormat="1" ht="16.5" thickBot="1">
      <c r="A64" s="1650" t="s">
        <v>1891</v>
      </c>
      <c r="B64" s="784" t="s">
        <v>679</v>
      </c>
      <c r="C64" s="53">
        <f ca="1">ROUND(C55*F64,1)</f>
        <v>69.5</v>
      </c>
      <c r="D64" s="2641" t="s">
        <v>680</v>
      </c>
      <c r="E64" s="784" t="s">
        <v>1748</v>
      </c>
      <c r="F64" s="818">
        <f t="shared" ca="1" si="0"/>
        <v>2E-3</v>
      </c>
      <c r="I64" s="3175" t="s">
        <v>2374</v>
      </c>
      <c r="J64" s="3176">
        <v>50</v>
      </c>
      <c r="K64" s="3176">
        <v>35</v>
      </c>
      <c r="L64" s="3176">
        <v>60</v>
      </c>
      <c r="M64" s="846">
        <v>0</v>
      </c>
      <c r="O64" s="2406" t="s">
        <v>2418</v>
      </c>
      <c r="P64" s="1593"/>
      <c r="Q64" s="1605"/>
      <c r="R64" s="1593"/>
    </row>
    <row r="65" spans="1:18" s="2061" customFormat="1" ht="15.75" thickBot="1">
      <c r="A65" s="1650" t="s">
        <v>1892</v>
      </c>
      <c r="B65" s="784" t="s">
        <v>666</v>
      </c>
      <c r="C65" s="53">
        <f ca="1">ROUND(C47*F65,1)</f>
        <v>0</v>
      </c>
      <c r="D65" s="2641" t="s">
        <v>683</v>
      </c>
      <c r="E65" s="784" t="s">
        <v>1748</v>
      </c>
      <c r="F65" s="794">
        <f t="shared" ca="1" si="0"/>
        <v>0.02</v>
      </c>
      <c r="I65" s="3175" t="s">
        <v>2375</v>
      </c>
      <c r="J65" s="3176">
        <v>40</v>
      </c>
      <c r="K65" s="3176">
        <v>30</v>
      </c>
      <c r="L65" s="3176">
        <v>50</v>
      </c>
      <c r="M65" s="3178">
        <v>0.02</v>
      </c>
      <c r="O65" s="2397" t="s">
        <v>2378</v>
      </c>
      <c r="P65" s="2398" t="s">
        <v>2379</v>
      </c>
      <c r="Q65" s="2399" t="s">
        <v>2380</v>
      </c>
      <c r="R65" s="2398" t="s">
        <v>2381</v>
      </c>
    </row>
    <row r="66" spans="1:18" s="2061" customFormat="1" ht="24.75" thickBot="1">
      <c r="A66" s="797" t="s">
        <v>1777</v>
      </c>
      <c r="B66" s="3012" t="s">
        <v>2825</v>
      </c>
      <c r="C66" s="799">
        <f ca="1">C47-C57</f>
        <v>-592</v>
      </c>
      <c r="D66" s="2640" t="s">
        <v>700</v>
      </c>
      <c r="E66" s="2639"/>
      <c r="F66" s="820"/>
      <c r="K66" s="2088"/>
      <c r="O66" s="2400" t="s">
        <v>2382</v>
      </c>
      <c r="P66" s="2401" t="s">
        <v>2412</v>
      </c>
      <c r="Q66" s="2402">
        <f ca="1">C40+J29</f>
        <v>118038</v>
      </c>
      <c r="R66" s="2401" t="s">
        <v>2383</v>
      </c>
    </row>
    <row r="67" spans="1:18" s="2061" customFormat="1" ht="20.25" thickBot="1">
      <c r="A67" s="781" t="s">
        <v>1781</v>
      </c>
      <c r="B67" s="2234" t="s">
        <v>2304</v>
      </c>
      <c r="C67" s="783">
        <f ca="1">ROUND(C66*(1-((1+F69)/(1+F67))^F68)/(F67-F69),0)</f>
        <v>-9632</v>
      </c>
      <c r="D67" s="814" t="s">
        <v>704</v>
      </c>
      <c r="E67" s="784" t="s">
        <v>705</v>
      </c>
      <c r="F67" s="794">
        <f ca="1">F40</f>
        <v>5.5E-2</v>
      </c>
      <c r="K67" s="2088"/>
      <c r="O67" s="2400" t="s">
        <v>2384</v>
      </c>
      <c r="P67" s="2401" t="s">
        <v>2415</v>
      </c>
      <c r="Q67" s="2402">
        <f ca="1">L60</f>
        <v>0</v>
      </c>
      <c r="R67" s="2405" t="s">
        <v>2417</v>
      </c>
    </row>
    <row r="68" spans="1:18" ht="21.75" thickBot="1">
      <c r="A68" s="786"/>
      <c r="B68" s="787"/>
      <c r="C68" s="788"/>
      <c r="D68" s="821" t="s">
        <v>1809</v>
      </c>
      <c r="E68" s="784" t="s">
        <v>1785</v>
      </c>
      <c r="F68" s="822">
        <f ca="1">F41</f>
        <v>42.07</v>
      </c>
      <c r="O68" s="2403" t="s">
        <v>2386</v>
      </c>
      <c r="P68" s="2401" t="s">
        <v>2416</v>
      </c>
      <c r="Q68" s="2407">
        <f ca="1">L51</f>
        <v>36832</v>
      </c>
      <c r="R68" s="2408" t="s">
        <v>2419</v>
      </c>
    </row>
    <row r="69" spans="1:18" ht="20.25" thickBot="1">
      <c r="A69" s="790"/>
      <c r="B69" s="791"/>
      <c r="C69" s="792"/>
      <c r="D69" s="816"/>
      <c r="E69" s="784" t="s">
        <v>710</v>
      </c>
      <c r="F69" s="2373"/>
      <c r="O69" s="2403" t="s">
        <v>2387</v>
      </c>
      <c r="P69" s="2409" t="s">
        <v>2401</v>
      </c>
      <c r="Q69" s="2402">
        <f ca="1">ROUND(Q70-Q71*Q72,0)</f>
        <v>2084</v>
      </c>
      <c r="R69" s="2405"/>
    </row>
    <row r="70" spans="1:18" ht="15.75" thickBot="1">
      <c r="A70" s="823" t="s">
        <v>1788</v>
      </c>
      <c r="B70" s="824" t="s">
        <v>1811</v>
      </c>
      <c r="C70" s="825">
        <f ca="1">ROUND(C67*10000/F70,0)</f>
        <v>-1909</v>
      </c>
      <c r="D70" s="826" t="s">
        <v>1812</v>
      </c>
      <c r="E70" s="827" t="s">
        <v>1813</v>
      </c>
      <c r="F70" s="828">
        <f ca="1">F43</f>
        <v>50449.86</v>
      </c>
      <c r="O70" s="2403" t="s">
        <v>2402</v>
      </c>
      <c r="P70" s="2409" t="s">
        <v>2403</v>
      </c>
      <c r="Q70" s="2402">
        <f ca="1">C39</f>
        <v>5038</v>
      </c>
      <c r="R70" s="2401" t="s">
        <v>2383</v>
      </c>
    </row>
    <row r="71" spans="1:18" ht="15.75" thickBot="1">
      <c r="O71" s="2403" t="s">
        <v>2404</v>
      </c>
      <c r="P71" s="2409" t="s">
        <v>2405</v>
      </c>
      <c r="Q71" s="2402">
        <f ca="1">C13</f>
        <v>34749</v>
      </c>
      <c r="R71" s="2401" t="s">
        <v>2383</v>
      </c>
    </row>
    <row r="72" spans="1:18" ht="15.75" thickBot="1">
      <c r="O72" s="2403" t="s">
        <v>2406</v>
      </c>
      <c r="P72" s="2409" t="s">
        <v>2407</v>
      </c>
      <c r="Q72" s="2404">
        <f ca="1">J36</f>
        <v>8.5000000000000006E-2</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建设期及建筑物耐用年限下的土地年期修正系数Kn</v>
      </c>
      <c r="Q75" s="2402" t="e">
        <f ca="1">L59</f>
        <v>#DIV/0!</v>
      </c>
      <c r="R75" s="2405" t="s">
        <v>2400</v>
      </c>
    </row>
    <row r="76" spans="1:18" ht="15.75" thickBot="1">
      <c r="O76" s="2400" t="s">
        <v>2394</v>
      </c>
      <c r="P76" s="2401" t="s">
        <v>2411</v>
      </c>
      <c r="Q76" s="2402">
        <f ca="1">Q66+Q67</f>
        <v>118038</v>
      </c>
      <c r="R76" s="2405"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7" sqref="F17"/>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2994</v>
      </c>
      <c r="D1" s="3127" t="s">
        <v>3088</v>
      </c>
      <c r="E1" s="2389" t="s">
        <v>2377</v>
      </c>
      <c r="F1" s="2390">
        <f ca="1">J53</f>
        <v>32.07</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177883</v>
      </c>
      <c r="C2" s="2059"/>
      <c r="D2" s="2057"/>
      <c r="E2" s="2058"/>
      <c r="F2" s="2058"/>
      <c r="G2" s="1591"/>
      <c r="H2" s="2059"/>
      <c r="I2" s="2059"/>
      <c r="J2" s="2059"/>
      <c r="K2" s="2060"/>
      <c r="L2" s="2059"/>
      <c r="M2" s="2059"/>
    </row>
    <row r="3" spans="1:33" ht="18" customHeight="1" thickBot="1">
      <c r="A3" s="833" t="s">
        <v>519</v>
      </c>
      <c r="B3" s="834">
        <f ca="1">IF(ISERROR(B2*10000/F43),0,ROUND(B2*10000/F43,0))</f>
        <v>26965</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1730</v>
      </c>
      <c r="J4" s="778" t="s">
        <v>1735</v>
      </c>
      <c r="K4" s="778" t="s">
        <v>1736</v>
      </c>
      <c r="L4" s="779" t="s">
        <v>1732</v>
      </c>
      <c r="M4" s="780"/>
    </row>
    <row r="5" spans="1:33" ht="18" customHeight="1">
      <c r="A5" s="781">
        <v>1</v>
      </c>
      <c r="B5" s="782" t="s">
        <v>2461</v>
      </c>
      <c r="C5" s="55">
        <f ca="1">C6+C10+C12</f>
        <v>12585</v>
      </c>
      <c r="D5" s="2498" t="s">
        <v>2464</v>
      </c>
      <c r="E5" s="2492"/>
      <c r="F5" s="2493"/>
      <c r="G5" s="1593"/>
      <c r="H5" s="781">
        <v>1</v>
      </c>
      <c r="I5" s="782" t="s">
        <v>2461</v>
      </c>
      <c r="J5" s="55">
        <f ca="1">J6+J10+J12</f>
        <v>0</v>
      </c>
      <c r="K5" s="2498" t="s">
        <v>2464</v>
      </c>
      <c r="L5" s="2492"/>
      <c r="M5" s="2493"/>
    </row>
    <row r="6" spans="1:33" ht="18" customHeight="1">
      <c r="A6" s="1832" t="s">
        <v>1825</v>
      </c>
      <c r="B6" s="3442" t="s">
        <v>2466</v>
      </c>
      <c r="C6" s="783">
        <f ca="1">ROUND(F6*F8*F7*(1-F9)/10000,0)</f>
        <v>12569</v>
      </c>
      <c r="D6" s="2499" t="s">
        <v>2465</v>
      </c>
      <c r="E6" s="784" t="s">
        <v>1739</v>
      </c>
      <c r="F6" s="785">
        <f ca="1">INDIRECT("'数据-取费表'!u"&amp;$G$1)</f>
        <v>5.8</v>
      </c>
      <c r="G6" s="1593"/>
      <c r="H6" s="2506" t="s">
        <v>1825</v>
      </c>
      <c r="I6" s="3442" t="s">
        <v>2466</v>
      </c>
      <c r="J6" s="783">
        <f ca="1">ROUND(M6*M8*M7*(1-M9)/10000,0)</f>
        <v>0</v>
      </c>
      <c r="K6" s="341" t="s">
        <v>1738</v>
      </c>
      <c r="L6" s="784" t="s">
        <v>1739</v>
      </c>
      <c r="M6" s="785">
        <f ca="1">INDIRECT("'数据-取费表'!z"&amp;$G$1)</f>
        <v>0</v>
      </c>
    </row>
    <row r="7" spans="1:33" ht="18" customHeight="1">
      <c r="A7" s="2502"/>
      <c r="B7" s="3443"/>
      <c r="C7" s="788"/>
      <c r="D7" s="789"/>
      <c r="E7" s="784" t="s">
        <v>1740</v>
      </c>
      <c r="F7" s="785">
        <f ca="1">IF(INDIRECT("'数据-取费表'!ah"&amp;$G$1)="",INDIRECT("'数据-取费表'!k"&amp;$G$1),INDIRECT("'数据-取费表'!ah"&amp;$G$1))</f>
        <v>65968.61</v>
      </c>
      <c r="G7" s="1593"/>
      <c r="H7" s="2491"/>
      <c r="I7" s="3443"/>
      <c r="J7" s="788"/>
      <c r="K7" s="789"/>
      <c r="L7" s="784" t="s">
        <v>1740</v>
      </c>
      <c r="M7" s="785">
        <f ca="1">F7</f>
        <v>65968.61</v>
      </c>
    </row>
    <row r="8" spans="1:33" ht="18" customHeight="1">
      <c r="A8" s="2495"/>
      <c r="B8" s="3444"/>
      <c r="C8" s="788"/>
      <c r="D8" s="789"/>
      <c r="E8" s="784" t="s">
        <v>1741</v>
      </c>
      <c r="F8" s="785">
        <f ca="1">INDIRECT("'数据-取费表'!ai"&amp;$G$1)</f>
        <v>365</v>
      </c>
      <c r="G8" s="1593"/>
      <c r="H8" s="2491"/>
      <c r="I8" s="3444"/>
      <c r="J8" s="788"/>
      <c r="K8" s="789"/>
      <c r="L8" s="784" t="s">
        <v>1741</v>
      </c>
      <c r="M8" s="785">
        <f ca="1">INDIRECT("'数据-取费表'!ai"&amp;$G$1)</f>
        <v>365</v>
      </c>
    </row>
    <row r="9" spans="1:33" ht="18" customHeight="1">
      <c r="A9" s="786"/>
      <c r="B9" s="3445"/>
      <c r="C9" s="788"/>
      <c r="D9" s="789"/>
      <c r="E9" s="784" t="s">
        <v>1742</v>
      </c>
      <c r="F9" s="794">
        <f ca="1">INDIRECT("'数据-取费表'!w"&amp;$G$1)</f>
        <v>0.1</v>
      </c>
      <c r="G9" s="1593"/>
      <c r="H9" s="2507"/>
      <c r="I9" s="3444"/>
      <c r="J9" s="788"/>
      <c r="K9" s="789"/>
      <c r="L9" s="795" t="s">
        <v>1742</v>
      </c>
      <c r="M9" s="796">
        <f ca="1">INDIRECT("'数据-取费表'!ab"&amp;$G$1)</f>
        <v>0</v>
      </c>
    </row>
    <row r="10" spans="1:33" ht="18" customHeight="1">
      <c r="A10" s="1832" t="s">
        <v>1826</v>
      </c>
      <c r="B10" s="2496" t="s">
        <v>2462</v>
      </c>
      <c r="C10" s="799">
        <f ca="1">ROUND(IF(F10="押一",C6/12*F11,IF(F10="押二",C6/12*2*F11,IF(F10="押三",C6/12*3*F11,C11*F11))),0)</f>
        <v>16</v>
      </c>
      <c r="D10" s="2503" t="s">
        <v>2980</v>
      </c>
      <c r="E10" s="2500" t="s">
        <v>2467</v>
      </c>
      <c r="F10" s="2623" t="s">
        <v>3005</v>
      </c>
      <c r="G10" s="1593"/>
      <c r="H10" s="2563" t="s">
        <v>1826</v>
      </c>
      <c r="I10" s="2568" t="s">
        <v>2462</v>
      </c>
      <c r="J10" s="783">
        <f ca="1">ROUND(IF(M10="押一",J6/12*M11,IF(M10="押二",J6/12*2*M11,IF(M10="押三",J6/12*3*M11,J11*M11))),0)</f>
        <v>0</v>
      </c>
      <c r="K10" s="2503" t="s">
        <v>2980</v>
      </c>
      <c r="L10" s="2500" t="s">
        <v>2467</v>
      </c>
      <c r="M10" s="2623"/>
    </row>
    <row r="11" spans="1:33" ht="18" customHeight="1">
      <c r="A11" s="790"/>
      <c r="B11" s="2497" t="s">
        <v>2576</v>
      </c>
      <c r="C11" s="2501"/>
      <c r="D11" s="789"/>
      <c r="E11" s="2500" t="s">
        <v>2459</v>
      </c>
      <c r="F11" s="796">
        <f ca="1">'数据-取费表'!B39</f>
        <v>1.4999999999999999E-2</v>
      </c>
      <c r="G11" s="1593"/>
      <c r="H11" s="2564"/>
      <c r="I11" s="2497" t="s">
        <v>2576</v>
      </c>
      <c r="J11" s="2501"/>
      <c r="K11" s="2565"/>
      <c r="L11" s="2500" t="s">
        <v>2459</v>
      </c>
      <c r="M11" s="2494">
        <f ca="1">'数据-取费表'!B39</f>
        <v>1.4999999999999999E-2</v>
      </c>
    </row>
    <row r="12" spans="1:33" ht="18" customHeight="1" thickBot="1">
      <c r="A12" s="2539" t="s">
        <v>2470</v>
      </c>
      <c r="B12" s="2540" t="s">
        <v>2463</v>
      </c>
      <c r="C12" s="2541"/>
      <c r="D12" s="2542"/>
      <c r="E12" s="2543"/>
      <c r="F12" s="2544"/>
      <c r="G12" s="1593"/>
      <c r="H12" s="2553" t="s">
        <v>2470</v>
      </c>
      <c r="I12" s="2566" t="s">
        <v>2463</v>
      </c>
      <c r="J12" s="2567"/>
      <c r="K12" s="2542"/>
      <c r="L12" s="2543"/>
      <c r="M12" s="2556"/>
    </row>
    <row r="13" spans="1:33" ht="18" customHeight="1" thickTop="1">
      <c r="A13" s="1831">
        <v>2</v>
      </c>
      <c r="B13" s="1829" t="s">
        <v>1743</v>
      </c>
      <c r="C13" s="792">
        <f ca="1">ROUND(C29*F13,0)</f>
        <v>42359</v>
      </c>
      <c r="D13" s="1836" t="s">
        <v>2300</v>
      </c>
      <c r="E13" s="1836" t="s">
        <v>1745</v>
      </c>
      <c r="F13" s="2538">
        <f ca="1">INDIRECT("'数据-取费表'!y"&amp;$G$1)</f>
        <v>1</v>
      </c>
      <c r="G13" s="1593"/>
      <c r="H13" s="1831">
        <v>2</v>
      </c>
      <c r="I13" s="1829" t="s">
        <v>1743</v>
      </c>
      <c r="J13" s="1821">
        <f ca="1">ROUND(J14*J15,0)</f>
        <v>0</v>
      </c>
      <c r="K13" s="1823" t="s">
        <v>1744</v>
      </c>
      <c r="L13" s="2554"/>
      <c r="M13" s="2555"/>
    </row>
    <row r="14" spans="1:33" ht="18" customHeight="1">
      <c r="A14" s="1649" t="s">
        <v>1876</v>
      </c>
      <c r="B14" s="784" t="s">
        <v>645</v>
      </c>
      <c r="C14" s="804">
        <f ca="1">INDIRECT("'数据-取费表'!m"&amp;$G$1)+INDIRECT("'数据-取费表'!t"&amp;$G$1)</f>
        <v>26923</v>
      </c>
      <c r="D14" s="3181" t="s">
        <v>1746</v>
      </c>
      <c r="E14" s="3182"/>
      <c r="F14" s="805"/>
      <c r="G14" s="1593"/>
      <c r="H14" s="1650" t="s">
        <v>1825</v>
      </c>
      <c r="I14" s="2233" t="s">
        <v>2828</v>
      </c>
      <c r="J14" s="53">
        <f ca="1">C29</f>
        <v>42359</v>
      </c>
      <c r="K14" s="26"/>
      <c r="L14" s="801"/>
      <c r="M14" s="802"/>
    </row>
    <row r="15" spans="1:33" s="2066" customFormat="1" ht="18" customHeight="1" thickBot="1">
      <c r="A15" s="1649" t="s">
        <v>1886</v>
      </c>
      <c r="B15" s="784" t="s">
        <v>647</v>
      </c>
      <c r="C15" s="53">
        <f ca="1">ROUND(C14*F15,0)</f>
        <v>808</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1881</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4194</v>
      </c>
      <c r="K16" s="1823" t="s">
        <v>1751</v>
      </c>
      <c r="L16" s="3183"/>
      <c r="M16" s="2493"/>
    </row>
    <row r="17" spans="1:33" s="2066" customFormat="1" ht="18" customHeight="1">
      <c r="A17" s="1649" t="s">
        <v>1888</v>
      </c>
      <c r="B17" s="784" t="s">
        <v>653</v>
      </c>
      <c r="C17" s="53">
        <f ca="1">ROUND(F17*(F43+INDIRECT("'数据-取费表'!S"&amp;$G$1))/10000,0)</f>
        <v>1362</v>
      </c>
      <c r="D17" s="784" t="s">
        <v>1752</v>
      </c>
      <c r="E17" s="784" t="s">
        <v>1753</v>
      </c>
      <c r="F17" s="56">
        <f>'数据-取费表'!B35</f>
        <v>200</v>
      </c>
      <c r="G17" s="1594"/>
      <c r="H17" s="1650" t="s">
        <v>1825</v>
      </c>
      <c r="I17" s="784" t="s">
        <v>656</v>
      </c>
      <c r="J17" s="53">
        <f ca="1">ROUND(IF(项目基本情况!B11="自然人",J5*M17,J18+J19+J20),0)</f>
        <v>3559</v>
      </c>
      <c r="K17" s="3181" t="s">
        <v>1754</v>
      </c>
      <c r="L17" s="3180"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404</v>
      </c>
      <c r="D18" s="784" t="s">
        <v>1747</v>
      </c>
      <c r="E18" s="784" t="s">
        <v>1748</v>
      </c>
      <c r="F18" s="809">
        <f>'数据-取费表'!B36</f>
        <v>1.4999999999999999E-2</v>
      </c>
      <c r="G18" s="1594"/>
      <c r="H18" s="1649" t="s">
        <v>1876</v>
      </c>
      <c r="I18" s="784" t="s">
        <v>1756</v>
      </c>
      <c r="J18" s="53">
        <f ca="1">ROUND(J5*M18/1.05,1)</f>
        <v>0</v>
      </c>
      <c r="K18" s="3180" t="s">
        <v>1757</v>
      </c>
      <c r="L18" s="784" t="s">
        <v>1748</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1825</v>
      </c>
      <c r="B19" s="784" t="s">
        <v>662</v>
      </c>
      <c r="C19" s="53">
        <f ca="1">SUM(C14:C18)</f>
        <v>29497</v>
      </c>
      <c r="D19" s="261" t="s">
        <v>1758</v>
      </c>
      <c r="E19" s="3185"/>
      <c r="F19" s="56"/>
      <c r="G19" s="1593"/>
      <c r="H19" s="1649" t="s">
        <v>1886</v>
      </c>
      <c r="I19" s="784" t="s">
        <v>1759</v>
      </c>
      <c r="J19" s="53">
        <f ca="1">IF(K19="按租金收入计税",ROUND(J5*M19,1),ROUND(C29*F33*0.7,1))</f>
        <v>3558.2</v>
      </c>
      <c r="K19" s="811" t="s">
        <v>665</v>
      </c>
      <c r="L19" s="784" t="s">
        <v>1748</v>
      </c>
      <c r="M19" s="809">
        <f>IF(K19="按租金收入计税",'数据-取费表'!B51,'数据-取费表'!B50)</f>
        <v>1.2E-2</v>
      </c>
    </row>
    <row r="20" spans="1:33" s="2066" customFormat="1" ht="18" customHeight="1">
      <c r="A20" s="1650" t="s">
        <v>1890</v>
      </c>
      <c r="B20" s="784" t="s">
        <v>666</v>
      </c>
      <c r="C20" s="53">
        <f ca="1">ROUND(C19*F20,0)</f>
        <v>590</v>
      </c>
      <c r="D20" s="812" t="s">
        <v>1760</v>
      </c>
      <c r="E20" s="784" t="s">
        <v>1748</v>
      </c>
      <c r="F20" s="809">
        <f>'数据-取费表'!B37</f>
        <v>0.02</v>
      </c>
      <c r="G20" s="1594"/>
      <c r="H20" s="1652" t="s">
        <v>1881</v>
      </c>
      <c r="I20" s="341" t="s">
        <v>1761</v>
      </c>
      <c r="J20" s="54">
        <f ca="1">ROUND(M20*M21/10000,0)</f>
        <v>1</v>
      </c>
      <c r="K20" s="814" t="s">
        <v>1762</v>
      </c>
      <c r="L20" s="784" t="s">
        <v>1763</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8"/>
      <c r="I21" s="793"/>
      <c r="J21" s="69"/>
      <c r="K21" s="816"/>
      <c r="L21" s="784" t="s">
        <v>1767</v>
      </c>
      <c r="M21" s="785">
        <f ca="1">INDIRECT("'数据-取费表'!r"&amp;$G$1)</f>
        <v>7244.34</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3185"/>
      <c r="F22" s="56"/>
      <c r="G22" s="1593"/>
      <c r="H22" s="1650" t="s">
        <v>1890</v>
      </c>
      <c r="I22" s="784" t="s">
        <v>1769</v>
      </c>
      <c r="J22" s="53">
        <f ca="1">ROUND(J14*M22,0)</f>
        <v>635</v>
      </c>
      <c r="K22" s="3180" t="s">
        <v>1770</v>
      </c>
      <c r="L22" s="784" t="s">
        <v>1748</v>
      </c>
      <c r="M22" s="817">
        <f ca="1">INDIRECT("'数据-取费表'!Ak"&amp;$G$1)</f>
        <v>1.4999999999999999E-2</v>
      </c>
    </row>
    <row r="23" spans="1:33" s="2066" customFormat="1" ht="18" customHeight="1">
      <c r="A23" s="1649" t="s">
        <v>1832</v>
      </c>
      <c r="B23" s="784" t="s">
        <v>2440</v>
      </c>
      <c r="C23" s="53">
        <f ca="1">ROUND(IF('数据-取费表'!B22&lt;=1,(C19+C20)*F24*F23/2,(C19+C20)*(POWER((1+F24),F23/2)-1)),0)</f>
        <v>1429</v>
      </c>
      <c r="D23" s="2573"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3180" t="s">
        <v>1772</v>
      </c>
      <c r="L23" s="784" t="s">
        <v>1748</v>
      </c>
      <c r="M23" s="818">
        <f ca="1">INDIRECT("'数据-取费表'!Al"&amp;$G$1)</f>
        <v>2E-3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0.02</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3185"/>
      <c r="F25" s="56"/>
      <c r="G25" s="1593"/>
      <c r="H25" s="1831" t="s">
        <v>1777</v>
      </c>
      <c r="I25" s="3011" t="s">
        <v>2825</v>
      </c>
      <c r="J25" s="792">
        <f ca="1">J5-J16</f>
        <v>-4194</v>
      </c>
      <c r="K25" s="2550" t="s">
        <v>1778</v>
      </c>
      <c r="L25" s="2551"/>
      <c r="M25" s="2552"/>
    </row>
    <row r="26" spans="1:33" ht="18" customHeight="1">
      <c r="A26" s="1649" t="s">
        <v>1832</v>
      </c>
      <c r="B26" s="784" t="s">
        <v>2441</v>
      </c>
      <c r="C26" s="53">
        <f ca="1">ROUND((C19+C20)*F26,0)</f>
        <v>7522</v>
      </c>
      <c r="D26" s="812" t="s">
        <v>1779</v>
      </c>
      <c r="E26" s="795" t="s">
        <v>1780</v>
      </c>
      <c r="F26" s="794">
        <f ca="1">INDIRECT("'数据-取费表'!q"&amp;$G$1)</f>
        <v>0.25</v>
      </c>
      <c r="G26" s="1593"/>
      <c r="H26" s="2504" t="s">
        <v>1781</v>
      </c>
      <c r="I26" s="2234" t="s">
        <v>2830</v>
      </c>
      <c r="J26" s="783">
        <f ca="1">IF(J5&lt;&gt;0,ROUND(J25*(1-((1+M28)/(1+M26))^M27)/(M26-M28),0),0)</f>
        <v>0</v>
      </c>
      <c r="K26" s="814" t="s">
        <v>1782</v>
      </c>
      <c r="L26" s="784" t="s">
        <v>2422</v>
      </c>
      <c r="M26" s="794">
        <f ca="1">INDIRECT("'数据-取费表'!I"&amp;$G$1)</f>
        <v>0.06</v>
      </c>
    </row>
    <row r="27" spans="1:33" ht="18" customHeight="1">
      <c r="A27" s="1649" t="s">
        <v>1833</v>
      </c>
      <c r="B27" s="784" t="s">
        <v>686</v>
      </c>
      <c r="C27" s="53">
        <f ca="1">ROUND(F21*F26,4)</f>
        <v>5.0000000000000001E-3</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5.2400000000000002E-2</v>
      </c>
      <c r="D28" s="812" t="s">
        <v>2302</v>
      </c>
      <c r="E28" s="784" t="s">
        <v>1748</v>
      </c>
      <c r="F28" s="809">
        <f>'数据-取费表'!B41</f>
        <v>5.5000000000000007E-2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f ca="1">ROUND((C19+C20+C23+C26)/(1-F21-C24-C27-C28),0)</f>
        <v>42359</v>
      </c>
      <c r="D29" s="2547"/>
      <c r="E29" s="2548"/>
      <c r="F29" s="2549"/>
      <c r="G29" s="1594"/>
      <c r="H29" s="823" t="s">
        <v>1788</v>
      </c>
      <c r="I29" s="824" t="s">
        <v>1789</v>
      </c>
      <c r="J29" s="825">
        <f ca="1">ROUND(J26/(1+F40)^F41,0)</f>
        <v>0</v>
      </c>
      <c r="K29" s="826" t="s">
        <v>1790</v>
      </c>
      <c r="L29" s="827"/>
      <c r="M29" s="828">
        <f ca="1">INDIRECT("'数据-取费表'!k"&amp;$G$1)</f>
        <v>65968.61</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1749</v>
      </c>
      <c r="B30" s="1829" t="s">
        <v>1750</v>
      </c>
      <c r="C30" s="792">
        <f ca="1">ROUND(C31+C36+C37+C38,0)</f>
        <v>3142</v>
      </c>
      <c r="D30" s="1823" t="s">
        <v>1792</v>
      </c>
      <c r="E30" s="3183"/>
      <c r="F30" s="2493"/>
      <c r="G30" s="2064"/>
      <c r="H30" s="2067"/>
      <c r="I30" s="2068"/>
      <c r="J30" s="2069"/>
      <c r="K30" s="2070"/>
      <c r="L30" s="2071"/>
      <c r="M30" s="2072"/>
    </row>
    <row r="31" spans="1:33" ht="18" customHeight="1">
      <c r="A31" s="1650" t="s">
        <v>1825</v>
      </c>
      <c r="B31" s="784" t="s">
        <v>656</v>
      </c>
      <c r="C31" s="53">
        <f ca="1">ROUND(IF(项目基本情况!B11="自然人",C5*F31,C32+C33+C34),1)</f>
        <v>2170.5</v>
      </c>
      <c r="D31" s="3181" t="s">
        <v>1754</v>
      </c>
      <c r="E31" s="3180"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1756</v>
      </c>
      <c r="C32" s="53">
        <f ca="1">ROUND(C5*F32/1.05,1)</f>
        <v>659.2</v>
      </c>
      <c r="D32" s="3180" t="s">
        <v>1796</v>
      </c>
      <c r="E32" s="784" t="s">
        <v>1797</v>
      </c>
      <c r="F32" s="809">
        <f>'数据-取费表'!B41</f>
        <v>5.5000000000000007E-2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1510.2</v>
      </c>
      <c r="D33" s="811" t="s">
        <v>3006</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1.1000000000000001</v>
      </c>
      <c r="D34" s="814" t="s">
        <v>1762</v>
      </c>
      <c r="E34" s="784" t="s">
        <v>1801</v>
      </c>
      <c r="F34" s="640">
        <f>'数据-取费表'!B52</f>
        <v>1.5</v>
      </c>
      <c r="G34" s="2064"/>
      <c r="H34" s="2067"/>
      <c r="I34" s="835" t="s">
        <v>1814</v>
      </c>
      <c r="J34" s="836"/>
      <c r="K34" s="2082"/>
      <c r="L34" s="2081"/>
      <c r="M34" s="2081"/>
    </row>
    <row r="35" spans="1:18" ht="18" customHeight="1">
      <c r="A35" s="815"/>
      <c r="B35" s="793"/>
      <c r="C35" s="69"/>
      <c r="D35" s="816"/>
      <c r="E35" s="784" t="s">
        <v>1802</v>
      </c>
      <c r="F35" s="785">
        <f ca="1">INDIRECT("'数据-取费表'!r"&amp;$G$1)</f>
        <v>7244.34</v>
      </c>
      <c r="G35" s="2064"/>
      <c r="H35" s="2067"/>
      <c r="I35" s="837" t="s">
        <v>1815</v>
      </c>
      <c r="J35" s="838">
        <f ca="1">ROUND(C13*J36,0)</f>
        <v>3601</v>
      </c>
      <c r="K35" s="2080"/>
      <c r="L35" s="2079"/>
      <c r="M35" s="2079"/>
    </row>
    <row r="36" spans="1:18" ht="18" customHeight="1">
      <c r="A36" s="1650" t="s">
        <v>1890</v>
      </c>
      <c r="B36" s="784" t="s">
        <v>1803</v>
      </c>
      <c r="C36" s="53">
        <f ca="1">ROUND(C29*F36,1)</f>
        <v>635.4</v>
      </c>
      <c r="D36" s="3180"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84.7</v>
      </c>
      <c r="D37" s="3180" t="s">
        <v>1772</v>
      </c>
      <c r="E37" s="784" t="s">
        <v>1797</v>
      </c>
      <c r="F37" s="818">
        <f ca="1">INDIRECT("'数据-取费表'!Al"&amp;$G$1)</f>
        <v>2E-3</v>
      </c>
      <c r="G37" s="2064"/>
      <c r="H37" s="2079"/>
      <c r="I37" s="841" t="s">
        <v>1817</v>
      </c>
      <c r="J37" s="842"/>
      <c r="K37" s="2084"/>
      <c r="L37" s="2079"/>
      <c r="M37" s="2079"/>
    </row>
    <row r="38" spans="1:18" ht="18" customHeight="1" thickBot="1">
      <c r="A38" s="2553" t="s">
        <v>1892</v>
      </c>
      <c r="B38" s="2548" t="s">
        <v>666</v>
      </c>
      <c r="C38" s="2546">
        <f ca="1">ROUND(C5*F38,1)</f>
        <v>251.7</v>
      </c>
      <c r="D38" s="2547" t="s">
        <v>1775</v>
      </c>
      <c r="E38" s="2548" t="s">
        <v>1797</v>
      </c>
      <c r="F38" s="2544">
        <f ca="1">INDIRECT("'数据-取费表'!Am"&amp;$G$1)</f>
        <v>0.02</v>
      </c>
      <c r="G38" s="2064"/>
      <c r="H38" s="2079"/>
      <c r="I38" s="843" t="s">
        <v>1818</v>
      </c>
      <c r="J38" s="844"/>
      <c r="K38" s="2085"/>
      <c r="L38" s="2079"/>
      <c r="M38" s="2079"/>
    </row>
    <row r="39" spans="1:18" ht="24.6" customHeight="1" thickTop="1">
      <c r="A39" s="1831" t="s">
        <v>1895</v>
      </c>
      <c r="B39" s="3011" t="s">
        <v>2825</v>
      </c>
      <c r="C39" s="792">
        <f ca="1">C5-C30</f>
        <v>9443</v>
      </c>
      <c r="D39" s="2550" t="s">
        <v>1807</v>
      </c>
      <c r="E39" s="2551"/>
      <c r="F39" s="2552"/>
      <c r="G39" s="2064"/>
      <c r="H39" s="2079"/>
      <c r="I39" s="837" t="s">
        <v>1819</v>
      </c>
      <c r="J39" s="845">
        <f ca="1">ROUND(J35/C39,3)</f>
        <v>0.38100000000000001</v>
      </c>
      <c r="K39" s="2085"/>
      <c r="L39" s="2079"/>
      <c r="M39" s="2079"/>
    </row>
    <row r="40" spans="1:18" ht="18" customHeight="1">
      <c r="A40" s="781" t="s">
        <v>1896</v>
      </c>
      <c r="B40" s="2234" t="s">
        <v>2304</v>
      </c>
      <c r="C40" s="783">
        <f ca="1">ROUND(C39*(1-((1+F42)/(1+F40))^F41)/(F40-F42),0)</f>
        <v>177883</v>
      </c>
      <c r="D40" s="814" t="s">
        <v>1782</v>
      </c>
      <c r="E40" s="784" t="s">
        <v>2422</v>
      </c>
      <c r="F40" s="794">
        <f ca="1">INDIRECT("'数据-取费表'!I"&amp;$G$1)</f>
        <v>0.06</v>
      </c>
      <c r="G40" s="2064"/>
      <c r="H40" s="2064"/>
      <c r="I40" s="837" t="s">
        <v>1820</v>
      </c>
      <c r="J40" s="845">
        <f ca="1">1-J39</f>
        <v>0.61899999999999999</v>
      </c>
      <c r="K40" s="2085"/>
      <c r="L40" s="2064"/>
      <c r="M40" s="2064"/>
    </row>
    <row r="41" spans="1:18" ht="18" customHeight="1">
      <c r="A41" s="786"/>
      <c r="B41" s="787"/>
      <c r="C41" s="788"/>
      <c r="D41" s="821" t="s">
        <v>1809</v>
      </c>
      <c r="E41" s="784" t="s">
        <v>1785</v>
      </c>
      <c r="F41" s="822">
        <f ca="1">IF(INDIRECT("'数据-取费表'!af"&amp;$G$1)=0,INDIRECT("'数据-取费表'!ae"&amp;$G$1),INDIRECT("'数据-取费表'!af"&amp;$G$1))</f>
        <v>32.07</v>
      </c>
      <c r="G41" s="2064"/>
      <c r="H41" s="1990"/>
      <c r="I41" s="843" t="s">
        <v>1821</v>
      </c>
      <c r="J41" s="846"/>
      <c r="K41" s="2084"/>
      <c r="L41" s="1990"/>
      <c r="M41" s="1990"/>
    </row>
    <row r="42" spans="1:18" ht="18" customHeight="1">
      <c r="A42" s="790"/>
      <c r="B42" s="791"/>
      <c r="C42" s="792"/>
      <c r="D42" s="816"/>
      <c r="E42" s="784" t="s">
        <v>1810</v>
      </c>
      <c r="F42" s="794">
        <f ca="1">INDIRECT("'数据-取费表'!v"&amp;$G$1)</f>
        <v>2.5000000000000001E-2</v>
      </c>
      <c r="G42" s="2064"/>
      <c r="H42" s="1990"/>
      <c r="I42" s="847" t="s">
        <v>1822</v>
      </c>
      <c r="J42" s="845">
        <f ca="1">ROUND(C13/C40,3)</f>
        <v>0.23799999999999999</v>
      </c>
      <c r="K42" s="2084"/>
      <c r="L42" s="1990"/>
      <c r="M42" s="1990"/>
    </row>
    <row r="43" spans="1:18" ht="18" customHeight="1" thickBot="1">
      <c r="A43" s="823" t="s">
        <v>1788</v>
      </c>
      <c r="B43" s="824" t="s">
        <v>1811</v>
      </c>
      <c r="C43" s="825">
        <f ca="1">ROUND(C40*10000/F43,0)</f>
        <v>26965</v>
      </c>
      <c r="D43" s="826" t="s">
        <v>1812</v>
      </c>
      <c r="E43" s="827" t="s">
        <v>1813</v>
      </c>
      <c r="F43" s="828">
        <f ca="1">INDIRECT("'数据-取费表'!k"&amp;$G$1)</f>
        <v>65968.61</v>
      </c>
      <c r="G43" s="2064"/>
      <c r="H43" s="1990"/>
      <c r="I43" s="847" t="s">
        <v>1823</v>
      </c>
      <c r="J43" s="848">
        <f ca="1">1-J42</f>
        <v>0.76200000000000001</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f ca="1">C67-C40</f>
        <v>-188045</v>
      </c>
      <c r="D46" s="2087"/>
      <c r="E46" s="2087"/>
      <c r="F46" s="2087"/>
      <c r="I46" s="2380" t="s">
        <v>2346</v>
      </c>
      <c r="J46" s="2381"/>
      <c r="K46" s="2382"/>
      <c r="L46" s="3162">
        <f>IF(OR(M47="住宅",D1="土地（套用方法）"),0,IF(L48&gt;J51,L60,J60))</f>
        <v>0</v>
      </c>
      <c r="O46" s="2396" t="s">
        <v>2413</v>
      </c>
      <c r="P46" s="1593"/>
      <c r="Q46" s="1605"/>
      <c r="R46" s="1593"/>
    </row>
    <row r="47" spans="1:18" s="2061" customFormat="1" ht="18" customHeight="1" thickBot="1">
      <c r="A47" s="2374">
        <v>1</v>
      </c>
      <c r="B47" s="2375" t="s">
        <v>635</v>
      </c>
      <c r="C47" s="2576">
        <f ca="1">C48+C52+C54</f>
        <v>0</v>
      </c>
      <c r="D47" s="2087"/>
      <c r="E47" s="2087"/>
      <c r="F47" s="2087"/>
      <c r="I47" s="3152" t="s">
        <v>2347</v>
      </c>
      <c r="J47" s="2383" t="s">
        <v>3007</v>
      </c>
      <c r="K47" s="3159" t="s">
        <v>2352</v>
      </c>
      <c r="L47" s="3163">
        <f ca="1">INDIRECT("'数据-取费表'!d"&amp;$G$1)</f>
        <v>40</v>
      </c>
      <c r="M47" s="1605" t="str">
        <f>IF(ISNUMBER(FIND("住宅",C1)),"住宅","非住宅")</f>
        <v>非住宅</v>
      </c>
      <c r="O47" s="2397" t="s">
        <v>2378</v>
      </c>
      <c r="P47" s="2398" t="s">
        <v>2379</v>
      </c>
      <c r="Q47" s="2399" t="s">
        <v>2380</v>
      </c>
      <c r="R47" s="2398" t="s">
        <v>2381</v>
      </c>
    </row>
    <row r="48" spans="1:18" s="2061" customFormat="1" ht="18" customHeight="1" thickBot="1">
      <c r="A48" s="2644" t="s">
        <v>1871</v>
      </c>
      <c r="B48" s="2645" t="s">
        <v>2541</v>
      </c>
      <c r="C48" s="2376">
        <f ca="1">ROUND(F48*F50*F49*(1-F51)/10000,0)</f>
        <v>0</v>
      </c>
      <c r="D48" s="2377" t="s">
        <v>636</v>
      </c>
      <c r="E48" s="2378" t="s">
        <v>2299</v>
      </c>
      <c r="F48" s="2379"/>
      <c r="G48" s="2092"/>
      <c r="I48" s="3128" t="s">
        <v>2348</v>
      </c>
      <c r="J48" s="2384" t="s">
        <v>2353</v>
      </c>
      <c r="K48" s="3160" t="s">
        <v>2354</v>
      </c>
      <c r="L48" s="1910">
        <f ca="1">INDIRECT("'数据-取费表'!f"&amp;$G$1)</f>
        <v>34.07</v>
      </c>
      <c r="O48" s="2400" t="s">
        <v>2382</v>
      </c>
      <c r="P48" s="2401" t="s">
        <v>2408</v>
      </c>
      <c r="Q48" s="2402">
        <f ca="1">C40+J29</f>
        <v>177883</v>
      </c>
      <c r="R48" s="2401" t="s">
        <v>2383</v>
      </c>
    </row>
    <row r="49" spans="1:18" s="2061" customFormat="1" ht="18" customHeight="1" thickBot="1">
      <c r="A49" s="786"/>
      <c r="B49" s="787"/>
      <c r="C49" s="788"/>
      <c r="D49" s="789"/>
      <c r="E49" s="784" t="s">
        <v>1740</v>
      </c>
      <c r="F49" s="785">
        <f ca="1">F7</f>
        <v>65968.61</v>
      </c>
      <c r="G49" s="2092"/>
      <c r="H49" s="2095"/>
      <c r="I49" s="3128" t="s">
        <v>2349</v>
      </c>
      <c r="J49" s="2385"/>
      <c r="K49" s="3161" t="s">
        <v>2355</v>
      </c>
      <c r="L49" s="2386"/>
      <c r="O49" s="2400" t="s">
        <v>2384</v>
      </c>
      <c r="P49" s="2401" t="s">
        <v>2409</v>
      </c>
      <c r="Q49" s="2402" t="str">
        <f ca="1">J60</f>
        <v>0</v>
      </c>
      <c r="R49" s="2401" t="s">
        <v>2385</v>
      </c>
    </row>
    <row r="50" spans="1:18" s="2061" customFormat="1" ht="18" customHeight="1" thickBot="1">
      <c r="A50" s="786"/>
      <c r="B50" s="787"/>
      <c r="C50" s="788"/>
      <c r="D50" s="789"/>
      <c r="E50" s="784" t="s">
        <v>1741</v>
      </c>
      <c r="F50" s="785">
        <f ca="1">F8</f>
        <v>365</v>
      </c>
      <c r="G50" s="2097"/>
      <c r="H50" s="2095"/>
      <c r="I50" s="3128" t="s">
        <v>2350</v>
      </c>
      <c r="J50" s="3156">
        <f>SUMPRODUCT((I63:I65=J47)*(J62:L62=J48)*(J63:L65))</f>
        <v>60</v>
      </c>
      <c r="K50" s="3161" t="s">
        <v>2356</v>
      </c>
      <c r="L50" s="2386"/>
      <c r="O50" s="2403" t="s">
        <v>2386</v>
      </c>
      <c r="P50" s="2401" t="s">
        <v>2410</v>
      </c>
      <c r="Q50" s="2402">
        <f ca="1">C29</f>
        <v>42359</v>
      </c>
      <c r="R50" s="2401" t="s">
        <v>2383</v>
      </c>
    </row>
    <row r="51" spans="1:18" s="2061" customFormat="1" ht="18" customHeight="1" thickBot="1">
      <c r="A51" s="786"/>
      <c r="B51" s="787"/>
      <c r="C51" s="788"/>
      <c r="D51" s="789"/>
      <c r="E51" s="784" t="s">
        <v>640</v>
      </c>
      <c r="F51" s="2373"/>
      <c r="H51" s="2095"/>
      <c r="I51" s="3153" t="s">
        <v>2351</v>
      </c>
      <c r="J51" s="3157">
        <f>IF(J49="",J50,J49+J50-YEAR('数据-取费表'!B2))</f>
        <v>60</v>
      </c>
      <c r="K51" s="3128" t="s">
        <v>2357</v>
      </c>
      <c r="L51" s="3164">
        <f ca="1">ROUND(-PV(INDIRECT("'数据-取费表'!h"&amp;$G$1),L48,(C39-C13*J36),0),0)</f>
        <v>89086</v>
      </c>
      <c r="O51" s="2403" t="s">
        <v>2387</v>
      </c>
      <c r="P51" s="2401" t="s">
        <v>2388</v>
      </c>
      <c r="Q51" s="2404" t="e">
        <f ca="1">J58</f>
        <v>#VALUE!</v>
      </c>
      <c r="R51" s="2405"/>
    </row>
    <row r="52" spans="1:18" s="2061" customFormat="1" ht="18" customHeight="1" thickBot="1">
      <c r="A52" s="781" t="s">
        <v>2539</v>
      </c>
      <c r="B52" s="2496" t="s">
        <v>2462</v>
      </c>
      <c r="C52" s="799">
        <f ca="1">ROUND(IF(F52="押一",C48/12*F11,IF(F52="押二",C48/12*2*F11,IF(F52="押三",C48/12*3*F11,C53*F11))),0)</f>
        <v>0</v>
      </c>
      <c r="D52" s="2503" t="s">
        <v>2980</v>
      </c>
      <c r="E52" s="2500" t="s">
        <v>2467</v>
      </c>
      <c r="F52" s="2623"/>
      <c r="I52" s="3154" t="s">
        <v>2424</v>
      </c>
      <c r="J52" s="2387"/>
      <c r="K52" s="3154" t="s">
        <v>2423</v>
      </c>
      <c r="L52" s="2387"/>
      <c r="O52" s="2403" t="s">
        <v>2389</v>
      </c>
      <c r="P52" s="2401" t="s">
        <v>2390</v>
      </c>
      <c r="Q52" s="2404">
        <f>J52</f>
        <v>0</v>
      </c>
      <c r="R52" s="2405"/>
    </row>
    <row r="53" spans="1:18" s="2061" customFormat="1" ht="39.75" customHeight="1" thickBot="1">
      <c r="A53" s="786"/>
      <c r="B53" s="2497" t="s">
        <v>2576</v>
      </c>
      <c r="C53" s="2501"/>
      <c r="D53" s="2503"/>
      <c r="E53" s="2500"/>
      <c r="F53" s="800"/>
      <c r="I53" s="3155" t="s">
        <v>2985</v>
      </c>
      <c r="J53" s="3158">
        <f ca="1">IF(M47="住宅",IF(D1="——",MAX(J51,L48),MAX(J51,L48-'数据-取费表'!B20)),IF(D1="——",MIN(J51,L48),MIN(J51,L48-'数据-取费表'!B20)))</f>
        <v>32.07</v>
      </c>
      <c r="K53" s="3458" t="s">
        <v>2972</v>
      </c>
      <c r="L53" s="3459"/>
      <c r="O53" s="2403" t="s">
        <v>2391</v>
      </c>
      <c r="P53" s="2401" t="s">
        <v>2392</v>
      </c>
      <c r="Q53" s="2402">
        <f ca="1">J53</f>
        <v>32.07</v>
      </c>
      <c r="R53" s="2401" t="s">
        <v>2393</v>
      </c>
    </row>
    <row r="54" spans="1:18" s="2061" customFormat="1" ht="18" customHeight="1" thickBot="1">
      <c r="A54" s="2539" t="s">
        <v>2470</v>
      </c>
      <c r="B54" s="2540" t="s">
        <v>2463</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2394</v>
      </c>
      <c r="P54" s="2401" t="s">
        <v>2411</v>
      </c>
      <c r="Q54" s="2402">
        <f ca="1">Q48+Q49</f>
        <v>177883</v>
      </c>
      <c r="R54" s="2405" t="s">
        <v>2395</v>
      </c>
    </row>
    <row r="55" spans="1:18" s="2061" customFormat="1" ht="18" customHeight="1" thickTop="1" thickBot="1">
      <c r="A55" s="797">
        <v>2</v>
      </c>
      <c r="B55" s="798" t="s">
        <v>644</v>
      </c>
      <c r="C55" s="799">
        <f ca="1">C13</f>
        <v>42359</v>
      </c>
      <c r="D55" s="795"/>
      <c r="E55" s="795"/>
      <c r="F55" s="800"/>
      <c r="I55" s="3167" t="s">
        <v>2358</v>
      </c>
      <c r="J55" s="3103" t="e">
        <f ca="1">ROUND(IF(J47="钢混",J57/J50,1-(1-2%)*(J50-J57)/J50),3)</f>
        <v>#VALUE!</v>
      </c>
      <c r="K55" s="3168" t="s">
        <v>2359</v>
      </c>
      <c r="L55" s="2388"/>
      <c r="O55" s="2406" t="s">
        <v>2414</v>
      </c>
      <c r="P55" s="1593"/>
      <c r="Q55" s="1605"/>
      <c r="R55" s="1593"/>
    </row>
    <row r="56" spans="1:18" s="2061" customFormat="1" ht="42.75" customHeight="1" thickBot="1">
      <c r="A56" s="1651"/>
      <c r="B56" s="2233" t="s">
        <v>2303</v>
      </c>
      <c r="C56" s="53">
        <f ca="1">C29</f>
        <v>42359</v>
      </c>
      <c r="D56" s="3180"/>
      <c r="E56" s="784"/>
      <c r="F56" s="809"/>
      <c r="I56" s="3169" t="s">
        <v>2360</v>
      </c>
      <c r="J56" s="3179" t="s">
        <v>1679</v>
      </c>
      <c r="K56" s="3128" t="s">
        <v>2365</v>
      </c>
      <c r="L56" s="1910" t="str">
        <f ca="1">IF(L48&lt;J51,"——",L48-J51)</f>
        <v>——</v>
      </c>
      <c r="O56" s="2397" t="s">
        <v>2378</v>
      </c>
      <c r="P56" s="2398" t="s">
        <v>2379</v>
      </c>
      <c r="Q56" s="2399" t="s">
        <v>2380</v>
      </c>
      <c r="R56" s="2398" t="s">
        <v>2381</v>
      </c>
    </row>
    <row r="57" spans="1:18" s="2061" customFormat="1" ht="28.5" customHeight="1" thickBot="1">
      <c r="A57" s="797" t="s">
        <v>1749</v>
      </c>
      <c r="B57" s="798" t="s">
        <v>651</v>
      </c>
      <c r="C57" s="799">
        <f ca="1">ROUND(C58+C63+C64+C65,0)</f>
        <v>721</v>
      </c>
      <c r="D57" s="26" t="s">
        <v>1751</v>
      </c>
      <c r="E57" s="3185"/>
      <c r="F57" s="56"/>
      <c r="I57" s="3170" t="s">
        <v>2361</v>
      </c>
      <c r="J57" s="3171" t="str">
        <f ca="1">IF(OR(M47="住宅",J51&lt;L48,J56="是"),"——",J51-L48)</f>
        <v>——</v>
      </c>
      <c r="K57" s="3128" t="s">
        <v>2366</v>
      </c>
      <c r="L57" s="1910" t="str">
        <f ca="1">IF(L48&lt;J51,"——",IF(L55="比较法",L49,IF(L55="基准地价",L50,L51)))</f>
        <v>——</v>
      </c>
      <c r="O57" s="2400" t="s">
        <v>2382</v>
      </c>
      <c r="P57" s="2401" t="s">
        <v>2408</v>
      </c>
      <c r="Q57" s="2402">
        <f ca="1">C40+J29</f>
        <v>177883</v>
      </c>
      <c r="R57" s="2401" t="s">
        <v>2383</v>
      </c>
    </row>
    <row r="58" spans="1:18" s="2061" customFormat="1" ht="28.5" customHeight="1" thickBot="1">
      <c r="A58" s="1650" t="s">
        <v>1825</v>
      </c>
      <c r="B58" s="784" t="s">
        <v>656</v>
      </c>
      <c r="C58" s="53">
        <f ca="1">ROUND(IF(项目基本情况!B11="自然人",C47*F58,C59+C60+C61),1)</f>
        <v>1.1000000000000001</v>
      </c>
      <c r="D58" s="3181" t="s">
        <v>657</v>
      </c>
      <c r="E58" s="3180" t="s">
        <v>690</v>
      </c>
      <c r="F58" s="810" t="str">
        <f ca="1">IF(项目基本情况!B11="企业","",IF(INDIRECT("'数据-取费表'!c"&amp;$G$1)="住宅",5%,IF(F48*F49*F50/12/(1+'数据-取费表'!C42)&gt;20000,12%,7%)))</f>
        <v/>
      </c>
      <c r="I58" s="3170" t="s">
        <v>2362</v>
      </c>
      <c r="J58" s="3104" t="e">
        <f ca="1">IF(J55&lt;0.4,0.4,J55)</f>
        <v>#VALUE!</v>
      </c>
      <c r="K58" s="3128" t="s">
        <v>2367</v>
      </c>
      <c r="L58" s="1910" t="e">
        <f ca="1">ROUND(POWER(1+L52,L47-L48)*(POWER(1+L52,L48)-1)/(POWER(1+L52,L47)-1),4)</f>
        <v>#DIV/0!</v>
      </c>
      <c r="O58" s="2400" t="s">
        <v>2384</v>
      </c>
      <c r="P58" s="2401" t="s">
        <v>2415</v>
      </c>
      <c r="Q58" s="2402">
        <f ca="1">L60</f>
        <v>0</v>
      </c>
      <c r="R58" s="2405" t="s">
        <v>2417</v>
      </c>
    </row>
    <row r="59" spans="1:18" s="2061" customFormat="1" ht="28.5" customHeight="1" thickBot="1">
      <c r="A59" s="1649" t="s">
        <v>1832</v>
      </c>
      <c r="B59" s="784" t="s">
        <v>660</v>
      </c>
      <c r="C59" s="53">
        <f ca="1">ROUND(C47*F59/1.05,1)</f>
        <v>0</v>
      </c>
      <c r="D59" s="3180" t="s">
        <v>1757</v>
      </c>
      <c r="E59" s="784" t="s">
        <v>1748</v>
      </c>
      <c r="F59" s="809">
        <f t="shared" ref="F59:F65" si="0">F32</f>
        <v>5.5000000000000007E-2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f ca="1">IF(D60="按租金收入计税",ROUND(C47*F60,1),IF(D60="按房产原值计税",ROUND(C56*F60*0.7,1),INDIRECT("'数据-取费表'!Aj"&amp;$G$1)))</f>
        <v>0</v>
      </c>
      <c r="D60" s="3180"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3" t="s">
        <v>2387</v>
      </c>
      <c r="P60" s="2401" t="s">
        <v>2396</v>
      </c>
      <c r="Q60" s="2404">
        <f>L52</f>
        <v>0</v>
      </c>
      <c r="R60" s="2405"/>
    </row>
    <row r="61" spans="1:18" s="2061" customFormat="1" ht="18" customHeight="1" thickBot="1">
      <c r="A61" s="1652" t="s">
        <v>1834</v>
      </c>
      <c r="B61" s="341" t="s">
        <v>668</v>
      </c>
      <c r="C61" s="54">
        <f ca="1">ROUND(F61*F62/10000,1)</f>
        <v>1.1000000000000001</v>
      </c>
      <c r="D61" s="814" t="s">
        <v>669</v>
      </c>
      <c r="E61" s="784" t="s">
        <v>670</v>
      </c>
      <c r="F61" s="640">
        <f t="shared" si="0"/>
        <v>1.5</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7244.34</v>
      </c>
      <c r="I62" s="3175" t="s">
        <v>2370</v>
      </c>
      <c r="J62" s="3176" t="s">
        <v>2371</v>
      </c>
      <c r="K62" s="3176" t="s">
        <v>2372</v>
      </c>
      <c r="L62" s="3176" t="s">
        <v>2353</v>
      </c>
      <c r="M62" s="3177" t="s">
        <v>2948</v>
      </c>
      <c r="O62" s="2403" t="s">
        <v>2391</v>
      </c>
      <c r="P62" s="2401" t="str">
        <f>K59</f>
        <v>建设期及建筑物耐用年限下的土地年期修正系数Kn</v>
      </c>
      <c r="Q62" s="2402" t="e">
        <f ca="1">L59</f>
        <v>#DIV/0!</v>
      </c>
      <c r="R62" s="2405" t="s">
        <v>2400</v>
      </c>
    </row>
    <row r="63" spans="1:18" s="2061" customFormat="1" ht="15.75" thickBot="1">
      <c r="A63" s="1650" t="s">
        <v>1890</v>
      </c>
      <c r="B63" s="784" t="s">
        <v>676</v>
      </c>
      <c r="C63" s="53">
        <f ca="1">ROUND(C56*F63,1)</f>
        <v>635.4</v>
      </c>
      <c r="D63" s="3180" t="s">
        <v>1804</v>
      </c>
      <c r="E63" s="784" t="s">
        <v>1748</v>
      </c>
      <c r="F63" s="817">
        <f t="shared" ca="1" si="0"/>
        <v>1.4999999999999999E-2</v>
      </c>
      <c r="I63" s="3175" t="s">
        <v>2373</v>
      </c>
      <c r="J63" s="3176">
        <v>70</v>
      </c>
      <c r="K63" s="3176">
        <v>50</v>
      </c>
      <c r="L63" s="3176">
        <v>80</v>
      </c>
      <c r="M63" s="3178">
        <v>0.02</v>
      </c>
      <c r="O63" s="2400" t="s">
        <v>2394</v>
      </c>
      <c r="P63" s="2401" t="s">
        <v>2411</v>
      </c>
      <c r="Q63" s="2402">
        <f ca="1">Q57+Q58</f>
        <v>177883</v>
      </c>
      <c r="R63" s="2405" t="s">
        <v>2395</v>
      </c>
    </row>
    <row r="64" spans="1:18" s="2061" customFormat="1" ht="16.5" thickBot="1">
      <c r="A64" s="1650" t="s">
        <v>1891</v>
      </c>
      <c r="B64" s="784" t="s">
        <v>679</v>
      </c>
      <c r="C64" s="53">
        <f ca="1">ROUND(C55*F64,1)</f>
        <v>84.7</v>
      </c>
      <c r="D64" s="3180" t="s">
        <v>680</v>
      </c>
      <c r="E64" s="784" t="s">
        <v>1748</v>
      </c>
      <c r="F64" s="818">
        <f t="shared" ca="1" si="0"/>
        <v>2E-3</v>
      </c>
      <c r="I64" s="3175" t="s">
        <v>2374</v>
      </c>
      <c r="J64" s="3176">
        <v>50</v>
      </c>
      <c r="K64" s="3176">
        <v>35</v>
      </c>
      <c r="L64" s="3176">
        <v>60</v>
      </c>
      <c r="M64" s="846">
        <v>0</v>
      </c>
      <c r="O64" s="2406" t="s">
        <v>2418</v>
      </c>
      <c r="P64" s="1593"/>
      <c r="Q64" s="1605"/>
      <c r="R64" s="1593"/>
    </row>
    <row r="65" spans="1:18" s="2061" customFormat="1" ht="15.75" thickBot="1">
      <c r="A65" s="1650" t="s">
        <v>1892</v>
      </c>
      <c r="B65" s="784" t="s">
        <v>666</v>
      </c>
      <c r="C65" s="53">
        <f ca="1">ROUND(C47*F65,1)</f>
        <v>0</v>
      </c>
      <c r="D65" s="3180" t="s">
        <v>683</v>
      </c>
      <c r="E65" s="784" t="s">
        <v>1748</v>
      </c>
      <c r="F65" s="794">
        <f t="shared" ca="1" si="0"/>
        <v>0.02</v>
      </c>
      <c r="I65" s="3175" t="s">
        <v>2375</v>
      </c>
      <c r="J65" s="3176">
        <v>40</v>
      </c>
      <c r="K65" s="3176">
        <v>30</v>
      </c>
      <c r="L65" s="3176">
        <v>50</v>
      </c>
      <c r="M65" s="3178">
        <v>0.02</v>
      </c>
      <c r="O65" s="2397" t="s">
        <v>2378</v>
      </c>
      <c r="P65" s="2398" t="s">
        <v>2379</v>
      </c>
      <c r="Q65" s="2399" t="s">
        <v>2380</v>
      </c>
      <c r="R65" s="2398" t="s">
        <v>2381</v>
      </c>
    </row>
    <row r="66" spans="1:18" s="2061" customFormat="1" ht="24.75" thickBot="1">
      <c r="A66" s="797" t="s">
        <v>1777</v>
      </c>
      <c r="B66" s="3012" t="s">
        <v>2825</v>
      </c>
      <c r="C66" s="799">
        <f ca="1">C47-C57</f>
        <v>-721</v>
      </c>
      <c r="D66" s="3181" t="s">
        <v>700</v>
      </c>
      <c r="E66" s="3184"/>
      <c r="F66" s="820"/>
      <c r="K66" s="2088"/>
      <c r="O66" s="2400" t="s">
        <v>2382</v>
      </c>
      <c r="P66" s="2401" t="s">
        <v>2408</v>
      </c>
      <c r="Q66" s="2402">
        <f ca="1">C40+J29</f>
        <v>177883</v>
      </c>
      <c r="R66" s="2401" t="s">
        <v>2383</v>
      </c>
    </row>
    <row r="67" spans="1:18" s="2061" customFormat="1" ht="20.25" thickBot="1">
      <c r="A67" s="781" t="s">
        <v>1781</v>
      </c>
      <c r="B67" s="2234" t="s">
        <v>2304</v>
      </c>
      <c r="C67" s="783">
        <f ca="1">ROUND(C66*(1-((1+F69)/(1+F67))^F68)/(F67-F69),0)</f>
        <v>-10162</v>
      </c>
      <c r="D67" s="814" t="s">
        <v>704</v>
      </c>
      <c r="E67" s="784" t="s">
        <v>705</v>
      </c>
      <c r="F67" s="794">
        <f ca="1">F40</f>
        <v>0.06</v>
      </c>
      <c r="K67" s="2088"/>
      <c r="O67" s="2400" t="s">
        <v>2384</v>
      </c>
      <c r="P67" s="2401" t="s">
        <v>2415</v>
      </c>
      <c r="Q67" s="2402">
        <f ca="1">L60</f>
        <v>0</v>
      </c>
      <c r="R67" s="2405" t="s">
        <v>2417</v>
      </c>
    </row>
    <row r="68" spans="1:18" ht="21.75" thickBot="1">
      <c r="A68" s="786"/>
      <c r="B68" s="787"/>
      <c r="C68" s="788"/>
      <c r="D68" s="821" t="s">
        <v>1809</v>
      </c>
      <c r="E68" s="784" t="s">
        <v>1785</v>
      </c>
      <c r="F68" s="822">
        <f ca="1">F41</f>
        <v>32.07</v>
      </c>
      <c r="O68" s="2403" t="s">
        <v>2386</v>
      </c>
      <c r="P68" s="2401" t="s">
        <v>2416</v>
      </c>
      <c r="Q68" s="2407">
        <f ca="1">L51</f>
        <v>89086</v>
      </c>
      <c r="R68" s="2408" t="s">
        <v>2419</v>
      </c>
    </row>
    <row r="69" spans="1:18" ht="20.25" thickBot="1">
      <c r="A69" s="790"/>
      <c r="B69" s="791"/>
      <c r="C69" s="792"/>
      <c r="D69" s="816"/>
      <c r="E69" s="784" t="s">
        <v>710</v>
      </c>
      <c r="F69" s="2373"/>
      <c r="O69" s="2403" t="s">
        <v>2387</v>
      </c>
      <c r="P69" s="2409" t="s">
        <v>2401</v>
      </c>
      <c r="Q69" s="2402">
        <f ca="1">ROUND(Q70-Q71*Q72,0)</f>
        <v>5842</v>
      </c>
      <c r="R69" s="2405"/>
    </row>
    <row r="70" spans="1:18" ht="15.75" thickBot="1">
      <c r="A70" s="823" t="s">
        <v>1788</v>
      </c>
      <c r="B70" s="824" t="s">
        <v>1811</v>
      </c>
      <c r="C70" s="825">
        <f ca="1">ROUND(C67*10000/F70,0)</f>
        <v>-1540</v>
      </c>
      <c r="D70" s="826" t="s">
        <v>1812</v>
      </c>
      <c r="E70" s="827" t="s">
        <v>1813</v>
      </c>
      <c r="F70" s="828">
        <f ca="1">F43</f>
        <v>65968.61</v>
      </c>
      <c r="O70" s="2403" t="s">
        <v>2402</v>
      </c>
      <c r="P70" s="2409" t="s">
        <v>2403</v>
      </c>
      <c r="Q70" s="2402">
        <f ca="1">C39</f>
        <v>9443</v>
      </c>
      <c r="R70" s="2401" t="s">
        <v>2383</v>
      </c>
    </row>
    <row r="71" spans="1:18" ht="15.75" thickBot="1">
      <c r="O71" s="2403" t="s">
        <v>2404</v>
      </c>
      <c r="P71" s="2409" t="s">
        <v>2405</v>
      </c>
      <c r="Q71" s="2402">
        <f ca="1">C13</f>
        <v>42359</v>
      </c>
      <c r="R71" s="2401" t="s">
        <v>2383</v>
      </c>
    </row>
    <row r="72" spans="1:18" ht="15.75" thickBot="1">
      <c r="O72" s="2403" t="s">
        <v>2406</v>
      </c>
      <c r="P72" s="2409" t="s">
        <v>2407</v>
      </c>
      <c r="Q72" s="2404">
        <f ca="1">J36</f>
        <v>8.5000000000000006E-2</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建设期及建筑物耐用年限下的土地年期修正系数Kn</v>
      </c>
      <c r="Q75" s="2402" t="e">
        <f ca="1">L59</f>
        <v>#DIV/0!</v>
      </c>
      <c r="R75" s="2405" t="s">
        <v>2400</v>
      </c>
    </row>
    <row r="76" spans="1:18" ht="15.75" thickBot="1">
      <c r="O76" s="2400" t="s">
        <v>2394</v>
      </c>
      <c r="P76" s="2401" t="s">
        <v>2411</v>
      </c>
      <c r="Q76" s="2402">
        <f ca="1">Q66+Q67</f>
        <v>177883</v>
      </c>
      <c r="R76" s="2405"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6" zoomScale="80" zoomScaleNormal="80" workbookViewId="0">
      <selection activeCell="G14" sqref="G1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35</v>
      </c>
      <c r="D1" s="3127" t="s">
        <v>3088</v>
      </c>
      <c r="E1" s="2389" t="s">
        <v>2377</v>
      </c>
      <c r="F1" s="2390">
        <f ca="1">J53</f>
        <v>42.07</v>
      </c>
      <c r="G1" s="774">
        <f>MATCH(C1,'数据-取费表'!A6:A16,0)+5</f>
        <v>8</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6537</v>
      </c>
      <c r="C2" s="2059"/>
      <c r="D2" s="2057"/>
      <c r="E2" s="2058"/>
      <c r="F2" s="2058"/>
      <c r="G2" s="1591"/>
      <c r="H2" s="2059"/>
      <c r="I2" s="2059"/>
      <c r="J2" s="2059"/>
      <c r="K2" s="2060"/>
      <c r="L2" s="2059"/>
      <c r="M2" s="2059"/>
    </row>
    <row r="3" spans="1:33" ht="18" customHeight="1" thickBot="1">
      <c r="A3" s="833" t="s">
        <v>519</v>
      </c>
      <c r="B3" s="834">
        <f ca="1">IF(ISERROR(B2*10000/F43),0,ROUND(B2*10000/F43,0))</f>
        <v>2444</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1730</v>
      </c>
      <c r="J4" s="778" t="s">
        <v>1735</v>
      </c>
      <c r="K4" s="778" t="s">
        <v>1736</v>
      </c>
      <c r="L4" s="779" t="s">
        <v>1732</v>
      </c>
      <c r="M4" s="780"/>
    </row>
    <row r="5" spans="1:33" ht="18" customHeight="1">
      <c r="A5" s="781">
        <v>1</v>
      </c>
      <c r="B5" s="782" t="s">
        <v>2461</v>
      </c>
      <c r="C5" s="55">
        <f ca="1">C6+C10+C12</f>
        <v>697</v>
      </c>
      <c r="D5" s="2498" t="s">
        <v>2464</v>
      </c>
      <c r="E5" s="2492"/>
      <c r="F5" s="2493"/>
      <c r="G5" s="1593"/>
      <c r="H5" s="781">
        <v>1</v>
      </c>
      <c r="I5" s="782" t="s">
        <v>2461</v>
      </c>
      <c r="J5" s="55">
        <f ca="1">J6+J10+J12</f>
        <v>0</v>
      </c>
      <c r="K5" s="2498" t="s">
        <v>2464</v>
      </c>
      <c r="L5" s="2492"/>
      <c r="M5" s="2493"/>
    </row>
    <row r="6" spans="1:33" ht="18" customHeight="1">
      <c r="A6" s="1832" t="s">
        <v>1825</v>
      </c>
      <c r="B6" s="3442" t="s">
        <v>2466</v>
      </c>
      <c r="C6" s="783">
        <f ca="1">ROUND(F6*F8*F7*(1-F9)/10000,0)</f>
        <v>697</v>
      </c>
      <c r="D6" s="2499" t="s">
        <v>2465</v>
      </c>
      <c r="E6" s="784" t="s">
        <v>1739</v>
      </c>
      <c r="F6" s="785">
        <f ca="1">INDIRECT("'数据-取费表'!u"&amp;$G$1)</f>
        <v>800</v>
      </c>
      <c r="G6" s="1593"/>
      <c r="H6" s="2506" t="s">
        <v>1825</v>
      </c>
      <c r="I6" s="3442" t="s">
        <v>2466</v>
      </c>
      <c r="J6" s="783">
        <f ca="1">ROUND(M6*M8*M7*(1-M9)/10000,0)</f>
        <v>0</v>
      </c>
      <c r="K6" s="341" t="s">
        <v>1738</v>
      </c>
      <c r="L6" s="784" t="s">
        <v>1739</v>
      </c>
      <c r="M6" s="785">
        <f ca="1">INDIRECT("'数据-取费表'!z"&amp;$G$1)</f>
        <v>0</v>
      </c>
    </row>
    <row r="7" spans="1:33" ht="18" customHeight="1">
      <c r="A7" s="2502"/>
      <c r="B7" s="3443"/>
      <c r="C7" s="788"/>
      <c r="D7" s="789"/>
      <c r="E7" s="784" t="s">
        <v>1740</v>
      </c>
      <c r="F7" s="785">
        <f ca="1">IF(INDIRECT("'数据-取费表'!ah"&amp;$G$1)="",INDIRECT("'数据-取费表'!k"&amp;$G$1),INDIRECT("'数据-取费表'!ah"&amp;$G$1))</f>
        <v>764</v>
      </c>
      <c r="G7" s="1593"/>
      <c r="H7" s="2491"/>
      <c r="I7" s="3443"/>
      <c r="J7" s="788"/>
      <c r="K7" s="789"/>
      <c r="L7" s="784" t="s">
        <v>1740</v>
      </c>
      <c r="M7" s="785">
        <f ca="1">F7</f>
        <v>764</v>
      </c>
    </row>
    <row r="8" spans="1:33" ht="18" customHeight="1">
      <c r="A8" s="2495"/>
      <c r="B8" s="3444"/>
      <c r="C8" s="788"/>
      <c r="D8" s="789"/>
      <c r="E8" s="784" t="s">
        <v>1741</v>
      </c>
      <c r="F8" s="785">
        <f ca="1">INDIRECT("'数据-取费表'!ai"&amp;$G$1)</f>
        <v>12</v>
      </c>
      <c r="G8" s="1593"/>
      <c r="H8" s="2491"/>
      <c r="I8" s="3444"/>
      <c r="J8" s="788"/>
      <c r="K8" s="789"/>
      <c r="L8" s="784" t="s">
        <v>1741</v>
      </c>
      <c r="M8" s="785">
        <f ca="1">INDIRECT("'数据-取费表'!ai"&amp;$G$1)</f>
        <v>12</v>
      </c>
    </row>
    <row r="9" spans="1:33" ht="18" customHeight="1">
      <c r="A9" s="786"/>
      <c r="B9" s="3445"/>
      <c r="C9" s="788"/>
      <c r="D9" s="789"/>
      <c r="E9" s="784" t="s">
        <v>1742</v>
      </c>
      <c r="F9" s="794">
        <f ca="1">INDIRECT("'数据-取费表'!w"&amp;$G$1)</f>
        <v>0.05</v>
      </c>
      <c r="G9" s="1593"/>
      <c r="H9" s="2507"/>
      <c r="I9" s="3444"/>
      <c r="J9" s="788"/>
      <c r="K9" s="789"/>
      <c r="L9" s="795" t="s">
        <v>1742</v>
      </c>
      <c r="M9" s="796">
        <f ca="1">INDIRECT("'数据-取费表'!ab"&amp;$G$1)</f>
        <v>0</v>
      </c>
    </row>
    <row r="10" spans="1:33" ht="18" customHeight="1">
      <c r="A10" s="1832" t="s">
        <v>1826</v>
      </c>
      <c r="B10" s="2496" t="s">
        <v>2462</v>
      </c>
      <c r="C10" s="799">
        <f ca="1">ROUND(IF(F10="押一",C6/12*F11,IF(F10="押二",C6/12*2*F11,IF(F10="押三",C6/12*3*F11,C11*F11))),0)</f>
        <v>0</v>
      </c>
      <c r="D10" s="2503" t="s">
        <v>2980</v>
      </c>
      <c r="E10" s="2500" t="s">
        <v>2467</v>
      </c>
      <c r="F10" s="2623" t="s">
        <v>3089</v>
      </c>
      <c r="G10" s="1593"/>
      <c r="H10" s="2563" t="s">
        <v>1826</v>
      </c>
      <c r="I10" s="2568" t="s">
        <v>2462</v>
      </c>
      <c r="J10" s="783">
        <f ca="1">ROUND(IF(M10="押一",J6/12*M11,IF(M10="押二",J6/12*2*M11,IF(M10="押三",J6/12*3*M11,J11*M11))),0)</f>
        <v>0</v>
      </c>
      <c r="K10" s="2503" t="s">
        <v>2980</v>
      </c>
      <c r="L10" s="2500" t="s">
        <v>2467</v>
      </c>
      <c r="M10" s="2623"/>
    </row>
    <row r="11" spans="1:33" ht="18" customHeight="1">
      <c r="A11" s="790"/>
      <c r="B11" s="2497" t="s">
        <v>2576</v>
      </c>
      <c r="C11" s="2501"/>
      <c r="D11" s="789"/>
      <c r="E11" s="2500" t="s">
        <v>2459</v>
      </c>
      <c r="F11" s="796">
        <f ca="1">'数据-取费表'!B39</f>
        <v>1.4999999999999999E-2</v>
      </c>
      <c r="G11" s="1593"/>
      <c r="H11" s="2564"/>
      <c r="I11" s="2497" t="s">
        <v>2576</v>
      </c>
      <c r="J11" s="2501"/>
      <c r="K11" s="2565"/>
      <c r="L11" s="2500" t="s">
        <v>2459</v>
      </c>
      <c r="M11" s="2494">
        <f ca="1">'数据-取费表'!B39</f>
        <v>1.4999999999999999E-2</v>
      </c>
    </row>
    <row r="12" spans="1:33" ht="18" customHeight="1" thickBot="1">
      <c r="A12" s="2539" t="s">
        <v>2470</v>
      </c>
      <c r="B12" s="2540" t="s">
        <v>2463</v>
      </c>
      <c r="C12" s="2541"/>
      <c r="D12" s="2542"/>
      <c r="E12" s="2543"/>
      <c r="F12" s="2544"/>
      <c r="G12" s="1593"/>
      <c r="H12" s="2553" t="s">
        <v>2470</v>
      </c>
      <c r="I12" s="2566" t="s">
        <v>2463</v>
      </c>
      <c r="J12" s="2567"/>
      <c r="K12" s="2542"/>
      <c r="L12" s="2543"/>
      <c r="M12" s="2556"/>
    </row>
    <row r="13" spans="1:33" ht="18" customHeight="1" thickTop="1">
      <c r="A13" s="1831">
        <v>2</v>
      </c>
      <c r="B13" s="1829" t="s">
        <v>1743</v>
      </c>
      <c r="C13" s="792">
        <f ca="1">ROUND(C29*F13,0)</f>
        <v>11602</v>
      </c>
      <c r="D13" s="1836" t="s">
        <v>2300</v>
      </c>
      <c r="E13" s="1836" t="s">
        <v>1745</v>
      </c>
      <c r="F13" s="2538">
        <f ca="1">INDIRECT("'数据-取费表'!y"&amp;$G$1)</f>
        <v>1</v>
      </c>
      <c r="G13" s="1593"/>
      <c r="H13" s="1831">
        <v>2</v>
      </c>
      <c r="I13" s="1829" t="s">
        <v>1743</v>
      </c>
      <c r="J13" s="1821">
        <f ca="1">ROUND(J14*J15,0)</f>
        <v>0</v>
      </c>
      <c r="K13" s="1823" t="s">
        <v>1744</v>
      </c>
      <c r="L13" s="2554"/>
      <c r="M13" s="2555"/>
    </row>
    <row r="14" spans="1:33" ht="18" customHeight="1">
      <c r="A14" s="1649" t="s">
        <v>1876</v>
      </c>
      <c r="B14" s="784" t="s">
        <v>645</v>
      </c>
      <c r="C14" s="804">
        <f ca="1">INDIRECT("'数据-取费表'!m"&amp;$G$1)+INDIRECT("'数据-取费表'!t"&amp;$G$1)</f>
        <v>8242</v>
      </c>
      <c r="D14" s="3181" t="s">
        <v>1746</v>
      </c>
      <c r="E14" s="3182"/>
      <c r="F14" s="805"/>
      <c r="G14" s="1593"/>
      <c r="H14" s="1650" t="s">
        <v>1825</v>
      </c>
      <c r="I14" s="2233" t="s">
        <v>2828</v>
      </c>
      <c r="J14" s="53">
        <f ca="1">C29</f>
        <v>11602</v>
      </c>
      <c r="K14" s="26"/>
      <c r="L14" s="801"/>
      <c r="M14" s="802"/>
    </row>
    <row r="15" spans="1:33" s="2066" customFormat="1" ht="18" customHeight="1" thickBot="1">
      <c r="A15" s="1649" t="s">
        <v>1886</v>
      </c>
      <c r="B15" s="784" t="s">
        <v>647</v>
      </c>
      <c r="C15" s="53">
        <f ca="1">ROUND(C14*F15,0)</f>
        <v>247</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1881</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1149</v>
      </c>
      <c r="K16" s="1823" t="s">
        <v>1751</v>
      </c>
      <c r="L16" s="3183"/>
      <c r="M16" s="2493"/>
    </row>
    <row r="17" spans="1:33" s="2066" customFormat="1" ht="18" customHeight="1">
      <c r="A17" s="1649" t="s">
        <v>1888</v>
      </c>
      <c r="B17" s="784" t="s">
        <v>653</v>
      </c>
      <c r="C17" s="53">
        <f ca="1">ROUND(F17*(F43+INDIRECT("'数据-取费表'!S"&amp;$G$1))/10000,0)</f>
        <v>552</v>
      </c>
      <c r="D17" s="784" t="s">
        <v>1752</v>
      </c>
      <c r="E17" s="784" t="s">
        <v>1753</v>
      </c>
      <c r="F17" s="56">
        <f>'数据-取费表'!B35</f>
        <v>200</v>
      </c>
      <c r="G17" s="1594"/>
      <c r="H17" s="1650" t="s">
        <v>1825</v>
      </c>
      <c r="I17" s="784" t="s">
        <v>656</v>
      </c>
      <c r="J17" s="53">
        <f ca="1">ROUND(IF(项目基本情况!B11="自然人",J5*M17,J18+J19+J20),0)</f>
        <v>975</v>
      </c>
      <c r="K17" s="3181" t="s">
        <v>1754</v>
      </c>
      <c r="L17" s="3180"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124</v>
      </c>
      <c r="D18" s="784" t="s">
        <v>1747</v>
      </c>
      <c r="E18" s="784" t="s">
        <v>1748</v>
      </c>
      <c r="F18" s="809">
        <f>'数据-取费表'!B36</f>
        <v>1.4999999999999999E-2</v>
      </c>
      <c r="G18" s="1594"/>
      <c r="H18" s="1649" t="s">
        <v>1876</v>
      </c>
      <c r="I18" s="784" t="s">
        <v>1756</v>
      </c>
      <c r="J18" s="53">
        <f ca="1">ROUND(J5*M18/1.05,1)</f>
        <v>0</v>
      </c>
      <c r="K18" s="3180" t="s">
        <v>1757</v>
      </c>
      <c r="L18" s="784" t="s">
        <v>1748</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1825</v>
      </c>
      <c r="B19" s="784" t="s">
        <v>662</v>
      </c>
      <c r="C19" s="53">
        <f ca="1">SUM(C14:C18)</f>
        <v>9165</v>
      </c>
      <c r="D19" s="261" t="s">
        <v>1758</v>
      </c>
      <c r="E19" s="3185"/>
      <c r="F19" s="56"/>
      <c r="G19" s="1593"/>
      <c r="H19" s="1649" t="s">
        <v>1886</v>
      </c>
      <c r="I19" s="784" t="s">
        <v>1759</v>
      </c>
      <c r="J19" s="53">
        <f ca="1">IF(K19="按租金收入计税",ROUND(J5*M19,1),ROUND(C29*F33*0.7,1))</f>
        <v>974.6</v>
      </c>
      <c r="K19" s="811" t="s">
        <v>665</v>
      </c>
      <c r="L19" s="784" t="s">
        <v>1748</v>
      </c>
      <c r="M19" s="809">
        <f>IF(K19="按租金收入计税",'数据-取费表'!B51,'数据-取费表'!B50)</f>
        <v>1.2E-2</v>
      </c>
    </row>
    <row r="20" spans="1:33" s="2066" customFormat="1" ht="18" customHeight="1">
      <c r="A20" s="1650" t="s">
        <v>1890</v>
      </c>
      <c r="B20" s="784" t="s">
        <v>666</v>
      </c>
      <c r="C20" s="53">
        <f ca="1">ROUND(C19*F20,0)</f>
        <v>183</v>
      </c>
      <c r="D20" s="812" t="s">
        <v>1760</v>
      </c>
      <c r="E20" s="784" t="s">
        <v>1748</v>
      </c>
      <c r="F20" s="809">
        <f>'数据-取费表'!B37</f>
        <v>0.02</v>
      </c>
      <c r="G20" s="1594"/>
      <c r="H20" s="1652" t="s">
        <v>1881</v>
      </c>
      <c r="I20" s="341" t="s">
        <v>1761</v>
      </c>
      <c r="J20" s="54">
        <f ca="1">ROUND(M20*M21/10000,0)</f>
        <v>0</v>
      </c>
      <c r="K20" s="814" t="s">
        <v>1762</v>
      </c>
      <c r="L20" s="784" t="s">
        <v>1763</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8"/>
      <c r="I21" s="793"/>
      <c r="J21" s="69"/>
      <c r="K21" s="816"/>
      <c r="L21" s="784" t="s">
        <v>1767</v>
      </c>
      <c r="M21" s="785">
        <f ca="1">INDIRECT("'数据-取费表'!r"&amp;$G$1)</f>
        <v>2937.46</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3185"/>
      <c r="F22" s="56"/>
      <c r="G22" s="1593"/>
      <c r="H22" s="1650" t="s">
        <v>1890</v>
      </c>
      <c r="I22" s="784" t="s">
        <v>1769</v>
      </c>
      <c r="J22" s="53">
        <f ca="1">ROUND(J14*M22,0)</f>
        <v>174</v>
      </c>
      <c r="K22" s="3180" t="s">
        <v>1770</v>
      </c>
      <c r="L22" s="784" t="s">
        <v>1748</v>
      </c>
      <c r="M22" s="817">
        <f ca="1">INDIRECT("'数据-取费表'!Ak"&amp;$G$1)</f>
        <v>1.4999999999999999E-2</v>
      </c>
    </row>
    <row r="23" spans="1:33" s="2066" customFormat="1" ht="18" customHeight="1">
      <c r="A23" s="1649" t="s">
        <v>1832</v>
      </c>
      <c r="B23" s="784" t="s">
        <v>2440</v>
      </c>
      <c r="C23" s="53">
        <f ca="1">ROUND(IF('数据-取费表'!B22&lt;=1,(C19+C20)*F24*F23/2,(C19+C20)*(POWER((1+F24),F23/2)-1)),0)</f>
        <v>444</v>
      </c>
      <c r="D23" s="2573"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3180" t="s">
        <v>1772</v>
      </c>
      <c r="L23" s="784" t="s">
        <v>1748</v>
      </c>
      <c r="M23" s="818">
        <f ca="1">INDIRECT("'数据-取费表'!Al"&amp;$G$1)</f>
        <v>1.5E-3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1.4999999999999999E-2</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3185"/>
      <c r="F25" s="56"/>
      <c r="G25" s="1593"/>
      <c r="H25" s="1831" t="s">
        <v>1777</v>
      </c>
      <c r="I25" s="3011" t="s">
        <v>2825</v>
      </c>
      <c r="J25" s="792">
        <f ca="1">J5-J16</f>
        <v>-1149</v>
      </c>
      <c r="K25" s="2550" t="s">
        <v>1778</v>
      </c>
      <c r="L25" s="2551"/>
      <c r="M25" s="2552"/>
    </row>
    <row r="26" spans="1:33" ht="18" customHeight="1">
      <c r="A26" s="1649" t="s">
        <v>1832</v>
      </c>
      <c r="B26" s="784" t="s">
        <v>2441</v>
      </c>
      <c r="C26" s="53">
        <f ca="1">ROUND((C19+C20)*F26,0)</f>
        <v>935</v>
      </c>
      <c r="D26" s="812" t="s">
        <v>1779</v>
      </c>
      <c r="E26" s="795" t="s">
        <v>1780</v>
      </c>
      <c r="F26" s="794">
        <f ca="1">INDIRECT("'数据-取费表'!q"&amp;$G$1)</f>
        <v>0.1</v>
      </c>
      <c r="G26" s="1593"/>
      <c r="H26" s="2504" t="s">
        <v>1781</v>
      </c>
      <c r="I26" s="2234" t="s">
        <v>2830</v>
      </c>
      <c r="J26" s="783">
        <f ca="1">IF(J5&lt;&gt;0,ROUND(J25*(1-((1+M28)/(1+M26))^M27)/(M26-M28),0),0)</f>
        <v>0</v>
      </c>
      <c r="K26" s="814" t="s">
        <v>1782</v>
      </c>
      <c r="L26" s="784" t="s">
        <v>2422</v>
      </c>
      <c r="M26" s="794">
        <f ca="1">INDIRECT("'数据-取费表'!I"&amp;$G$1)</f>
        <v>0.05</v>
      </c>
    </row>
    <row r="27" spans="1:33" ht="18" customHeight="1">
      <c r="A27" s="1649" t="s">
        <v>1833</v>
      </c>
      <c r="B27" s="784" t="s">
        <v>686</v>
      </c>
      <c r="C27" s="53">
        <f ca="1">ROUND(F21*F26,4)</f>
        <v>2E-3</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5.2400000000000002E-2</v>
      </c>
      <c r="D28" s="812" t="s">
        <v>2302</v>
      </c>
      <c r="E28" s="784" t="s">
        <v>1748</v>
      </c>
      <c r="F28" s="809">
        <f>'数据-取费表'!B41</f>
        <v>5.5000000000000007E-2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f ca="1">ROUND((C19+C20+C23+C26)/(1-F21-C24-C27-C28),0)</f>
        <v>11602</v>
      </c>
      <c r="D29" s="2547"/>
      <c r="E29" s="2548"/>
      <c r="F29" s="2549"/>
      <c r="G29" s="1594"/>
      <c r="H29" s="823" t="s">
        <v>1788</v>
      </c>
      <c r="I29" s="824" t="s">
        <v>1789</v>
      </c>
      <c r="J29" s="825">
        <f ca="1">ROUND(J26/(1+F40)^F41,0)</f>
        <v>0</v>
      </c>
      <c r="K29" s="826" t="s">
        <v>1790</v>
      </c>
      <c r="L29" s="827"/>
      <c r="M29" s="828">
        <f ca="1">INDIRECT("'数据-取费表'!k"&amp;$G$1)</f>
        <v>26749.200000000001</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1749</v>
      </c>
      <c r="B30" s="1829" t="s">
        <v>1750</v>
      </c>
      <c r="C30" s="792">
        <f ca="1">ROUND(C31+C36+C37+C38,0)</f>
        <v>322</v>
      </c>
      <c r="D30" s="1823" t="s">
        <v>1792</v>
      </c>
      <c r="E30" s="3183"/>
      <c r="F30" s="2493"/>
      <c r="G30" s="2064"/>
      <c r="H30" s="2067"/>
      <c r="I30" s="2068"/>
      <c r="J30" s="2069"/>
      <c r="K30" s="2070"/>
      <c r="L30" s="2071"/>
      <c r="M30" s="2072"/>
    </row>
    <row r="31" spans="1:33" ht="18" customHeight="1">
      <c r="A31" s="1650" t="s">
        <v>1825</v>
      </c>
      <c r="B31" s="784" t="s">
        <v>656</v>
      </c>
      <c r="C31" s="53">
        <f ca="1">ROUND(IF(项目基本情况!B11="自然人",C5*F31,C32+C33+C34),1)</f>
        <v>120.5</v>
      </c>
      <c r="D31" s="3181" t="s">
        <v>1754</v>
      </c>
      <c r="E31" s="3180"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1756</v>
      </c>
      <c r="C32" s="53">
        <f ca="1">ROUND(C5*F32/1.05,1)</f>
        <v>36.5</v>
      </c>
      <c r="D32" s="3180" t="s">
        <v>1796</v>
      </c>
      <c r="E32" s="784" t="s">
        <v>1797</v>
      </c>
      <c r="F32" s="809">
        <f>'数据-取费表'!B41</f>
        <v>5.5000000000000007E-2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83.6</v>
      </c>
      <c r="D33" s="811" t="s">
        <v>3006</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0.4</v>
      </c>
      <c r="D34" s="814" t="s">
        <v>1762</v>
      </c>
      <c r="E34" s="784" t="s">
        <v>1801</v>
      </c>
      <c r="F34" s="640">
        <f>'数据-取费表'!B52</f>
        <v>1.5</v>
      </c>
      <c r="G34" s="2064"/>
      <c r="H34" s="2067"/>
      <c r="I34" s="835" t="s">
        <v>1814</v>
      </c>
      <c r="J34" s="836"/>
      <c r="K34" s="2082"/>
      <c r="L34" s="2081"/>
      <c r="M34" s="2081"/>
    </row>
    <row r="35" spans="1:18" ht="18" customHeight="1">
      <c r="A35" s="815"/>
      <c r="B35" s="793"/>
      <c r="C35" s="69"/>
      <c r="D35" s="816"/>
      <c r="E35" s="784" t="s">
        <v>1802</v>
      </c>
      <c r="F35" s="785">
        <f ca="1">INDIRECT("'数据-取费表'!r"&amp;$G$1)</f>
        <v>2937.46</v>
      </c>
      <c r="G35" s="2064"/>
      <c r="H35" s="2067"/>
      <c r="I35" s="837" t="s">
        <v>1815</v>
      </c>
      <c r="J35" s="838">
        <f ca="1">ROUND(C13*J36,0)</f>
        <v>986</v>
      </c>
      <c r="K35" s="2080"/>
      <c r="L35" s="2079"/>
      <c r="M35" s="2079"/>
    </row>
    <row r="36" spans="1:18" ht="18" customHeight="1">
      <c r="A36" s="1650" t="s">
        <v>1890</v>
      </c>
      <c r="B36" s="784" t="s">
        <v>1803</v>
      </c>
      <c r="C36" s="53">
        <f ca="1">ROUND(C29*F36,1)</f>
        <v>174</v>
      </c>
      <c r="D36" s="3180"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17.399999999999999</v>
      </c>
      <c r="D37" s="3180" t="s">
        <v>1772</v>
      </c>
      <c r="E37" s="784" t="s">
        <v>1797</v>
      </c>
      <c r="F37" s="818">
        <f ca="1">INDIRECT("'数据-取费表'!Al"&amp;$G$1)</f>
        <v>1.5E-3</v>
      </c>
      <c r="G37" s="2064"/>
      <c r="H37" s="2079"/>
      <c r="I37" s="841" t="s">
        <v>1817</v>
      </c>
      <c r="J37" s="842"/>
      <c r="K37" s="2084"/>
      <c r="L37" s="2079"/>
      <c r="M37" s="2079"/>
    </row>
    <row r="38" spans="1:18" ht="18" customHeight="1" thickBot="1">
      <c r="A38" s="2553" t="s">
        <v>1892</v>
      </c>
      <c r="B38" s="2548" t="s">
        <v>666</v>
      </c>
      <c r="C38" s="2546">
        <f ca="1">ROUND(C5*F38,1)</f>
        <v>10.5</v>
      </c>
      <c r="D38" s="2547" t="s">
        <v>1775</v>
      </c>
      <c r="E38" s="2548" t="s">
        <v>1797</v>
      </c>
      <c r="F38" s="2544">
        <f ca="1">INDIRECT("'数据-取费表'!Am"&amp;$G$1)</f>
        <v>1.4999999999999999E-2</v>
      </c>
      <c r="G38" s="2064"/>
      <c r="H38" s="2079"/>
      <c r="I38" s="843" t="s">
        <v>1818</v>
      </c>
      <c r="J38" s="844"/>
      <c r="K38" s="2085"/>
      <c r="L38" s="2079"/>
      <c r="M38" s="2079"/>
    </row>
    <row r="39" spans="1:18" ht="24.6" customHeight="1" thickTop="1">
      <c r="A39" s="1831" t="s">
        <v>1895</v>
      </c>
      <c r="B39" s="3011" t="s">
        <v>2825</v>
      </c>
      <c r="C39" s="792">
        <f ca="1">C5-C30</f>
        <v>375</v>
      </c>
      <c r="D39" s="2550" t="s">
        <v>1807</v>
      </c>
      <c r="E39" s="2551"/>
      <c r="F39" s="2552"/>
      <c r="G39" s="2064"/>
      <c r="H39" s="2079"/>
      <c r="I39" s="837" t="s">
        <v>1819</v>
      </c>
      <c r="J39" s="845">
        <f ca="1">ROUND(J35/C39,3)</f>
        <v>2.629</v>
      </c>
      <c r="K39" s="2085"/>
      <c r="L39" s="2079"/>
      <c r="M39" s="2079"/>
    </row>
    <row r="40" spans="1:18" ht="18" customHeight="1">
      <c r="A40" s="781" t="s">
        <v>1896</v>
      </c>
      <c r="B40" s="2234" t="s">
        <v>2304</v>
      </c>
      <c r="C40" s="783">
        <f ca="1">ROUND(C39*(1-((1+F42)/(1+F40))^F41)/(F40-F42),0)</f>
        <v>6537</v>
      </c>
      <c r="D40" s="814" t="s">
        <v>1782</v>
      </c>
      <c r="E40" s="784" t="s">
        <v>2422</v>
      </c>
      <c r="F40" s="794">
        <f ca="1">INDIRECT("'数据-取费表'!I"&amp;$G$1)</f>
        <v>0.05</v>
      </c>
      <c r="G40" s="2064"/>
      <c r="H40" s="2064"/>
      <c r="I40" s="837" t="s">
        <v>1820</v>
      </c>
      <c r="J40" s="845">
        <f ca="1">1-J39</f>
        <v>-1.629</v>
      </c>
      <c r="K40" s="2085"/>
      <c r="L40" s="2064"/>
      <c r="M40" s="2064"/>
    </row>
    <row r="41" spans="1:18" ht="18" customHeight="1">
      <c r="A41" s="786"/>
      <c r="B41" s="787"/>
      <c r="C41" s="788"/>
      <c r="D41" s="821" t="s">
        <v>1809</v>
      </c>
      <c r="E41" s="784" t="s">
        <v>1785</v>
      </c>
      <c r="F41" s="822">
        <f ca="1">IF(INDIRECT("'数据-取费表'!af"&amp;$G$1)=0,INDIRECT("'数据-取费表'!ae"&amp;$G$1),INDIRECT("'数据-取费表'!af"&amp;$G$1))</f>
        <v>42.07</v>
      </c>
      <c r="G41" s="2064"/>
      <c r="H41" s="1990"/>
      <c r="I41" s="843" t="s">
        <v>1821</v>
      </c>
      <c r="J41" s="846"/>
      <c r="K41" s="2084"/>
      <c r="L41" s="1990"/>
      <c r="M41" s="1990"/>
    </row>
    <row r="42" spans="1:18" ht="18" customHeight="1">
      <c r="A42" s="790"/>
      <c r="B42" s="791"/>
      <c r="C42" s="792"/>
      <c r="D42" s="816"/>
      <c r="E42" s="784" t="s">
        <v>1810</v>
      </c>
      <c r="F42" s="794">
        <f ca="1">INDIRECT("'数据-取费表'!v"&amp;$G$1)</f>
        <v>0</v>
      </c>
      <c r="G42" s="2064"/>
      <c r="H42" s="1990"/>
      <c r="I42" s="847" t="s">
        <v>1822</v>
      </c>
      <c r="J42" s="845">
        <f ca="1">ROUND(C13/C40,3)</f>
        <v>1.7749999999999999</v>
      </c>
      <c r="K42" s="2084"/>
      <c r="L42" s="1990"/>
      <c r="M42" s="1990"/>
    </row>
    <row r="43" spans="1:18" ht="18" customHeight="1" thickBot="1">
      <c r="A43" s="823" t="s">
        <v>1788</v>
      </c>
      <c r="B43" s="824" t="s">
        <v>1811</v>
      </c>
      <c r="C43" s="825">
        <f ca="1">ROUND(C40*10000/F43,0)</f>
        <v>2444</v>
      </c>
      <c r="D43" s="826" t="s">
        <v>1812</v>
      </c>
      <c r="E43" s="827" t="s">
        <v>1813</v>
      </c>
      <c r="F43" s="828">
        <f ca="1">INDIRECT("'数据-取费表'!k"&amp;$G$1)</f>
        <v>26749.200000000001</v>
      </c>
      <c r="G43" s="2064"/>
      <c r="H43" s="1990"/>
      <c r="I43" s="847" t="s">
        <v>1823</v>
      </c>
      <c r="J43" s="848">
        <f ca="1">1-J42</f>
        <v>-0.77499999999999991</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f ca="1">C67-C40</f>
        <v>-9884</v>
      </c>
      <c r="D46" s="2087"/>
      <c r="E46" s="2087"/>
      <c r="F46" s="2087"/>
      <c r="I46" s="2380" t="s">
        <v>2346</v>
      </c>
      <c r="J46" s="2381"/>
      <c r="K46" s="2382"/>
      <c r="L46" s="3162">
        <f>IF(OR(M47="住宅",D1="土地（套用方法）"),0,IF(L48&gt;J51,L60,J60))</f>
        <v>0</v>
      </c>
      <c r="O46" s="2396" t="s">
        <v>2413</v>
      </c>
      <c r="P46" s="1593"/>
      <c r="Q46" s="1605"/>
      <c r="R46" s="1593"/>
    </row>
    <row r="47" spans="1:18" s="2061" customFormat="1" ht="18" customHeight="1" thickBot="1">
      <c r="A47" s="2374">
        <v>1</v>
      </c>
      <c r="B47" s="2375" t="s">
        <v>635</v>
      </c>
      <c r="C47" s="2576">
        <f ca="1">C48+C52+C54</f>
        <v>0</v>
      </c>
      <c r="D47" s="2087"/>
      <c r="E47" s="2087"/>
      <c r="F47" s="2087"/>
      <c r="I47" s="3152" t="s">
        <v>2347</v>
      </c>
      <c r="J47" s="2383" t="s">
        <v>3007</v>
      </c>
      <c r="K47" s="3159" t="s">
        <v>2352</v>
      </c>
      <c r="L47" s="3163">
        <f ca="1">INDIRECT("'数据-取费表'!d"&amp;$G$1)</f>
        <v>50</v>
      </c>
      <c r="M47" s="1605" t="str">
        <f>IF(ISNUMBER(FIND("住宅",C1)),"住宅","非住宅")</f>
        <v>非住宅</v>
      </c>
      <c r="O47" s="2397" t="s">
        <v>2378</v>
      </c>
      <c r="P47" s="2398" t="s">
        <v>2379</v>
      </c>
      <c r="Q47" s="2399" t="s">
        <v>2380</v>
      </c>
      <c r="R47" s="2398" t="s">
        <v>2381</v>
      </c>
    </row>
    <row r="48" spans="1:18" s="2061" customFormat="1" ht="18" customHeight="1" thickBot="1">
      <c r="A48" s="2644" t="s">
        <v>1871</v>
      </c>
      <c r="B48" s="2645" t="s">
        <v>2541</v>
      </c>
      <c r="C48" s="2376">
        <f ca="1">ROUND(F48*F50*F49*(1-F51)/10000,0)</f>
        <v>0</v>
      </c>
      <c r="D48" s="2377" t="s">
        <v>636</v>
      </c>
      <c r="E48" s="2378" t="s">
        <v>2299</v>
      </c>
      <c r="F48" s="2379"/>
      <c r="G48" s="2092"/>
      <c r="I48" s="3128" t="s">
        <v>2348</v>
      </c>
      <c r="J48" s="2384" t="s">
        <v>2353</v>
      </c>
      <c r="K48" s="3160" t="s">
        <v>2354</v>
      </c>
      <c r="L48" s="1910">
        <f ca="1">INDIRECT("'数据-取费表'!f"&amp;$G$1)</f>
        <v>44.07</v>
      </c>
      <c r="O48" s="2400" t="s">
        <v>2382</v>
      </c>
      <c r="P48" s="2401" t="s">
        <v>2408</v>
      </c>
      <c r="Q48" s="2402">
        <f ca="1">C40+J29</f>
        <v>6537</v>
      </c>
      <c r="R48" s="2401" t="s">
        <v>2383</v>
      </c>
    </row>
    <row r="49" spans="1:18" s="2061" customFormat="1" ht="18" customHeight="1" thickBot="1">
      <c r="A49" s="786"/>
      <c r="B49" s="787"/>
      <c r="C49" s="788"/>
      <c r="D49" s="789"/>
      <c r="E49" s="784" t="s">
        <v>1740</v>
      </c>
      <c r="F49" s="785">
        <f ca="1">F7</f>
        <v>764</v>
      </c>
      <c r="G49" s="2092"/>
      <c r="H49" s="2095"/>
      <c r="I49" s="3128" t="s">
        <v>2349</v>
      </c>
      <c r="J49" s="2385"/>
      <c r="K49" s="3161" t="s">
        <v>2355</v>
      </c>
      <c r="L49" s="2386"/>
      <c r="O49" s="2400" t="s">
        <v>2384</v>
      </c>
      <c r="P49" s="2401" t="s">
        <v>2409</v>
      </c>
      <c r="Q49" s="2402" t="str">
        <f ca="1">J60</f>
        <v>0</v>
      </c>
      <c r="R49" s="2401" t="s">
        <v>2385</v>
      </c>
    </row>
    <row r="50" spans="1:18" s="2061" customFormat="1" ht="18" customHeight="1" thickBot="1">
      <c r="A50" s="786"/>
      <c r="B50" s="787"/>
      <c r="C50" s="788"/>
      <c r="D50" s="789"/>
      <c r="E50" s="784" t="s">
        <v>1741</v>
      </c>
      <c r="F50" s="785">
        <f ca="1">F8</f>
        <v>12</v>
      </c>
      <c r="G50" s="2097"/>
      <c r="H50" s="2095"/>
      <c r="I50" s="3128" t="s">
        <v>2350</v>
      </c>
      <c r="J50" s="3156">
        <f>SUMPRODUCT((I63:I65=J47)*(J62:L62=J48)*(J63:L65))</f>
        <v>60</v>
      </c>
      <c r="K50" s="3161" t="s">
        <v>2356</v>
      </c>
      <c r="L50" s="2386"/>
      <c r="O50" s="2403" t="s">
        <v>2386</v>
      </c>
      <c r="P50" s="2401" t="s">
        <v>2410</v>
      </c>
      <c r="Q50" s="2402">
        <f ca="1">C29</f>
        <v>11602</v>
      </c>
      <c r="R50" s="2401" t="s">
        <v>2383</v>
      </c>
    </row>
    <row r="51" spans="1:18" s="2061" customFormat="1" ht="18" customHeight="1" thickBot="1">
      <c r="A51" s="786"/>
      <c r="B51" s="787"/>
      <c r="C51" s="788"/>
      <c r="D51" s="789"/>
      <c r="E51" s="784" t="s">
        <v>640</v>
      </c>
      <c r="F51" s="2373"/>
      <c r="H51" s="2095"/>
      <c r="I51" s="3153" t="s">
        <v>2351</v>
      </c>
      <c r="J51" s="3157">
        <f>IF(J49="",J50,J49+J50-YEAR('数据-取费表'!B2))</f>
        <v>60</v>
      </c>
      <c r="K51" s="3128" t="s">
        <v>2357</v>
      </c>
      <c r="L51" s="3164">
        <f ca="1">ROUND(-PV(INDIRECT("'数据-取费表'!h"&amp;$G$1),L48,(C39-C13*J36),0),0)</f>
        <v>-11629</v>
      </c>
      <c r="O51" s="2403" t="s">
        <v>2387</v>
      </c>
      <c r="P51" s="2401" t="s">
        <v>2388</v>
      </c>
      <c r="Q51" s="2404" t="e">
        <f ca="1">J58</f>
        <v>#VALUE!</v>
      </c>
      <c r="R51" s="2405"/>
    </row>
    <row r="52" spans="1:18" s="2061" customFormat="1" ht="18" customHeight="1" thickBot="1">
      <c r="A52" s="781" t="s">
        <v>2539</v>
      </c>
      <c r="B52" s="2496" t="s">
        <v>2462</v>
      </c>
      <c r="C52" s="799">
        <f ca="1">ROUND(IF(F52="押一",C48/12*F11,IF(F52="押二",C48/12*2*F11,IF(F52="押三",C48/12*3*F11,C53*F11))),0)</f>
        <v>0</v>
      </c>
      <c r="D52" s="2503" t="s">
        <v>2980</v>
      </c>
      <c r="E52" s="2500" t="s">
        <v>2467</v>
      </c>
      <c r="F52" s="2623"/>
      <c r="I52" s="3154" t="s">
        <v>2424</v>
      </c>
      <c r="J52" s="2387"/>
      <c r="K52" s="3154" t="s">
        <v>2423</v>
      </c>
      <c r="L52" s="2387"/>
      <c r="O52" s="2403" t="s">
        <v>2389</v>
      </c>
      <c r="P52" s="2401" t="s">
        <v>2390</v>
      </c>
      <c r="Q52" s="2404">
        <f>J52</f>
        <v>0</v>
      </c>
      <c r="R52" s="2405"/>
    </row>
    <row r="53" spans="1:18" s="2061" customFormat="1" ht="39.75" customHeight="1" thickBot="1">
      <c r="A53" s="786"/>
      <c r="B53" s="2497" t="s">
        <v>2576</v>
      </c>
      <c r="C53" s="2501"/>
      <c r="D53" s="2503"/>
      <c r="E53" s="2500"/>
      <c r="F53" s="800"/>
      <c r="I53" s="3155" t="s">
        <v>2985</v>
      </c>
      <c r="J53" s="3158">
        <f ca="1">IF(M47="住宅",IF(D1="——",MAX(J51,L48),MAX(J51,L48-'数据-取费表'!B20)),IF(D1="——",MIN(J51,L48),MIN(J51,L48-'数据-取费表'!B20)))</f>
        <v>42.07</v>
      </c>
      <c r="K53" s="3458" t="s">
        <v>2972</v>
      </c>
      <c r="L53" s="3459"/>
      <c r="O53" s="2403" t="s">
        <v>2391</v>
      </c>
      <c r="P53" s="2401" t="s">
        <v>2392</v>
      </c>
      <c r="Q53" s="2402">
        <f ca="1">J53</f>
        <v>42.07</v>
      </c>
      <c r="R53" s="2401" t="s">
        <v>2393</v>
      </c>
    </row>
    <row r="54" spans="1:18" s="2061" customFormat="1" ht="18" customHeight="1" thickBot="1">
      <c r="A54" s="2539" t="s">
        <v>2470</v>
      </c>
      <c r="B54" s="2540" t="s">
        <v>2463</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2394</v>
      </c>
      <c r="P54" s="2401" t="s">
        <v>2411</v>
      </c>
      <c r="Q54" s="2402">
        <f ca="1">Q48+Q49</f>
        <v>6537</v>
      </c>
      <c r="R54" s="2405" t="s">
        <v>2395</v>
      </c>
    </row>
    <row r="55" spans="1:18" s="2061" customFormat="1" ht="18" customHeight="1" thickTop="1" thickBot="1">
      <c r="A55" s="797">
        <v>2</v>
      </c>
      <c r="B55" s="798" t="s">
        <v>644</v>
      </c>
      <c r="C55" s="799">
        <f ca="1">C13</f>
        <v>11602</v>
      </c>
      <c r="D55" s="795"/>
      <c r="E55" s="795"/>
      <c r="F55" s="800"/>
      <c r="I55" s="3167" t="s">
        <v>2358</v>
      </c>
      <c r="J55" s="3103" t="e">
        <f ca="1">ROUND(IF(J47="钢混",J57/J50,1-(1-2%)*(J50-J57)/J50),3)</f>
        <v>#VALUE!</v>
      </c>
      <c r="K55" s="3168" t="s">
        <v>2359</v>
      </c>
      <c r="L55" s="2388"/>
      <c r="O55" s="2406" t="s">
        <v>2414</v>
      </c>
      <c r="P55" s="1593"/>
      <c r="Q55" s="1605"/>
      <c r="R55" s="1593"/>
    </row>
    <row r="56" spans="1:18" s="2061" customFormat="1" ht="42.75" customHeight="1" thickBot="1">
      <c r="A56" s="1651"/>
      <c r="B56" s="2233" t="s">
        <v>2303</v>
      </c>
      <c r="C56" s="53">
        <f ca="1">C29</f>
        <v>11602</v>
      </c>
      <c r="D56" s="3180"/>
      <c r="E56" s="784"/>
      <c r="F56" s="809"/>
      <c r="I56" s="3169" t="s">
        <v>2360</v>
      </c>
      <c r="J56" s="3179" t="s">
        <v>1679</v>
      </c>
      <c r="K56" s="3128" t="s">
        <v>2365</v>
      </c>
      <c r="L56" s="1910" t="str">
        <f ca="1">IF(L48&lt;J51,"——",L48-J51)</f>
        <v>——</v>
      </c>
      <c r="O56" s="2397" t="s">
        <v>2378</v>
      </c>
      <c r="P56" s="2398" t="s">
        <v>2379</v>
      </c>
      <c r="Q56" s="2399" t="s">
        <v>2380</v>
      </c>
      <c r="R56" s="2398" t="s">
        <v>2381</v>
      </c>
    </row>
    <row r="57" spans="1:18" s="2061" customFormat="1" ht="28.5" customHeight="1" thickBot="1">
      <c r="A57" s="797" t="s">
        <v>1749</v>
      </c>
      <c r="B57" s="798" t="s">
        <v>651</v>
      </c>
      <c r="C57" s="799">
        <f ca="1">ROUND(C58+C63+C64+C65,0)</f>
        <v>192</v>
      </c>
      <c r="D57" s="26" t="s">
        <v>1751</v>
      </c>
      <c r="E57" s="3185"/>
      <c r="F57" s="56"/>
      <c r="I57" s="3170" t="s">
        <v>2361</v>
      </c>
      <c r="J57" s="3171" t="str">
        <f ca="1">IF(OR(M47="住宅",J51&lt;L48,J56="是"),"——",J51-L48)</f>
        <v>——</v>
      </c>
      <c r="K57" s="3128" t="s">
        <v>2366</v>
      </c>
      <c r="L57" s="1910" t="str">
        <f ca="1">IF(L48&lt;J51,"——",IF(L55="比较法",L49,IF(L55="基准地价",L50,L51)))</f>
        <v>——</v>
      </c>
      <c r="O57" s="2400" t="s">
        <v>2382</v>
      </c>
      <c r="P57" s="2401" t="s">
        <v>2408</v>
      </c>
      <c r="Q57" s="2402">
        <f ca="1">C40+J29</f>
        <v>6537</v>
      </c>
      <c r="R57" s="2401" t="s">
        <v>2383</v>
      </c>
    </row>
    <row r="58" spans="1:18" s="2061" customFormat="1" ht="28.5" customHeight="1" thickBot="1">
      <c r="A58" s="1650" t="s">
        <v>1825</v>
      </c>
      <c r="B58" s="784" t="s">
        <v>656</v>
      </c>
      <c r="C58" s="53">
        <f ca="1">ROUND(IF(项目基本情况!B11="自然人",C47*F58,C59+C60+C61),1)</f>
        <v>0.4</v>
      </c>
      <c r="D58" s="3181" t="s">
        <v>657</v>
      </c>
      <c r="E58" s="3180" t="s">
        <v>690</v>
      </c>
      <c r="F58" s="810" t="str">
        <f ca="1">IF(项目基本情况!B11="企业","",IF(INDIRECT("'数据-取费表'!c"&amp;$G$1)="住宅",5%,IF(F48*F49*F50/12/(1+'数据-取费表'!C42)&gt;20000,12%,7%)))</f>
        <v/>
      </c>
      <c r="I58" s="3170" t="s">
        <v>2362</v>
      </c>
      <c r="J58" s="3104" t="e">
        <f ca="1">IF(J55&lt;0.4,0.4,J55)</f>
        <v>#VALUE!</v>
      </c>
      <c r="K58" s="3128" t="s">
        <v>2367</v>
      </c>
      <c r="L58" s="1910" t="e">
        <f ca="1">ROUND(POWER(1+L52,L47-L48)*(POWER(1+L52,L48)-1)/(POWER(1+L52,L47)-1),4)</f>
        <v>#DIV/0!</v>
      </c>
      <c r="O58" s="2400" t="s">
        <v>2384</v>
      </c>
      <c r="P58" s="2401" t="s">
        <v>2415</v>
      </c>
      <c r="Q58" s="2402">
        <f ca="1">L60</f>
        <v>0</v>
      </c>
      <c r="R58" s="2405" t="s">
        <v>2417</v>
      </c>
    </row>
    <row r="59" spans="1:18" s="2061" customFormat="1" ht="28.5" customHeight="1" thickBot="1">
      <c r="A59" s="1649" t="s">
        <v>1832</v>
      </c>
      <c r="B59" s="784" t="s">
        <v>660</v>
      </c>
      <c r="C59" s="53">
        <f ca="1">ROUND(C47*F59/1.05,1)</f>
        <v>0</v>
      </c>
      <c r="D59" s="3180" t="s">
        <v>1757</v>
      </c>
      <c r="E59" s="784" t="s">
        <v>1748</v>
      </c>
      <c r="F59" s="809">
        <f t="shared" ref="F59:F65" si="0">F32</f>
        <v>5.5000000000000007E-2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f ca="1">IF(D60="按租金收入计税",ROUND(C47*F60,1),IF(D60="按房产原值计税",ROUND(C56*F60*0.7,1),INDIRECT("'数据-取费表'!Aj"&amp;$G$1)))</f>
        <v>0</v>
      </c>
      <c r="D60" s="3180"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3" t="s">
        <v>2387</v>
      </c>
      <c r="P60" s="2401" t="s">
        <v>2396</v>
      </c>
      <c r="Q60" s="2404">
        <f>L52</f>
        <v>0</v>
      </c>
      <c r="R60" s="2405"/>
    </row>
    <row r="61" spans="1:18" s="2061" customFormat="1" ht="18" customHeight="1" thickBot="1">
      <c r="A61" s="1652" t="s">
        <v>1834</v>
      </c>
      <c r="B61" s="341" t="s">
        <v>668</v>
      </c>
      <c r="C61" s="54">
        <f ca="1">ROUND(F61*F62/10000,1)</f>
        <v>0.4</v>
      </c>
      <c r="D61" s="814" t="s">
        <v>669</v>
      </c>
      <c r="E61" s="784" t="s">
        <v>670</v>
      </c>
      <c r="F61" s="640">
        <f t="shared" si="0"/>
        <v>1.5</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2937.46</v>
      </c>
      <c r="I62" s="3175" t="s">
        <v>2370</v>
      </c>
      <c r="J62" s="3176" t="s">
        <v>2371</v>
      </c>
      <c r="K62" s="3176" t="s">
        <v>2372</v>
      </c>
      <c r="L62" s="3176" t="s">
        <v>2353</v>
      </c>
      <c r="M62" s="3177" t="s">
        <v>2948</v>
      </c>
      <c r="O62" s="2403" t="s">
        <v>2391</v>
      </c>
      <c r="P62" s="2401" t="str">
        <f>K59</f>
        <v>建设期及建筑物耐用年限下的土地年期修正系数Kn</v>
      </c>
      <c r="Q62" s="2402" t="e">
        <f ca="1">L59</f>
        <v>#DIV/0!</v>
      </c>
      <c r="R62" s="2405" t="s">
        <v>2400</v>
      </c>
    </row>
    <row r="63" spans="1:18" s="2061" customFormat="1" ht="15.75" thickBot="1">
      <c r="A63" s="1650" t="s">
        <v>1890</v>
      </c>
      <c r="B63" s="784" t="s">
        <v>676</v>
      </c>
      <c r="C63" s="53">
        <f ca="1">ROUND(C56*F63,1)</f>
        <v>174</v>
      </c>
      <c r="D63" s="3180" t="s">
        <v>1804</v>
      </c>
      <c r="E63" s="784" t="s">
        <v>1748</v>
      </c>
      <c r="F63" s="817">
        <f t="shared" ca="1" si="0"/>
        <v>1.4999999999999999E-2</v>
      </c>
      <c r="I63" s="3175" t="s">
        <v>2373</v>
      </c>
      <c r="J63" s="3176">
        <v>70</v>
      </c>
      <c r="K63" s="3176">
        <v>50</v>
      </c>
      <c r="L63" s="3176">
        <v>80</v>
      </c>
      <c r="M63" s="3178">
        <v>0.02</v>
      </c>
      <c r="O63" s="2400" t="s">
        <v>2394</v>
      </c>
      <c r="P63" s="2401" t="s">
        <v>2411</v>
      </c>
      <c r="Q63" s="2402">
        <f ca="1">Q57+Q58</f>
        <v>6537</v>
      </c>
      <c r="R63" s="2405" t="s">
        <v>2395</v>
      </c>
    </row>
    <row r="64" spans="1:18" s="2061" customFormat="1" ht="16.5" thickBot="1">
      <c r="A64" s="1650" t="s">
        <v>1891</v>
      </c>
      <c r="B64" s="784" t="s">
        <v>679</v>
      </c>
      <c r="C64" s="53">
        <f ca="1">ROUND(C55*F64,1)</f>
        <v>17.399999999999999</v>
      </c>
      <c r="D64" s="3180" t="s">
        <v>680</v>
      </c>
      <c r="E64" s="784" t="s">
        <v>1748</v>
      </c>
      <c r="F64" s="818">
        <f t="shared" ca="1" si="0"/>
        <v>1.5E-3</v>
      </c>
      <c r="I64" s="3175" t="s">
        <v>2374</v>
      </c>
      <c r="J64" s="3176">
        <v>50</v>
      </c>
      <c r="K64" s="3176">
        <v>35</v>
      </c>
      <c r="L64" s="3176">
        <v>60</v>
      </c>
      <c r="M64" s="846">
        <v>0</v>
      </c>
      <c r="O64" s="2406" t="s">
        <v>2418</v>
      </c>
      <c r="P64" s="1593"/>
      <c r="Q64" s="1605"/>
      <c r="R64" s="1593"/>
    </row>
    <row r="65" spans="1:18" s="2061" customFormat="1" ht="15.75" thickBot="1">
      <c r="A65" s="1650" t="s">
        <v>1892</v>
      </c>
      <c r="B65" s="784" t="s">
        <v>666</v>
      </c>
      <c r="C65" s="53">
        <f ca="1">ROUND(C47*F65,1)</f>
        <v>0</v>
      </c>
      <c r="D65" s="3180" t="s">
        <v>683</v>
      </c>
      <c r="E65" s="784" t="s">
        <v>1748</v>
      </c>
      <c r="F65" s="794">
        <f t="shared" ca="1" si="0"/>
        <v>1.4999999999999999E-2</v>
      </c>
      <c r="I65" s="3175" t="s">
        <v>2375</v>
      </c>
      <c r="J65" s="3176">
        <v>40</v>
      </c>
      <c r="K65" s="3176">
        <v>30</v>
      </c>
      <c r="L65" s="3176">
        <v>50</v>
      </c>
      <c r="M65" s="3178">
        <v>0.02</v>
      </c>
      <c r="O65" s="2397" t="s">
        <v>2378</v>
      </c>
      <c r="P65" s="2398" t="s">
        <v>2379</v>
      </c>
      <c r="Q65" s="2399" t="s">
        <v>2380</v>
      </c>
      <c r="R65" s="2398" t="s">
        <v>2381</v>
      </c>
    </row>
    <row r="66" spans="1:18" s="2061" customFormat="1" ht="24.75" thickBot="1">
      <c r="A66" s="797" t="s">
        <v>1777</v>
      </c>
      <c r="B66" s="3012" t="s">
        <v>2825</v>
      </c>
      <c r="C66" s="799">
        <f ca="1">C47-C57</f>
        <v>-192</v>
      </c>
      <c r="D66" s="3181" t="s">
        <v>700</v>
      </c>
      <c r="E66" s="3184"/>
      <c r="F66" s="820"/>
      <c r="K66" s="2088"/>
      <c r="O66" s="2400" t="s">
        <v>2382</v>
      </c>
      <c r="P66" s="2401" t="s">
        <v>2408</v>
      </c>
      <c r="Q66" s="2402">
        <f ca="1">C40+J29</f>
        <v>6537</v>
      </c>
      <c r="R66" s="2401" t="s">
        <v>2383</v>
      </c>
    </row>
    <row r="67" spans="1:18" s="2061" customFormat="1" ht="20.25" thickBot="1">
      <c r="A67" s="781" t="s">
        <v>1781</v>
      </c>
      <c r="B67" s="2234" t="s">
        <v>2304</v>
      </c>
      <c r="C67" s="783">
        <f ca="1">ROUND(C66*(1-((1+F69)/(1+F67))^F68)/(F67-F69),0)</f>
        <v>-3347</v>
      </c>
      <c r="D67" s="814" t="s">
        <v>704</v>
      </c>
      <c r="E67" s="784" t="s">
        <v>705</v>
      </c>
      <c r="F67" s="794">
        <f ca="1">F40</f>
        <v>0.05</v>
      </c>
      <c r="K67" s="2088"/>
      <c r="O67" s="2400" t="s">
        <v>2384</v>
      </c>
      <c r="P67" s="2401" t="s">
        <v>2415</v>
      </c>
      <c r="Q67" s="2402">
        <f ca="1">L60</f>
        <v>0</v>
      </c>
      <c r="R67" s="2405" t="s">
        <v>2417</v>
      </c>
    </row>
    <row r="68" spans="1:18" ht="21.75" thickBot="1">
      <c r="A68" s="786"/>
      <c r="B68" s="787"/>
      <c r="C68" s="788"/>
      <c r="D68" s="821" t="s">
        <v>1809</v>
      </c>
      <c r="E68" s="784" t="s">
        <v>1785</v>
      </c>
      <c r="F68" s="822">
        <f ca="1">F41</f>
        <v>42.07</v>
      </c>
      <c r="O68" s="2403" t="s">
        <v>2386</v>
      </c>
      <c r="P68" s="2401" t="s">
        <v>2416</v>
      </c>
      <c r="Q68" s="2407">
        <f ca="1">L51</f>
        <v>-11629</v>
      </c>
      <c r="R68" s="2408" t="s">
        <v>2419</v>
      </c>
    </row>
    <row r="69" spans="1:18" ht="20.25" thickBot="1">
      <c r="A69" s="790"/>
      <c r="B69" s="791"/>
      <c r="C69" s="792"/>
      <c r="D69" s="816"/>
      <c r="E69" s="784" t="s">
        <v>710</v>
      </c>
      <c r="F69" s="2373"/>
      <c r="O69" s="2403" t="s">
        <v>2387</v>
      </c>
      <c r="P69" s="2409" t="s">
        <v>2401</v>
      </c>
      <c r="Q69" s="2402">
        <f ca="1">ROUND(Q70-Q71*Q72,0)</f>
        <v>-611</v>
      </c>
      <c r="R69" s="2405"/>
    </row>
    <row r="70" spans="1:18" ht="15.75" thickBot="1">
      <c r="A70" s="823" t="s">
        <v>1788</v>
      </c>
      <c r="B70" s="824" t="s">
        <v>1811</v>
      </c>
      <c r="C70" s="825">
        <f ca="1">ROUND(C67*10000/F70,0)</f>
        <v>-1251</v>
      </c>
      <c r="D70" s="826" t="s">
        <v>1812</v>
      </c>
      <c r="E70" s="827" t="s">
        <v>1813</v>
      </c>
      <c r="F70" s="828">
        <f ca="1">F43</f>
        <v>26749.200000000001</v>
      </c>
      <c r="O70" s="2403" t="s">
        <v>2402</v>
      </c>
      <c r="P70" s="2409" t="s">
        <v>2403</v>
      </c>
      <c r="Q70" s="2402">
        <f ca="1">C39</f>
        <v>375</v>
      </c>
      <c r="R70" s="2401" t="s">
        <v>2383</v>
      </c>
    </row>
    <row r="71" spans="1:18" ht="15.75" thickBot="1">
      <c r="O71" s="2403" t="s">
        <v>2404</v>
      </c>
      <c r="P71" s="2409" t="s">
        <v>2405</v>
      </c>
      <c r="Q71" s="2402">
        <f ca="1">C13</f>
        <v>11602</v>
      </c>
      <c r="R71" s="2401" t="s">
        <v>2383</v>
      </c>
    </row>
    <row r="72" spans="1:18" ht="15.75" thickBot="1">
      <c r="O72" s="2403" t="s">
        <v>2406</v>
      </c>
      <c r="P72" s="2409" t="s">
        <v>2407</v>
      </c>
      <c r="Q72" s="2404">
        <f ca="1">J36</f>
        <v>8.5000000000000006E-2</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建设期及建筑物耐用年限下的土地年期修正系数Kn</v>
      </c>
      <c r="Q75" s="2402" t="e">
        <f ca="1">L59</f>
        <v>#DIV/0!</v>
      </c>
      <c r="R75" s="2405" t="s">
        <v>2400</v>
      </c>
    </row>
    <row r="76" spans="1:18" ht="15.75" thickBot="1">
      <c r="O76" s="2400" t="s">
        <v>2394</v>
      </c>
      <c r="P76" s="2401" t="s">
        <v>2411</v>
      </c>
      <c r="Q76" s="2402">
        <f ca="1">Q66+Q67</f>
        <v>6537</v>
      </c>
      <c r="R76" s="2405"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6" t="s">
        <v>2474</v>
      </c>
      <c r="B1" s="3477"/>
      <c r="C1" s="3478"/>
      <c r="D1" s="3479">
        <f>SUM(I10,I15,I20,I21,I23)</f>
        <v>0</v>
      </c>
      <c r="E1" s="3479"/>
      <c r="F1" s="3479"/>
      <c r="G1" s="3479"/>
      <c r="H1" s="3479"/>
      <c r="I1" s="3480"/>
    </row>
    <row r="2" spans="1:9">
      <c r="A2" s="3466" t="s">
        <v>2475</v>
      </c>
      <c r="B2" s="3467" t="s">
        <v>2476</v>
      </c>
      <c r="C2" s="3467"/>
      <c r="D2" s="2509" t="s">
        <v>2477</v>
      </c>
      <c r="E2" s="2509" t="s">
        <v>2478</v>
      </c>
      <c r="F2" s="2509" t="s">
        <v>2479</v>
      </c>
      <c r="G2" s="2509" t="s">
        <v>2480</v>
      </c>
      <c r="H2" s="2509" t="s">
        <v>2481</v>
      </c>
      <c r="I2" s="2510" t="s">
        <v>2482</v>
      </c>
    </row>
    <row r="3" spans="1:9">
      <c r="A3" s="3466"/>
      <c r="B3" s="3467" t="s">
        <v>2483</v>
      </c>
      <c r="C3" s="3467"/>
      <c r="D3" s="2511"/>
      <c r="E3" s="2509"/>
      <c r="F3" s="2512"/>
      <c r="G3" s="2512"/>
      <c r="H3" s="2513"/>
      <c r="I3" s="2514">
        <f>ROUND(D3*E3*F3*G3*H3/10000,0)</f>
        <v>0</v>
      </c>
    </row>
    <row r="4" spans="1:9">
      <c r="A4" s="3466"/>
      <c r="B4" s="3467" t="s">
        <v>2484</v>
      </c>
      <c r="C4" s="3467"/>
      <c r="D4" s="2511"/>
      <c r="E4" s="2509"/>
      <c r="F4" s="2512"/>
      <c r="G4" s="2512"/>
      <c r="H4" s="2513"/>
      <c r="I4" s="2514">
        <f t="shared" ref="I4:I9" si="0">ROUND(D4*E4*F4*G4*H4/10000,0)</f>
        <v>0</v>
      </c>
    </row>
    <row r="5" spans="1:9">
      <c r="A5" s="3466"/>
      <c r="B5" s="3467" t="s">
        <v>2485</v>
      </c>
      <c r="C5" s="3467"/>
      <c r="D5" s="2511"/>
      <c r="E5" s="2509"/>
      <c r="F5" s="2512"/>
      <c r="G5" s="2512"/>
      <c r="H5" s="2513"/>
      <c r="I5" s="2514">
        <f t="shared" si="0"/>
        <v>0</v>
      </c>
    </row>
    <row r="6" spans="1:9">
      <c r="A6" s="3466"/>
      <c r="B6" s="3467" t="s">
        <v>2486</v>
      </c>
      <c r="C6" s="3467"/>
      <c r="D6" s="2511"/>
      <c r="E6" s="2509"/>
      <c r="F6" s="2512"/>
      <c r="G6" s="2512"/>
      <c r="H6" s="2513"/>
      <c r="I6" s="2514">
        <f t="shared" si="0"/>
        <v>0</v>
      </c>
    </row>
    <row r="7" spans="1:9">
      <c r="A7" s="3466"/>
      <c r="B7" s="3467" t="s">
        <v>2487</v>
      </c>
      <c r="C7" s="3467"/>
      <c r="D7" s="2511"/>
      <c r="E7" s="2509"/>
      <c r="F7" s="2512"/>
      <c r="G7" s="2512"/>
      <c r="H7" s="2513"/>
      <c r="I7" s="2514">
        <f t="shared" si="0"/>
        <v>0</v>
      </c>
    </row>
    <row r="8" spans="1:9">
      <c r="A8" s="3466"/>
      <c r="B8" s="3467" t="s">
        <v>2488</v>
      </c>
      <c r="C8" s="3467"/>
      <c r="D8" s="2511"/>
      <c r="E8" s="2509"/>
      <c r="F8" s="2512"/>
      <c r="G8" s="2512"/>
      <c r="H8" s="2513"/>
      <c r="I8" s="2514">
        <f t="shared" si="0"/>
        <v>0</v>
      </c>
    </row>
    <row r="9" spans="1:9">
      <c r="A9" s="3466"/>
      <c r="B9" s="3467" t="s">
        <v>2489</v>
      </c>
      <c r="C9" s="3467"/>
      <c r="D9" s="2511"/>
      <c r="E9" s="2509"/>
      <c r="F9" s="2512"/>
      <c r="G9" s="2512"/>
      <c r="H9" s="2513"/>
      <c r="I9" s="2514">
        <f t="shared" si="0"/>
        <v>0</v>
      </c>
    </row>
    <row r="10" spans="1:9">
      <c r="A10" s="3466"/>
      <c r="B10" s="3468" t="s">
        <v>2490</v>
      </c>
      <c r="C10" s="3468"/>
      <c r="D10" s="2515">
        <v>527</v>
      </c>
      <c r="E10" s="2515" t="e">
        <f>ROUND(D1*10000/D10/H9,0)</f>
        <v>#DIV/0!</v>
      </c>
      <c r="F10" s="2516"/>
      <c r="G10" s="2516"/>
      <c r="H10" s="2517"/>
      <c r="I10" s="2518">
        <f>SUM(I3:I9)</f>
        <v>0</v>
      </c>
    </row>
    <row r="11" spans="1:9" ht="14.25">
      <c r="A11" s="3466" t="s">
        <v>2491</v>
      </c>
      <c r="B11" s="3467" t="s">
        <v>2492</v>
      </c>
      <c r="C11" s="3467"/>
      <c r="D11" s="2511" t="s">
        <v>2493</v>
      </c>
      <c r="E11" s="2511" t="s">
        <v>2494</v>
      </c>
      <c r="F11" s="2512" t="s">
        <v>2495</v>
      </c>
      <c r="G11" s="2512" t="s">
        <v>2496</v>
      </c>
      <c r="H11" s="2519" t="s">
        <v>2497</v>
      </c>
      <c r="I11" s="2510" t="s">
        <v>2498</v>
      </c>
    </row>
    <row r="12" spans="1:9">
      <c r="A12" s="3466"/>
      <c r="B12" s="3467" t="s">
        <v>2499</v>
      </c>
      <c r="C12" s="3467"/>
      <c r="D12" s="2511"/>
      <c r="E12" s="2511"/>
      <c r="F12" s="2512"/>
      <c r="G12" s="2513"/>
      <c r="H12" s="2520"/>
      <c r="I12" s="2510">
        <f>ROUND(D12*E12*F12*G12/10000,0)</f>
        <v>0</v>
      </c>
    </row>
    <row r="13" spans="1:9">
      <c r="A13" s="3466"/>
      <c r="B13" s="3467" t="s">
        <v>2500</v>
      </c>
      <c r="C13" s="3467"/>
      <c r="D13" s="2511"/>
      <c r="E13" s="2511"/>
      <c r="F13" s="2512"/>
      <c r="G13" s="2513"/>
      <c r="H13" s="2520"/>
      <c r="I13" s="2510">
        <f>ROUND(D13*E13*F13*G13/10000,0)</f>
        <v>0</v>
      </c>
    </row>
    <row r="14" spans="1:9">
      <c r="A14" s="3466"/>
      <c r="B14" s="3467" t="s">
        <v>2501</v>
      </c>
      <c r="C14" s="3467"/>
      <c r="D14" s="2511"/>
      <c r="E14" s="2511"/>
      <c r="F14" s="2512"/>
      <c r="G14" s="2513"/>
      <c r="H14" s="2520"/>
      <c r="I14" s="2510">
        <f>ROUND(D14*E14*F14*G14/10000,0)</f>
        <v>0</v>
      </c>
    </row>
    <row r="15" spans="1:9">
      <c r="A15" s="3466"/>
      <c r="B15" s="3468" t="s">
        <v>2490</v>
      </c>
      <c r="C15" s="3468"/>
      <c r="D15" s="2515"/>
      <c r="E15" s="2515">
        <f>SUM(E12:E14)</f>
        <v>0</v>
      </c>
      <c r="F15" s="2516"/>
      <c r="G15" s="2513"/>
      <c r="H15" s="2520"/>
      <c r="I15" s="2521">
        <f>SUM(I12:I14)</f>
        <v>0</v>
      </c>
    </row>
    <row r="16" spans="1:9" ht="24">
      <c r="A16" s="3466" t="s">
        <v>2502</v>
      </c>
      <c r="B16" s="3467" t="s">
        <v>2503</v>
      </c>
      <c r="C16" s="3467"/>
      <c r="D16" s="2511" t="s">
        <v>2504</v>
      </c>
      <c r="E16" s="2522" t="s">
        <v>2505</v>
      </c>
      <c r="F16" s="2512" t="s">
        <v>2506</v>
      </c>
      <c r="G16" s="2513" t="s">
        <v>2496</v>
      </c>
      <c r="H16" s="2519" t="s">
        <v>2497</v>
      </c>
      <c r="I16" s="2510" t="s">
        <v>2498</v>
      </c>
    </row>
    <row r="17" spans="1:9" ht="14.25">
      <c r="A17" s="3466"/>
      <c r="B17" s="3467" t="s">
        <v>2507</v>
      </c>
      <c r="C17" s="3467"/>
      <c r="D17" s="2511"/>
      <c r="E17" s="2511"/>
      <c r="F17" s="2512"/>
      <c r="G17" s="2513"/>
      <c r="H17" s="2523"/>
      <c r="I17" s="2524">
        <f>ROUND(D17*E17*F17*G17/10000,0)</f>
        <v>0</v>
      </c>
    </row>
    <row r="18" spans="1:9" ht="14.25">
      <c r="A18" s="3466"/>
      <c r="B18" s="3467" t="s">
        <v>2508</v>
      </c>
      <c r="C18" s="3467"/>
      <c r="D18" s="2511"/>
      <c r="E18" s="2511"/>
      <c r="F18" s="2512"/>
      <c r="G18" s="2513"/>
      <c r="H18" s="2523"/>
      <c r="I18" s="2524">
        <f>ROUND(D18*E18*F18*G18/10000,0)</f>
        <v>0</v>
      </c>
    </row>
    <row r="19" spans="1:9" ht="14.25">
      <c r="A19" s="3466"/>
      <c r="B19" s="3467" t="s">
        <v>2509</v>
      </c>
      <c r="C19" s="3467"/>
      <c r="D19" s="2511"/>
      <c r="E19" s="2511"/>
      <c r="F19" s="2512"/>
      <c r="G19" s="2513"/>
      <c r="H19" s="2523"/>
      <c r="I19" s="2524">
        <f>ROUND(D19*E19*F19*G19/10000,0)</f>
        <v>0</v>
      </c>
    </row>
    <row r="20" spans="1:9">
      <c r="A20" s="3466"/>
      <c r="B20" s="3468" t="s">
        <v>2490</v>
      </c>
      <c r="C20" s="3468"/>
      <c r="D20" s="2515">
        <f>SUM(D17:D19)</f>
        <v>0</v>
      </c>
      <c r="E20" s="2515"/>
      <c r="F20" s="2516"/>
      <c r="G20" s="2513"/>
      <c r="H20" s="2520"/>
      <c r="I20" s="2521">
        <f>SUM(I17:I19)</f>
        <v>0</v>
      </c>
    </row>
    <row r="21" spans="1:9">
      <c r="A21" s="3466" t="s">
        <v>2510</v>
      </c>
      <c r="B21" s="3469"/>
      <c r="C21" s="3469"/>
      <c r="D21" s="3469"/>
      <c r="E21" s="3469"/>
      <c r="F21" s="3469"/>
      <c r="G21" s="3469"/>
      <c r="H21" s="2525">
        <v>0.1</v>
      </c>
      <c r="I21" s="2518">
        <f>ROUND(I10*H21,0)</f>
        <v>0</v>
      </c>
    </row>
    <row r="22" spans="1:9" ht="14.25">
      <c r="A22" s="3470" t="s">
        <v>2511</v>
      </c>
      <c r="B22" s="3471"/>
      <c r="C22" s="3472"/>
      <c r="D22" s="2526" t="s">
        <v>2512</v>
      </c>
      <c r="E22" s="2526" t="s">
        <v>2513</v>
      </c>
      <c r="F22" s="2527" t="s">
        <v>2514</v>
      </c>
      <c r="G22" s="2527" t="s">
        <v>2515</v>
      </c>
      <c r="H22" s="2519" t="s">
        <v>2516</v>
      </c>
      <c r="I22" s="2510" t="s">
        <v>2517</v>
      </c>
    </row>
    <row r="23" spans="1:9" ht="14.25" thickBot="1">
      <c r="A23" s="3473"/>
      <c r="B23" s="3474"/>
      <c r="C23" s="3475"/>
      <c r="D23" s="2528"/>
      <c r="E23" s="2528"/>
      <c r="F23" s="2528"/>
      <c r="G23" s="2529"/>
      <c r="H23" s="2530"/>
      <c r="I23" s="2531">
        <f>ROUND(E23*D23*F23*(1-G23)/10000,0)</f>
        <v>0</v>
      </c>
    </row>
    <row r="26" spans="1:9">
      <c r="A26" s="2532" t="s">
        <v>2518</v>
      </c>
      <c r="B26" s="2532"/>
      <c r="C26" s="2532"/>
      <c r="D26" s="2532"/>
      <c r="E26" s="3463">
        <f>C27-C30-C31-C32</f>
        <v>0</v>
      </c>
      <c r="F26" s="3463"/>
      <c r="G26" s="3463"/>
      <c r="H26" s="3045" t="s">
        <v>2846</v>
      </c>
    </row>
    <row r="27" spans="1:9">
      <c r="A27" s="2533">
        <v>1</v>
      </c>
      <c r="B27" s="2534" t="s">
        <v>2519</v>
      </c>
      <c r="C27" s="2534"/>
      <c r="D27" s="2534"/>
      <c r="E27" s="3464"/>
      <c r="F27" s="3464"/>
      <c r="G27" s="3464"/>
    </row>
    <row r="28" spans="1:9">
      <c r="A28" s="2535" t="s">
        <v>2520</v>
      </c>
      <c r="B28" s="2534" t="s">
        <v>2521</v>
      </c>
      <c r="C28" s="2534"/>
      <c r="D28" s="2534"/>
      <c r="E28" s="3464"/>
      <c r="F28" s="3464"/>
      <c r="G28" s="3464"/>
    </row>
    <row r="29" spans="1:9">
      <c r="A29" s="2535" t="s">
        <v>2522</v>
      </c>
      <c r="B29" s="2534" t="s">
        <v>2463</v>
      </c>
      <c r="C29" s="2534"/>
      <c r="D29" s="2534"/>
      <c r="E29" s="2534" t="s">
        <v>2523</v>
      </c>
      <c r="F29" s="2534"/>
      <c r="G29" s="2534"/>
    </row>
    <row r="30" spans="1:9">
      <c r="A30" s="2533">
        <v>2</v>
      </c>
      <c r="B30" s="2534" t="s">
        <v>2524</v>
      </c>
      <c r="C30" s="2534">
        <f>C27*D30</f>
        <v>0</v>
      </c>
      <c r="D30" s="2536">
        <v>0.2</v>
      </c>
      <c r="E30" s="2534" t="s">
        <v>2525</v>
      </c>
      <c r="F30" s="2534"/>
      <c r="G30" s="2534"/>
    </row>
    <row r="31" spans="1:9">
      <c r="A31" s="2533">
        <v>3</v>
      </c>
      <c r="B31" s="2534" t="s">
        <v>2526</v>
      </c>
      <c r="C31" s="2534">
        <f>C25*D31</f>
        <v>0</v>
      </c>
      <c r="D31" s="2536">
        <v>0.15</v>
      </c>
      <c r="E31" s="2534" t="s">
        <v>2527</v>
      </c>
      <c r="F31" s="2534"/>
      <c r="G31" s="2534"/>
    </row>
    <row r="32" spans="1:9">
      <c r="A32" s="2533">
        <v>4</v>
      </c>
      <c r="B32" s="2534" t="s">
        <v>2528</v>
      </c>
      <c r="C32" s="2534">
        <f>C27*D32</f>
        <v>0</v>
      </c>
      <c r="D32" s="2536">
        <v>0.05</v>
      </c>
      <c r="E32" s="3465"/>
      <c r="F32" s="3465"/>
      <c r="G32" s="3465"/>
    </row>
    <row r="33" spans="1:7" hidden="1">
      <c r="A33" s="3460" t="s">
        <v>2529</v>
      </c>
      <c r="B33" s="3461"/>
      <c r="C33" s="3461"/>
      <c r="D33" s="3462"/>
      <c r="E33" s="3463"/>
      <c r="F33" s="3463"/>
      <c r="G33" s="3463"/>
    </row>
    <row r="34" spans="1:7" hidden="1">
      <c r="A34" s="2537">
        <v>1</v>
      </c>
      <c r="B34" s="2534" t="s">
        <v>2530</v>
      </c>
      <c r="C34" s="2534"/>
      <c r="D34" s="2534"/>
      <c r="E34" s="3464"/>
      <c r="F34" s="3464"/>
      <c r="G34" s="3464"/>
    </row>
    <row r="35" spans="1:7" hidden="1">
      <c r="A35" s="2537">
        <v>2</v>
      </c>
      <c r="B35" s="2534" t="s">
        <v>2531</v>
      </c>
      <c r="C35" s="2534"/>
      <c r="D35" s="2534"/>
      <c r="E35" s="3464"/>
      <c r="F35" s="3464"/>
      <c r="G35" s="3464"/>
    </row>
    <row r="36" spans="1:7" hidden="1">
      <c r="A36" s="2537">
        <v>3</v>
      </c>
      <c r="B36" s="2534" t="s">
        <v>2532</v>
      </c>
      <c r="C36" s="2534"/>
      <c r="D36" s="2534"/>
      <c r="E36" s="3464"/>
      <c r="F36" s="3464"/>
      <c r="G36" s="3464"/>
    </row>
    <row r="37" spans="1:7" hidden="1">
      <c r="A37" s="2537">
        <v>4</v>
      </c>
      <c r="B37" s="2534" t="s">
        <v>2533</v>
      </c>
      <c r="C37" s="2534"/>
      <c r="D37" s="2534"/>
      <c r="E37" s="3464"/>
      <c r="F37" s="3464"/>
      <c r="G37" s="3464"/>
    </row>
    <row r="38" spans="1:7" hidden="1">
      <c r="A38" s="3460" t="s">
        <v>2534</v>
      </c>
      <c r="B38" s="3461"/>
      <c r="C38" s="3461"/>
      <c r="D38" s="3462"/>
      <c r="E38" s="3463"/>
      <c r="F38" s="3463"/>
      <c r="G38" s="34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3043</v>
      </c>
      <c r="C2" s="2110"/>
      <c r="D2" s="2110"/>
      <c r="E2" s="2110"/>
      <c r="F2" s="2110"/>
      <c r="G2" s="2110"/>
    </row>
    <row r="3" spans="1:25" s="2061" customFormat="1" ht="18" customHeight="1">
      <c r="A3" s="1380" t="s">
        <v>1686</v>
      </c>
      <c r="B3" s="425">
        <f ca="1">ROUND(B2*10000/'数据-汇总表'!E3,0)</f>
        <v>206</v>
      </c>
      <c r="C3" s="2110"/>
      <c r="D3" s="2110"/>
      <c r="E3" s="2110"/>
      <c r="F3" s="2110"/>
      <c r="G3" s="2110"/>
    </row>
    <row r="4" spans="1:25" s="2061" customFormat="1" ht="18" customHeight="1">
      <c r="A4" s="426" t="s">
        <v>468</v>
      </c>
      <c r="B4" s="427">
        <f ca="1">ROUND(B2*10000/'数据-汇总表'!D3,0)</f>
        <v>1936</v>
      </c>
      <c r="C4" s="2063"/>
      <c r="D4" s="2110"/>
      <c r="E4" s="2110"/>
      <c r="F4" s="2110"/>
      <c r="G4" s="2110"/>
    </row>
    <row r="5" spans="1:25" s="2061" customFormat="1" ht="18" customHeight="1" thickBot="1">
      <c r="A5" s="429"/>
      <c r="B5" s="430">
        <f ca="1">ROUND(B2/('数据-汇总表'!D3/666.67),0)</f>
        <v>129</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2443</v>
      </c>
      <c r="B8" s="2474" t="s">
        <v>2445</v>
      </c>
      <c r="C8" s="2475"/>
      <c r="D8" s="749"/>
      <c r="E8" s="750"/>
      <c r="F8" s="750"/>
      <c r="G8" s="751"/>
    </row>
    <row r="9" spans="1:25" s="2185" customFormat="1" ht="13.5" customHeight="1">
      <c r="A9" s="2471" t="s">
        <v>2444</v>
      </c>
      <c r="B9" s="2474" t="s">
        <v>2446</v>
      </c>
      <c r="C9" s="2475"/>
      <c r="D9" s="749"/>
      <c r="E9" s="750"/>
      <c r="F9" s="750"/>
      <c r="G9" s="751"/>
    </row>
    <row r="10" spans="1:25" s="2185" customFormat="1" ht="36">
      <c r="A10" s="2471">
        <v>2</v>
      </c>
      <c r="B10" s="748" t="s">
        <v>613</v>
      </c>
      <c r="C10" s="749">
        <f>C11+C14+C15</f>
        <v>2956</v>
      </c>
      <c r="D10" s="760">
        <f>'数据-汇总表'!E3</f>
        <v>147819.42000000001</v>
      </c>
      <c r="E10" s="749">
        <f>'数据-取费表'!B31</f>
        <v>200</v>
      </c>
      <c r="F10" s="761"/>
      <c r="G10" s="759" t="s">
        <v>614</v>
      </c>
    </row>
    <row r="11" spans="1:25" s="2185" customFormat="1" ht="13.5" customHeight="1">
      <c r="A11" s="2471" t="s">
        <v>2443</v>
      </c>
      <c r="B11" s="752" t="s">
        <v>610</v>
      </c>
      <c r="C11" s="753">
        <f>'数据-取费表'!B29</f>
        <v>2956</v>
      </c>
      <c r="D11" s="754"/>
      <c r="E11" s="753"/>
      <c r="F11" s="755"/>
      <c r="G11" s="2480" t="s">
        <v>2454</v>
      </c>
    </row>
    <row r="12" spans="1:25" s="2185" customFormat="1" ht="13.5" customHeight="1">
      <c r="A12" s="2478" t="s">
        <v>2451</v>
      </c>
      <c r="B12" s="756" t="s">
        <v>611</v>
      </c>
      <c r="C12" s="757">
        <f>ROUND(D12*E12/10000,0)</f>
        <v>0</v>
      </c>
      <c r="D12" s="758">
        <f>'数据-汇总表'!E5</f>
        <v>0</v>
      </c>
      <c r="E12" s="757">
        <f>'数据-取费表'!B27</f>
        <v>0</v>
      </c>
      <c r="F12" s="755"/>
      <c r="G12" s="759"/>
    </row>
    <row r="13" spans="1:25" s="2185" customFormat="1" ht="13.5" customHeight="1">
      <c r="A13" s="2478" t="s">
        <v>2450</v>
      </c>
      <c r="B13" s="756" t="s">
        <v>612</v>
      </c>
      <c r="C13" s="757">
        <f>ROUND(D13*E13/10000,0)</f>
        <v>2956</v>
      </c>
      <c r="D13" s="758">
        <f>'数据-汇总表'!E6</f>
        <v>147819.42000000001</v>
      </c>
      <c r="E13" s="757">
        <f>'数据-取费表'!B28</f>
        <v>200</v>
      </c>
      <c r="F13" s="755"/>
      <c r="G13" s="759"/>
    </row>
    <row r="14" spans="1:25" s="2185" customFormat="1" ht="13.5" customHeight="1">
      <c r="A14" s="2471" t="s">
        <v>2444</v>
      </c>
      <c r="B14" s="2477" t="s">
        <v>2447</v>
      </c>
      <c r="C14" s="2475"/>
      <c r="D14" s="758"/>
      <c r="E14" s="757"/>
      <c r="F14" s="2476"/>
      <c r="G14" s="2479" t="s">
        <v>2452</v>
      </c>
    </row>
    <row r="15" spans="1:25" s="2185" customFormat="1" ht="13.5" customHeight="1">
      <c r="A15" s="2471" t="s">
        <v>2449</v>
      </c>
      <c r="B15" s="2477" t="s">
        <v>2448</v>
      </c>
      <c r="C15" s="2475"/>
      <c r="D15" s="758"/>
      <c r="E15" s="757"/>
      <c r="F15" s="2476"/>
      <c r="G15" s="2479" t="s">
        <v>2453</v>
      </c>
    </row>
    <row r="16" spans="1:25" s="2186" customFormat="1" ht="48">
      <c r="A16" s="2471">
        <v>3</v>
      </c>
      <c r="B16" s="748" t="s">
        <v>615</v>
      </c>
      <c r="C16" s="2475"/>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591</v>
      </c>
      <c r="D18" s="762"/>
      <c r="E18" s="763"/>
      <c r="F18" s="761">
        <f>'数据-取费表'!Q16</f>
        <v>0.2</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3547</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3547</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3043</v>
      </c>
      <c r="D22" s="760"/>
      <c r="E22" s="749"/>
      <c r="F22" s="766">
        <f>'数据-取费表'!AP16</f>
        <v>0.85799999999999998</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3043</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c r="E1" s="2628"/>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88" t="s">
        <v>522</v>
      </c>
      <c r="D4" s="3389"/>
      <c r="E4" s="3412" t="s">
        <v>523</v>
      </c>
      <c r="F4" s="3413"/>
      <c r="G4" s="3388" t="s">
        <v>524</v>
      </c>
      <c r="H4" s="3389"/>
      <c r="I4" s="3388" t="s">
        <v>525</v>
      </c>
      <c r="J4" s="3389"/>
      <c r="K4" s="853" t="s">
        <v>526</v>
      </c>
      <c r="L4" s="2135"/>
      <c r="M4" s="2136"/>
      <c r="N4" s="2136"/>
      <c r="O4" s="2136"/>
      <c r="P4" s="3390" t="s">
        <v>527</v>
      </c>
      <c r="Q4" s="3391"/>
      <c r="R4" s="3376" t="s">
        <v>523</v>
      </c>
      <c r="S4" s="3377"/>
      <c r="T4" s="3376" t="s">
        <v>524</v>
      </c>
      <c r="U4" s="3377"/>
      <c r="V4" s="3396" t="s">
        <v>525</v>
      </c>
      <c r="W4" s="3396"/>
      <c r="X4" s="1568"/>
      <c r="Y4" s="3376" t="s">
        <v>527</v>
      </c>
      <c r="Z4" s="3377"/>
      <c r="AA4" s="3371" t="s">
        <v>523</v>
      </c>
      <c r="AB4" s="3371" t="s">
        <v>524</v>
      </c>
      <c r="AC4" s="3371" t="s">
        <v>525</v>
      </c>
    </row>
    <row r="5" spans="1:29" ht="15">
      <c r="A5" s="515"/>
      <c r="B5" s="516"/>
      <c r="C5" s="3399" t="s">
        <v>2933</v>
      </c>
      <c r="D5" s="3400"/>
      <c r="E5" s="3414" t="s">
        <v>2934</v>
      </c>
      <c r="F5" s="3415"/>
      <c r="G5" s="3399" t="s">
        <v>2935</v>
      </c>
      <c r="H5" s="3400"/>
      <c r="I5" s="3399" t="s">
        <v>2936</v>
      </c>
      <c r="J5" s="3400"/>
      <c r="K5" s="854"/>
      <c r="L5" s="2135"/>
      <c r="M5" s="2136"/>
      <c r="N5" s="2136"/>
      <c r="O5" s="2136"/>
      <c r="P5" s="3392"/>
      <c r="Q5" s="3393"/>
      <c r="R5" s="3378"/>
      <c r="S5" s="3379"/>
      <c r="T5" s="3378"/>
      <c r="U5" s="3379"/>
      <c r="V5" s="3396"/>
      <c r="W5" s="3396"/>
      <c r="X5" s="1568"/>
      <c r="Y5" s="3378"/>
      <c r="Z5" s="3379"/>
      <c r="AA5" s="3372"/>
      <c r="AB5" s="3372"/>
      <c r="AC5" s="3372"/>
    </row>
    <row r="6" spans="1:29" ht="15.75" thickBot="1">
      <c r="A6" s="517"/>
      <c r="B6" s="518"/>
      <c r="C6" s="3397" t="s">
        <v>2937</v>
      </c>
      <c r="D6" s="3398"/>
      <c r="E6" s="3416" t="s">
        <v>2937</v>
      </c>
      <c r="F6" s="3417"/>
      <c r="G6" s="3397" t="s">
        <v>2937</v>
      </c>
      <c r="H6" s="3398"/>
      <c r="I6" s="3397" t="s">
        <v>2937</v>
      </c>
      <c r="J6" s="3398"/>
      <c r="K6" s="854" t="s">
        <v>528</v>
      </c>
      <c r="L6" s="2135"/>
      <c r="M6" s="2136"/>
      <c r="N6" s="2136"/>
      <c r="O6" s="2136"/>
      <c r="P6" s="3394"/>
      <c r="Q6" s="3395"/>
      <c r="R6" s="3378"/>
      <c r="S6" s="3379"/>
      <c r="T6" s="3380"/>
      <c r="U6" s="3381"/>
      <c r="V6" s="3396"/>
      <c r="W6" s="3396"/>
      <c r="X6" s="1568"/>
      <c r="Y6" s="3380"/>
      <c r="Z6" s="3381"/>
      <c r="AA6" s="3373"/>
      <c r="AB6" s="3373"/>
      <c r="AC6" s="3373"/>
    </row>
    <row r="7" spans="1:29" s="1220" customFormat="1" ht="15.75" thickBot="1">
      <c r="A7" s="2913"/>
      <c r="B7" s="2920" t="s">
        <v>529</v>
      </c>
      <c r="C7" s="519">
        <f>'数据-取费表'!B2</f>
        <v>43390</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74" t="s">
        <v>530</v>
      </c>
      <c r="Q7" s="3383"/>
      <c r="R7" s="1569" t="s">
        <v>13</v>
      </c>
      <c r="S7" s="1570">
        <f t="shared" ref="S7:S15" si="0">F7</f>
        <v>0</v>
      </c>
      <c r="T7" s="1569" t="s">
        <v>13</v>
      </c>
      <c r="U7" s="1570">
        <f t="shared" ref="U7:U15" si="1">H7</f>
        <v>0</v>
      </c>
      <c r="V7" s="1569" t="s">
        <v>13</v>
      </c>
      <c r="W7" s="1570">
        <f t="shared" ref="W7:W15" si="2">J7</f>
        <v>0</v>
      </c>
      <c r="X7" s="1571"/>
      <c r="Y7" s="3374" t="s">
        <v>530</v>
      </c>
      <c r="Z7" s="3375"/>
      <c r="AA7" s="1572" t="e">
        <f>D7/F7</f>
        <v>#DIV/0!</v>
      </c>
      <c r="AB7" s="1572" t="e">
        <f>D7/H7</f>
        <v>#DIV/0!</v>
      </c>
      <c r="AC7" s="1572" t="e">
        <f>D7/J7</f>
        <v>#DIV/0!</v>
      </c>
    </row>
    <row r="8" spans="1:29" s="1220" customFormat="1" ht="15.75" thickBot="1">
      <c r="A8" s="2914"/>
      <c r="B8" s="2921"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74" t="s">
        <v>533</v>
      </c>
      <c r="Q8" s="3375"/>
      <c r="R8" s="1569" t="s">
        <v>13</v>
      </c>
      <c r="S8" s="1570">
        <f t="shared" si="0"/>
        <v>0</v>
      </c>
      <c r="T8" s="1569" t="s">
        <v>13</v>
      </c>
      <c r="U8" s="1570">
        <f t="shared" si="1"/>
        <v>0</v>
      </c>
      <c r="V8" s="1569" t="s">
        <v>13</v>
      </c>
      <c r="W8" s="1570">
        <f t="shared" si="2"/>
        <v>0</v>
      </c>
      <c r="X8" s="1571"/>
      <c r="Y8" s="3374" t="s">
        <v>533</v>
      </c>
      <c r="Z8" s="3375"/>
      <c r="AA8" s="1572" t="e">
        <f t="shared" ref="AA8:AA46" si="3">D8/F8</f>
        <v>#DIV/0!</v>
      </c>
      <c r="AB8" s="1572" t="e">
        <f t="shared" ref="AB8:AB46" si="4">D8/H8</f>
        <v>#DIV/0!</v>
      </c>
      <c r="AC8" s="1572" t="e">
        <f t="shared" ref="AC8:AC46" si="5">D8/J8</f>
        <v>#DIV/0!</v>
      </c>
    </row>
    <row r="9" spans="1:29" s="1220" customFormat="1" ht="15">
      <c r="A9" s="2915"/>
      <c r="B9" s="2922" t="s">
        <v>2759</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82" t="s">
        <v>535</v>
      </c>
      <c r="Q9" s="1151" t="str">
        <f t="shared" ref="Q9:Q15" si="6">B9</f>
        <v>用途</v>
      </c>
      <c r="R9" s="1569" t="s">
        <v>8</v>
      </c>
      <c r="S9" s="1570">
        <f t="shared" si="0"/>
        <v>100</v>
      </c>
      <c r="T9" s="1569" t="s">
        <v>8</v>
      </c>
      <c r="U9" s="1570">
        <f t="shared" si="1"/>
        <v>100</v>
      </c>
      <c r="V9" s="1569" t="s">
        <v>8</v>
      </c>
      <c r="W9" s="1570">
        <f t="shared" si="2"/>
        <v>100</v>
      </c>
      <c r="X9" s="1571"/>
      <c r="Y9" s="3339"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917"/>
      <c r="B11" s="2921"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82"/>
      <c r="Q11" s="1151" t="str">
        <f t="shared" si="6"/>
        <v>容积率</v>
      </c>
      <c r="R11" s="1569" t="s">
        <v>11</v>
      </c>
      <c r="S11" s="1570" t="e">
        <f t="shared" si="0"/>
        <v>#N/A</v>
      </c>
      <c r="T11" s="1569" t="s">
        <v>11</v>
      </c>
      <c r="U11" s="1570" t="e">
        <f t="shared" si="1"/>
        <v>#N/A</v>
      </c>
      <c r="V11" s="1569" t="s">
        <v>11</v>
      </c>
      <c r="W11" s="1570" t="e">
        <f t="shared" si="2"/>
        <v>#N/A</v>
      </c>
      <c r="X11" s="1571"/>
      <c r="Y11" s="3339"/>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2"/>
      <c r="Q12" s="1151">
        <f t="shared" si="6"/>
        <v>111</v>
      </c>
      <c r="R12" s="1569" t="s">
        <v>11</v>
      </c>
      <c r="S12" s="1570">
        <f t="shared" si="0"/>
        <v>100</v>
      </c>
      <c r="T12" s="1569" t="s">
        <v>11</v>
      </c>
      <c r="U12" s="1570">
        <f t="shared" si="1"/>
        <v>100</v>
      </c>
      <c r="V12" s="1569" t="s">
        <v>11</v>
      </c>
      <c r="W12" s="1570">
        <f t="shared" si="2"/>
        <v>100</v>
      </c>
      <c r="X12" s="1571"/>
      <c r="Y12" s="3339"/>
      <c r="Z12" s="115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2"/>
      <c r="Q13" s="1151">
        <f t="shared" si="6"/>
        <v>111</v>
      </c>
      <c r="R13" s="1569" t="s">
        <v>11</v>
      </c>
      <c r="S13" s="1570">
        <f t="shared" si="0"/>
        <v>100</v>
      </c>
      <c r="T13" s="1569" t="s">
        <v>11</v>
      </c>
      <c r="U13" s="1570">
        <f t="shared" si="1"/>
        <v>100</v>
      </c>
      <c r="V13" s="1569" t="s">
        <v>11</v>
      </c>
      <c r="W13" s="1570">
        <f t="shared" si="2"/>
        <v>100</v>
      </c>
      <c r="X13" s="1571"/>
      <c r="Y13" s="3339"/>
      <c r="Z13" s="115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2"/>
      <c r="Q14" s="1151">
        <f t="shared" si="6"/>
        <v>111</v>
      </c>
      <c r="R14" s="1569" t="s">
        <v>11</v>
      </c>
      <c r="S14" s="1570">
        <f t="shared" si="0"/>
        <v>100</v>
      </c>
      <c r="T14" s="1569" t="s">
        <v>11</v>
      </c>
      <c r="U14" s="1570">
        <f t="shared" si="1"/>
        <v>100</v>
      </c>
      <c r="V14" s="1569" t="s">
        <v>11</v>
      </c>
      <c r="W14" s="1570">
        <f t="shared" si="2"/>
        <v>100</v>
      </c>
      <c r="X14" s="1571"/>
      <c r="Y14" s="3339"/>
      <c r="Z14" s="1150">
        <f t="shared" si="7"/>
        <v>111</v>
      </c>
      <c r="AA14" s="1572">
        <f t="shared" si="3"/>
        <v>1</v>
      </c>
      <c r="AB14" s="1572">
        <f t="shared" si="4"/>
        <v>1</v>
      </c>
      <c r="AC14" s="1572">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84" t="s">
        <v>540</v>
      </c>
      <c r="Q15" s="1573" t="str">
        <f t="shared" si="6"/>
        <v>居住社区成熟度</v>
      </c>
      <c r="R15" s="1574" t="s">
        <v>11</v>
      </c>
      <c r="S15" s="1575">
        <f t="shared" si="0"/>
        <v>100</v>
      </c>
      <c r="T15" s="1574" t="s">
        <v>11</v>
      </c>
      <c r="U15" s="1575">
        <f t="shared" si="1"/>
        <v>100</v>
      </c>
      <c r="V15" s="1574" t="s">
        <v>11</v>
      </c>
      <c r="W15" s="1575">
        <f t="shared" si="2"/>
        <v>100</v>
      </c>
      <c r="X15" s="1568"/>
      <c r="Y15" s="338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85"/>
      <c r="Q17" s="1573" t="str">
        <f>B17</f>
        <v>交通便捷度</v>
      </c>
      <c r="R17" s="1574" t="s">
        <v>11</v>
      </c>
      <c r="S17" s="1575">
        <f>F17</f>
        <v>100</v>
      </c>
      <c r="T17" s="1574" t="s">
        <v>11</v>
      </c>
      <c r="U17" s="1575">
        <f>H17</f>
        <v>100</v>
      </c>
      <c r="V17" s="1574" t="s">
        <v>11</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85"/>
      <c r="Q18" s="1573"/>
      <c r="R18" s="1574"/>
      <c r="S18" s="1575"/>
      <c r="T18" s="1574"/>
      <c r="U18" s="1575"/>
      <c r="V18" s="1574"/>
      <c r="W18" s="1575"/>
      <c r="X18" s="1568"/>
      <c r="Y18" s="3385"/>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85"/>
      <c r="Q19" s="1573" t="str">
        <f>B19</f>
        <v>公共配套设施</v>
      </c>
      <c r="R19" s="1574" t="s">
        <v>11</v>
      </c>
      <c r="S19" s="1575">
        <f>F19</f>
        <v>100</v>
      </c>
      <c r="T19" s="1574" t="s">
        <v>11</v>
      </c>
      <c r="U19" s="1575">
        <f>H19</f>
        <v>100</v>
      </c>
      <c r="V19" s="1574" t="s">
        <v>11</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85"/>
      <c r="Q20" s="1573"/>
      <c r="R20" s="1574"/>
      <c r="S20" s="1575"/>
      <c r="T20" s="1574"/>
      <c r="U20" s="1575"/>
      <c r="V20" s="1574"/>
      <c r="W20" s="1575"/>
      <c r="X20" s="1568"/>
      <c r="Y20" s="3385"/>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85"/>
      <c r="Q21" s="2581" t="str">
        <f>B21</f>
        <v>基础设施水平</v>
      </c>
      <c r="R21" s="1574" t="s">
        <v>11</v>
      </c>
      <c r="S21" s="1575">
        <f>F21</f>
        <v>100</v>
      </c>
      <c r="T21" s="1574" t="s">
        <v>11</v>
      </c>
      <c r="U21" s="1575">
        <f>H21</f>
        <v>100</v>
      </c>
      <c r="V21" s="1574" t="s">
        <v>11</v>
      </c>
      <c r="W21" s="1575">
        <f>J21</f>
        <v>100</v>
      </c>
      <c r="X21" s="2583"/>
      <c r="Y21" s="3385"/>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385"/>
      <c r="Q22" s="2581"/>
      <c r="R22" s="1574"/>
      <c r="S22" s="1575"/>
      <c r="T22" s="1574"/>
      <c r="U22" s="1575"/>
      <c r="V22" s="1574"/>
      <c r="W22" s="1575"/>
      <c r="X22" s="2583"/>
      <c r="Y22" s="3385"/>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85"/>
      <c r="Q23" s="1573" t="str">
        <f>B23</f>
        <v>自然及人文环境</v>
      </c>
      <c r="R23" s="1574" t="s">
        <v>11</v>
      </c>
      <c r="S23" s="1575">
        <f>F23</f>
        <v>100</v>
      </c>
      <c r="T23" s="1574" t="s">
        <v>11</v>
      </c>
      <c r="U23" s="1575">
        <f>H23</f>
        <v>100</v>
      </c>
      <c r="V23" s="1574" t="s">
        <v>11</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85"/>
      <c r="Q24" s="1573"/>
      <c r="R24" s="1574"/>
      <c r="S24" s="1575"/>
      <c r="T24" s="1574"/>
      <c r="U24" s="1575"/>
      <c r="V24" s="1574"/>
      <c r="W24" s="1575"/>
      <c r="X24" s="1568"/>
      <c r="Y24" s="3385"/>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85"/>
      <c r="Q25" s="1573" t="str">
        <f t="shared" ref="Q25:Q46" si="11">B25</f>
        <v>楼层-1</v>
      </c>
      <c r="R25" s="1574" t="s">
        <v>11</v>
      </c>
      <c r="S25" s="1575">
        <f>F25</f>
        <v>100</v>
      </c>
      <c r="T25" s="1574" t="s">
        <v>11</v>
      </c>
      <c r="U25" s="1575">
        <f>H25</f>
        <v>100</v>
      </c>
      <c r="V25" s="1574" t="s">
        <v>11</v>
      </c>
      <c r="W25" s="1575">
        <f>J25</f>
        <v>100</v>
      </c>
      <c r="X25" s="1568"/>
      <c r="Y25" s="338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85"/>
      <c r="Q26" s="1573" t="str">
        <f t="shared" si="11"/>
        <v>朝向</v>
      </c>
      <c r="R26" s="1574" t="s">
        <v>11</v>
      </c>
      <c r="S26" s="1575">
        <f>F26</f>
        <v>100</v>
      </c>
      <c r="T26" s="1574" t="s">
        <v>11</v>
      </c>
      <c r="U26" s="1575">
        <f>H26</f>
        <v>100</v>
      </c>
      <c r="V26" s="1574" t="s">
        <v>11</v>
      </c>
      <c r="W26" s="1575">
        <f>J26</f>
        <v>100</v>
      </c>
      <c r="X26" s="1568"/>
      <c r="Y26" s="338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85"/>
      <c r="Q27" s="1151" t="str">
        <f t="shared" si="11"/>
        <v>道路级别</v>
      </c>
      <c r="R27" s="1569" t="s">
        <v>11</v>
      </c>
      <c r="S27" s="1570">
        <f>F27</f>
        <v>100</v>
      </c>
      <c r="T27" s="1569" t="s">
        <v>11</v>
      </c>
      <c r="U27" s="1570">
        <f>H27</f>
        <v>100</v>
      </c>
      <c r="V27" s="1569" t="s">
        <v>11</v>
      </c>
      <c r="W27" s="1570">
        <f>J27</f>
        <v>100</v>
      </c>
      <c r="X27" s="1571"/>
      <c r="Y27" s="338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85"/>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85"/>
      <c r="Q29" s="1573">
        <f t="shared" si="11"/>
        <v>111</v>
      </c>
      <c r="R29" s="1574" t="s">
        <v>11</v>
      </c>
      <c r="S29" s="1575">
        <f t="shared" si="12"/>
        <v>100</v>
      </c>
      <c r="T29" s="1574" t="s">
        <v>11</v>
      </c>
      <c r="U29" s="1575">
        <f t="shared" si="13"/>
        <v>100</v>
      </c>
      <c r="V29" s="1574" t="s">
        <v>11</v>
      </c>
      <c r="W29" s="1575">
        <f t="shared" si="14"/>
        <v>100</v>
      </c>
      <c r="X29" s="1568"/>
      <c r="Y29" s="33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85"/>
      <c r="Q30" s="1573">
        <f t="shared" si="11"/>
        <v>111</v>
      </c>
      <c r="R30" s="1574" t="s">
        <v>11</v>
      </c>
      <c r="S30" s="1575">
        <f t="shared" si="12"/>
        <v>100</v>
      </c>
      <c r="T30" s="1574" t="s">
        <v>11</v>
      </c>
      <c r="U30" s="1575">
        <f t="shared" si="13"/>
        <v>100</v>
      </c>
      <c r="V30" s="1574" t="s">
        <v>11</v>
      </c>
      <c r="W30" s="1575">
        <f t="shared" si="14"/>
        <v>100</v>
      </c>
      <c r="X30" s="1568"/>
      <c r="Y30" s="338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85"/>
      <c r="Q31" s="1573">
        <f t="shared" si="11"/>
        <v>111</v>
      </c>
      <c r="R31" s="1574" t="s">
        <v>11</v>
      </c>
      <c r="S31" s="1575">
        <f t="shared" si="12"/>
        <v>100</v>
      </c>
      <c r="T31" s="1574" t="s">
        <v>11</v>
      </c>
      <c r="U31" s="1575">
        <f t="shared" si="13"/>
        <v>100</v>
      </c>
      <c r="V31" s="1574" t="s">
        <v>11</v>
      </c>
      <c r="W31" s="1575">
        <f t="shared" si="14"/>
        <v>100</v>
      </c>
      <c r="X31" s="1568"/>
      <c r="Y31" s="3385"/>
      <c r="Z31" s="1576">
        <f t="shared" si="15"/>
        <v>111</v>
      </c>
      <c r="AA31" s="1577">
        <f t="shared" si="3"/>
        <v>1</v>
      </c>
      <c r="AB31" s="1577">
        <f t="shared" si="4"/>
        <v>1</v>
      </c>
      <c r="AC31" s="1577">
        <f t="shared" si="5"/>
        <v>1</v>
      </c>
    </row>
    <row r="32" spans="1:29" ht="15">
      <c r="A32" s="2909"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86" t="s">
        <v>550</v>
      </c>
      <c r="Q32" s="1573" t="str">
        <f t="shared" si="11"/>
        <v>建筑类型</v>
      </c>
      <c r="R32" s="1574" t="s">
        <v>11</v>
      </c>
      <c r="S32" s="1575">
        <f t="shared" si="12"/>
        <v>100</v>
      </c>
      <c r="T32" s="1574" t="s">
        <v>11</v>
      </c>
      <c r="U32" s="1575">
        <f t="shared" si="13"/>
        <v>100</v>
      </c>
      <c r="V32" s="1574" t="s">
        <v>11</v>
      </c>
      <c r="W32" s="1575">
        <f t="shared" si="14"/>
        <v>100</v>
      </c>
      <c r="X32" s="1568"/>
      <c r="Y32" s="3387"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387"/>
      <c r="Q33" s="1606" t="str">
        <f t="shared" si="11"/>
        <v>项目建筑规模</v>
      </c>
      <c r="R33" s="1578" t="s">
        <v>11</v>
      </c>
      <c r="S33" s="1579" t="e">
        <f t="shared" si="12"/>
        <v>#N/A</v>
      </c>
      <c r="T33" s="1578" t="s">
        <v>11</v>
      </c>
      <c r="U33" s="1579" t="e">
        <f t="shared" si="13"/>
        <v>#N/A</v>
      </c>
      <c r="V33" s="1578" t="s">
        <v>11</v>
      </c>
      <c r="W33" s="1579" t="e">
        <f t="shared" si="14"/>
        <v>#N/A</v>
      </c>
      <c r="X33" s="1580"/>
      <c r="Y33" s="338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87"/>
      <c r="Q34" s="1573" t="str">
        <f t="shared" si="11"/>
        <v>建筑结构</v>
      </c>
      <c r="R34" s="1574" t="s">
        <v>11</v>
      </c>
      <c r="S34" s="1575">
        <f t="shared" si="12"/>
        <v>100</v>
      </c>
      <c r="T34" s="1574" t="s">
        <v>11</v>
      </c>
      <c r="U34" s="1575">
        <f t="shared" si="13"/>
        <v>100</v>
      </c>
      <c r="V34" s="1574" t="s">
        <v>11</v>
      </c>
      <c r="W34" s="1575">
        <f t="shared" si="14"/>
        <v>100</v>
      </c>
      <c r="X34" s="1568"/>
      <c r="Y34" s="3387"/>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87"/>
      <c r="Q35" s="1573" t="str">
        <f t="shared" si="11"/>
        <v>建筑品质</v>
      </c>
      <c r="R35" s="1574" t="s">
        <v>11</v>
      </c>
      <c r="S35" s="1575">
        <f t="shared" si="12"/>
        <v>100</v>
      </c>
      <c r="T35" s="1574" t="s">
        <v>11</v>
      </c>
      <c r="U35" s="1575">
        <f t="shared" si="13"/>
        <v>100</v>
      </c>
      <c r="V35" s="1574" t="s">
        <v>11</v>
      </c>
      <c r="W35" s="1575">
        <f t="shared" si="14"/>
        <v>100</v>
      </c>
      <c r="X35" s="1568"/>
      <c r="Y35" s="3387"/>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87"/>
      <c r="Q36" s="1573" t="str">
        <f t="shared" si="11"/>
        <v>公共部分装修</v>
      </c>
      <c r="R36" s="1574" t="s">
        <v>11</v>
      </c>
      <c r="S36" s="1575">
        <f t="shared" si="12"/>
        <v>100</v>
      </c>
      <c r="T36" s="1574" t="s">
        <v>11</v>
      </c>
      <c r="U36" s="1575">
        <f t="shared" si="13"/>
        <v>100</v>
      </c>
      <c r="V36" s="1574" t="s">
        <v>11</v>
      </c>
      <c r="W36" s="1575">
        <f t="shared" si="14"/>
        <v>100</v>
      </c>
      <c r="X36" s="1568"/>
      <c r="Y36" s="3387"/>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387"/>
      <c r="Q37" s="1151" t="str">
        <f t="shared" si="11"/>
        <v>成新度</v>
      </c>
      <c r="R37" s="1569" t="s">
        <v>11</v>
      </c>
      <c r="S37" s="1570" t="e">
        <f t="shared" si="12"/>
        <v>#N/A</v>
      </c>
      <c r="T37" s="1569" t="s">
        <v>11</v>
      </c>
      <c r="U37" s="1570" t="e">
        <f t="shared" si="13"/>
        <v>#N/A</v>
      </c>
      <c r="V37" s="1569" t="s">
        <v>11</v>
      </c>
      <c r="W37" s="1570" t="e">
        <f t="shared" si="14"/>
        <v>#N/A</v>
      </c>
      <c r="X37" s="1571"/>
      <c r="Y37" s="3387"/>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87" t="s">
        <v>550</v>
      </c>
      <c r="Q38" s="1573" t="str">
        <f t="shared" si="11"/>
        <v>物业管理</v>
      </c>
      <c r="R38" s="1574" t="s">
        <v>11</v>
      </c>
      <c r="S38" s="1575">
        <f t="shared" si="12"/>
        <v>100</v>
      </c>
      <c r="T38" s="1574" t="s">
        <v>11</v>
      </c>
      <c r="U38" s="1575">
        <f t="shared" si="13"/>
        <v>100</v>
      </c>
      <c r="V38" s="1574" t="s">
        <v>11</v>
      </c>
      <c r="W38" s="1575">
        <f t="shared" si="14"/>
        <v>100</v>
      </c>
      <c r="X38" s="1568"/>
      <c r="Y38" s="3387" t="s">
        <v>550</v>
      </c>
      <c r="Z38" s="1576" t="str">
        <f t="shared" si="15"/>
        <v>物业管理</v>
      </c>
      <c r="AA38" s="1577">
        <f t="shared" si="3"/>
        <v>1</v>
      </c>
      <c r="AB38" s="1577">
        <f t="shared" si="4"/>
        <v>1</v>
      </c>
      <c r="AC38" s="1577">
        <f t="shared" si="5"/>
        <v>1</v>
      </c>
    </row>
    <row r="39" spans="1:29" ht="15">
      <c r="A39" s="594"/>
      <c r="B39" s="1897"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87"/>
      <c r="Q39" s="1573" t="str">
        <f t="shared" si="11"/>
        <v>市政基础设施</v>
      </c>
      <c r="R39" s="1574" t="s">
        <v>11</v>
      </c>
      <c r="S39" s="1575">
        <f t="shared" si="12"/>
        <v>100</v>
      </c>
      <c r="T39" s="1574" t="s">
        <v>11</v>
      </c>
      <c r="U39" s="1575">
        <f t="shared" si="13"/>
        <v>100</v>
      </c>
      <c r="V39" s="1574" t="s">
        <v>11</v>
      </c>
      <c r="W39" s="1575">
        <f t="shared" si="14"/>
        <v>100</v>
      </c>
      <c r="X39" s="1568"/>
      <c r="Y39" s="3387"/>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87"/>
      <c r="Q40" s="1573" t="str">
        <f t="shared" si="11"/>
        <v>房型</v>
      </c>
      <c r="R40" s="1574" t="s">
        <v>11</v>
      </c>
      <c r="S40" s="1575">
        <f t="shared" si="12"/>
        <v>100</v>
      </c>
      <c r="T40" s="1574" t="s">
        <v>11</v>
      </c>
      <c r="U40" s="1575">
        <f t="shared" si="13"/>
        <v>100</v>
      </c>
      <c r="V40" s="1574" t="s">
        <v>11</v>
      </c>
      <c r="W40" s="1575">
        <f t="shared" si="14"/>
        <v>100</v>
      </c>
      <c r="X40" s="1568"/>
      <c r="Y40" s="3387"/>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87"/>
      <c r="Q41" s="1606" t="str">
        <f t="shared" si="11"/>
        <v>单套/主力户型建筑面积</v>
      </c>
      <c r="R41" s="1578" t="s">
        <v>11</v>
      </c>
      <c r="S41" s="1579">
        <f t="shared" si="12"/>
        <v>100</v>
      </c>
      <c r="T41" s="1578" t="s">
        <v>11</v>
      </c>
      <c r="U41" s="1579">
        <f t="shared" si="13"/>
        <v>100</v>
      </c>
      <c r="V41" s="1578" t="s">
        <v>11</v>
      </c>
      <c r="W41" s="1579">
        <f t="shared" si="14"/>
        <v>100</v>
      </c>
      <c r="X41" s="1580"/>
      <c r="Y41" s="3387"/>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87"/>
      <c r="Q42" s="1573" t="str">
        <f t="shared" si="11"/>
        <v>内部装修</v>
      </c>
      <c r="R42" s="1574" t="s">
        <v>11</v>
      </c>
      <c r="S42" s="1575">
        <f t="shared" si="12"/>
        <v>100</v>
      </c>
      <c r="T42" s="1574" t="s">
        <v>11</v>
      </c>
      <c r="U42" s="1575">
        <f t="shared" si="13"/>
        <v>100</v>
      </c>
      <c r="V42" s="1574" t="s">
        <v>11</v>
      </c>
      <c r="W42" s="1575">
        <f t="shared" si="14"/>
        <v>100</v>
      </c>
      <c r="X42" s="1568"/>
      <c r="Y42" s="3387"/>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87"/>
      <c r="Q43" s="1573" t="str">
        <f t="shared" si="11"/>
        <v>内部装修维护情况</v>
      </c>
      <c r="R43" s="1574" t="s">
        <v>11</v>
      </c>
      <c r="S43" s="1575">
        <f t="shared" si="12"/>
        <v>100</v>
      </c>
      <c r="T43" s="1574" t="s">
        <v>11</v>
      </c>
      <c r="U43" s="1575">
        <f t="shared" si="13"/>
        <v>100</v>
      </c>
      <c r="V43" s="1574" t="s">
        <v>11</v>
      </c>
      <c r="W43" s="1575">
        <f t="shared" si="14"/>
        <v>100</v>
      </c>
      <c r="X43" s="1568"/>
      <c r="Y43" s="33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87"/>
      <c r="Q44" s="1151">
        <f t="shared" si="11"/>
        <v>111</v>
      </c>
      <c r="R44" s="1569" t="s">
        <v>11</v>
      </c>
      <c r="S44" s="1570">
        <f t="shared" si="12"/>
        <v>100</v>
      </c>
      <c r="T44" s="1569" t="s">
        <v>11</v>
      </c>
      <c r="U44" s="1570">
        <f t="shared" si="13"/>
        <v>100</v>
      </c>
      <c r="V44" s="1569" t="s">
        <v>11</v>
      </c>
      <c r="W44" s="1570">
        <f t="shared" si="14"/>
        <v>100</v>
      </c>
      <c r="X44" s="1571"/>
      <c r="Y44" s="33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87"/>
      <c r="Q45" s="1573">
        <f t="shared" si="11"/>
        <v>111</v>
      </c>
      <c r="R45" s="1574" t="s">
        <v>11</v>
      </c>
      <c r="S45" s="1575">
        <f t="shared" si="12"/>
        <v>100</v>
      </c>
      <c r="T45" s="1574" t="s">
        <v>11</v>
      </c>
      <c r="U45" s="1575">
        <f t="shared" si="13"/>
        <v>100</v>
      </c>
      <c r="V45" s="1574" t="s">
        <v>11</v>
      </c>
      <c r="W45" s="1575">
        <f t="shared" si="14"/>
        <v>100</v>
      </c>
      <c r="X45" s="1568"/>
      <c r="Y45" s="3387"/>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83"/>
      <c r="Q46" s="1573">
        <f t="shared" si="11"/>
        <v>111</v>
      </c>
      <c r="R46" s="1574" t="s">
        <v>10</v>
      </c>
      <c r="S46" s="1575">
        <f t="shared" si="12"/>
        <v>100</v>
      </c>
      <c r="T46" s="1574" t="s">
        <v>10</v>
      </c>
      <c r="U46" s="1575">
        <f t="shared" si="13"/>
        <v>100</v>
      </c>
      <c r="V46" s="1574" t="s">
        <v>10</v>
      </c>
      <c r="W46" s="1575">
        <f t="shared" si="14"/>
        <v>100</v>
      </c>
      <c r="X46" s="1568"/>
      <c r="Y46" s="3483"/>
      <c r="Z46" s="1576">
        <f t="shared" si="15"/>
        <v>111</v>
      </c>
      <c r="AA46" s="1577">
        <f t="shared" si="3"/>
        <v>1</v>
      </c>
      <c r="AB46" s="1577">
        <f t="shared" si="4"/>
        <v>1</v>
      </c>
      <c r="AC46" s="1577">
        <f t="shared" si="5"/>
        <v>1</v>
      </c>
    </row>
    <row r="47" spans="1:29" ht="15">
      <c r="A47" s="607" t="s">
        <v>736</v>
      </c>
      <c r="B47" s="887"/>
      <c r="C47" s="2629" t="s">
        <v>9</v>
      </c>
      <c r="D47" s="2630"/>
      <c r="E47" s="2631"/>
      <c r="F47" s="2632"/>
      <c r="G47" s="2633"/>
      <c r="H47" s="2634"/>
      <c r="I47" s="2631"/>
      <c r="J47" s="2634"/>
      <c r="K47" s="1607"/>
      <c r="L47" s="2146"/>
      <c r="M47" s="2147"/>
      <c r="N47" s="2136"/>
      <c r="O47" s="2147"/>
      <c r="P47" s="3382" t="str">
        <f>A47</f>
        <v>成交单价（元/平方米）</v>
      </c>
      <c r="Q47" s="3382"/>
      <c r="R47" s="3482">
        <f>E47</f>
        <v>0</v>
      </c>
      <c r="S47" s="3482"/>
      <c r="T47" s="3482">
        <f>G47</f>
        <v>0</v>
      </c>
      <c r="U47" s="3482"/>
      <c r="V47" s="3482">
        <f>I47</f>
        <v>0</v>
      </c>
      <c r="W47" s="3482"/>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08"/>
      <c r="L48" s="2146"/>
      <c r="M48" s="2147"/>
      <c r="N48" s="2147"/>
      <c r="O48" s="2147"/>
      <c r="P48" s="3382" t="str">
        <f>A48</f>
        <v>比较价格（元/平方米）</v>
      </c>
      <c r="Q48" s="3382"/>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60"/>
      <c r="Y48" s="1560"/>
      <c r="Z48" s="1560"/>
      <c r="AA48" s="1560"/>
      <c r="AB48" s="1560"/>
      <c r="AC48" s="1560"/>
    </row>
    <row r="49" spans="1:29" ht="15.75" thickBot="1">
      <c r="A49" s="621" t="s">
        <v>2939</v>
      </c>
      <c r="B49" s="622"/>
      <c r="C49" s="2638" t="e">
        <f>R49</f>
        <v>#DIV/0!</v>
      </c>
      <c r="D49" s="2638"/>
      <c r="E49" s="2638"/>
      <c r="F49" s="2638"/>
      <c r="G49" s="2638"/>
      <c r="H49" s="2638"/>
      <c r="I49" s="2638"/>
      <c r="J49" s="2638"/>
      <c r="K49" s="1609"/>
      <c r="L49" s="2146"/>
      <c r="M49" s="2147"/>
      <c r="N49" s="2147"/>
      <c r="O49" s="2147"/>
      <c r="P49" s="3403" t="str">
        <f>A49</f>
        <v>估价对象XX用房的比较价格（楼面单价，元/平方米）</v>
      </c>
      <c r="Q49" s="3404"/>
      <c r="R49" s="3481" t="e">
        <f>IF(F1="售价",ROUND(AVERAGE(R48:V48),0),ROUND(AVERAGE(R48:V48),1))</f>
        <v>#DIV/0!</v>
      </c>
      <c r="S49" s="3481"/>
      <c r="T49" s="3481"/>
      <c r="U49" s="3481"/>
      <c r="V49" s="3481"/>
      <c r="W49" s="3481"/>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88" t="s">
        <v>522</v>
      </c>
      <c r="D4" s="3389"/>
      <c r="E4" s="3412" t="s">
        <v>523</v>
      </c>
      <c r="F4" s="3413"/>
      <c r="G4" s="3388" t="s">
        <v>524</v>
      </c>
      <c r="H4" s="3389"/>
      <c r="I4" s="3388" t="s">
        <v>525</v>
      </c>
      <c r="J4" s="3389"/>
      <c r="K4" s="514" t="s">
        <v>526</v>
      </c>
      <c r="L4" s="2135"/>
      <c r="M4" s="2136"/>
      <c r="N4" s="2136"/>
      <c r="O4" s="2136"/>
      <c r="P4" s="3390" t="s">
        <v>527</v>
      </c>
      <c r="Q4" s="3391"/>
      <c r="R4" s="3376" t="s">
        <v>523</v>
      </c>
      <c r="S4" s="3377"/>
      <c r="T4" s="3376" t="s">
        <v>524</v>
      </c>
      <c r="U4" s="3377"/>
      <c r="V4" s="3396" t="s">
        <v>525</v>
      </c>
      <c r="W4" s="3396"/>
      <c r="X4" s="1568"/>
      <c r="Y4" s="3376" t="s">
        <v>527</v>
      </c>
      <c r="Z4" s="3377"/>
      <c r="AA4" s="3371" t="s">
        <v>523</v>
      </c>
      <c r="AB4" s="3396" t="s">
        <v>524</v>
      </c>
      <c r="AC4" s="3371" t="s">
        <v>525</v>
      </c>
    </row>
    <row r="5" spans="1:29" ht="15">
      <c r="A5" s="515"/>
      <c r="B5" s="516"/>
      <c r="C5" s="3399" t="s">
        <v>2933</v>
      </c>
      <c r="D5" s="3400"/>
      <c r="E5" s="3414" t="s">
        <v>2934</v>
      </c>
      <c r="F5" s="3415"/>
      <c r="G5" s="3399" t="s">
        <v>2935</v>
      </c>
      <c r="H5" s="3400"/>
      <c r="I5" s="3399" t="s">
        <v>2936</v>
      </c>
      <c r="J5" s="3400"/>
      <c r="K5" s="514"/>
      <c r="L5" s="2135"/>
      <c r="M5" s="2136"/>
      <c r="N5" s="2136"/>
      <c r="O5" s="2136"/>
      <c r="P5" s="3392"/>
      <c r="Q5" s="3393"/>
      <c r="R5" s="3378"/>
      <c r="S5" s="3379"/>
      <c r="T5" s="3378"/>
      <c r="U5" s="3379"/>
      <c r="V5" s="3396"/>
      <c r="W5" s="3396"/>
      <c r="X5" s="1568"/>
      <c r="Y5" s="3378"/>
      <c r="Z5" s="3379"/>
      <c r="AA5" s="3372"/>
      <c r="AB5" s="3396"/>
      <c r="AC5" s="3372"/>
    </row>
    <row r="6" spans="1:29" ht="15.75" thickBot="1">
      <c r="A6" s="517"/>
      <c r="B6" s="518"/>
      <c r="C6" s="3397" t="s">
        <v>2937</v>
      </c>
      <c r="D6" s="3398"/>
      <c r="E6" s="3416" t="s">
        <v>2937</v>
      </c>
      <c r="F6" s="3417"/>
      <c r="G6" s="3397" t="s">
        <v>2937</v>
      </c>
      <c r="H6" s="3398"/>
      <c r="I6" s="3397" t="s">
        <v>2937</v>
      </c>
      <c r="J6" s="3398"/>
      <c r="K6" s="514" t="s">
        <v>528</v>
      </c>
      <c r="L6" s="2135"/>
      <c r="M6" s="2136"/>
      <c r="N6" s="2136"/>
      <c r="O6" s="2136"/>
      <c r="P6" s="3394"/>
      <c r="Q6" s="3395"/>
      <c r="R6" s="3378"/>
      <c r="S6" s="3379"/>
      <c r="T6" s="3380"/>
      <c r="U6" s="3381"/>
      <c r="V6" s="3396"/>
      <c r="W6" s="3396"/>
      <c r="X6" s="1568"/>
      <c r="Y6" s="3380"/>
      <c r="Z6" s="3381"/>
      <c r="AA6" s="3373"/>
      <c r="AB6" s="3396"/>
      <c r="AC6" s="3373"/>
    </row>
    <row r="7" spans="1:29" s="1220" customFormat="1" ht="15.75" thickBot="1">
      <c r="A7" s="2913"/>
      <c r="B7" s="2920" t="s">
        <v>529</v>
      </c>
      <c r="C7" s="519">
        <f>'数据-取费表'!B2</f>
        <v>43390</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74" t="s">
        <v>530</v>
      </c>
      <c r="Q7" s="3383"/>
      <c r="R7" s="1569" t="s">
        <v>8</v>
      </c>
      <c r="S7" s="1570">
        <f t="shared" ref="S7:S15" si="0">F7</f>
        <v>0</v>
      </c>
      <c r="T7" s="1569" t="s">
        <v>8</v>
      </c>
      <c r="U7" s="1570">
        <f t="shared" ref="U7:U15" si="1">H7</f>
        <v>0</v>
      </c>
      <c r="V7" s="1569" t="s">
        <v>8</v>
      </c>
      <c r="W7" s="1570">
        <f t="shared" ref="W7:W15" si="2">J7</f>
        <v>0</v>
      </c>
      <c r="X7" s="1571"/>
      <c r="Y7" s="3374" t="s">
        <v>530</v>
      </c>
      <c r="Z7" s="3375"/>
      <c r="AA7" s="1572" t="e">
        <f>D7/F7</f>
        <v>#DIV/0!</v>
      </c>
      <c r="AB7" s="1572" t="e">
        <f>D7/H7</f>
        <v>#DIV/0!</v>
      </c>
      <c r="AC7" s="1572"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74" t="s">
        <v>533</v>
      </c>
      <c r="Q8" s="3375"/>
      <c r="R8" s="1569" t="s">
        <v>8</v>
      </c>
      <c r="S8" s="1570">
        <f t="shared" si="0"/>
        <v>0</v>
      </c>
      <c r="T8" s="1569" t="s">
        <v>8</v>
      </c>
      <c r="U8" s="1570">
        <f t="shared" si="1"/>
        <v>0</v>
      </c>
      <c r="V8" s="1569" t="s">
        <v>8</v>
      </c>
      <c r="W8" s="1570">
        <f t="shared" si="2"/>
        <v>0</v>
      </c>
      <c r="X8" s="1571"/>
      <c r="Y8" s="3374" t="s">
        <v>533</v>
      </c>
      <c r="Z8" s="3375"/>
      <c r="AA8" s="1572" t="e">
        <f t="shared" ref="AA8:AA46" si="3">D8/F8</f>
        <v>#DIV/0!</v>
      </c>
      <c r="AB8" s="1572" t="e">
        <f t="shared" ref="AB8:AB46" si="4">D8/H8</f>
        <v>#DIV/0!</v>
      </c>
      <c r="AC8" s="1572" t="e">
        <f t="shared" ref="AC8:AC46" si="5">D8/J8</f>
        <v>#DIV/0!</v>
      </c>
    </row>
    <row r="9" spans="1:29" s="1220" customFormat="1" ht="15">
      <c r="A9" s="2915"/>
      <c r="B9" s="2922" t="s">
        <v>2759</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82" t="s">
        <v>535</v>
      </c>
      <c r="Q9" s="1151" t="str">
        <f t="shared" ref="Q9:Q15" si="6">B9</f>
        <v>用途</v>
      </c>
      <c r="R9" s="1569" t="s">
        <v>8</v>
      </c>
      <c r="S9" s="1570">
        <f t="shared" si="0"/>
        <v>100</v>
      </c>
      <c r="T9" s="1569" t="s">
        <v>8</v>
      </c>
      <c r="U9" s="1570">
        <f t="shared" si="1"/>
        <v>100</v>
      </c>
      <c r="V9" s="1569" t="s">
        <v>8</v>
      </c>
      <c r="W9" s="1570">
        <f t="shared" si="2"/>
        <v>100</v>
      </c>
      <c r="X9" s="1571"/>
      <c r="Y9" s="3339"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82"/>
      <c r="Q11" s="1151" t="str">
        <f t="shared" si="6"/>
        <v>容积率</v>
      </c>
      <c r="R11" s="1569" t="s">
        <v>8</v>
      </c>
      <c r="S11" s="1570" t="e">
        <f t="shared" si="0"/>
        <v>#N/A</v>
      </c>
      <c r="T11" s="1569" t="s">
        <v>8</v>
      </c>
      <c r="U11" s="1570" t="e">
        <f t="shared" si="1"/>
        <v>#N/A</v>
      </c>
      <c r="V11" s="1569" t="s">
        <v>8</v>
      </c>
      <c r="W11" s="1570" t="e">
        <f t="shared" si="2"/>
        <v>#N/A</v>
      </c>
      <c r="X11" s="1571"/>
      <c r="Y11" s="3339"/>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82"/>
      <c r="Q12" s="1151">
        <f t="shared" si="6"/>
        <v>111</v>
      </c>
      <c r="R12" s="1569" t="s">
        <v>8</v>
      </c>
      <c r="S12" s="1570">
        <f t="shared" si="0"/>
        <v>100</v>
      </c>
      <c r="T12" s="1569" t="s">
        <v>8</v>
      </c>
      <c r="U12" s="1570">
        <f t="shared" si="1"/>
        <v>100</v>
      </c>
      <c r="V12" s="1569" t="s">
        <v>8</v>
      </c>
      <c r="W12" s="1570">
        <f t="shared" si="2"/>
        <v>100</v>
      </c>
      <c r="X12" s="1571"/>
      <c r="Y12" s="3339"/>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82"/>
      <c r="Q13" s="1151">
        <f t="shared" si="6"/>
        <v>111</v>
      </c>
      <c r="R13" s="1569" t="s">
        <v>8</v>
      </c>
      <c r="S13" s="1570">
        <f t="shared" si="0"/>
        <v>100</v>
      </c>
      <c r="T13" s="1569" t="s">
        <v>8</v>
      </c>
      <c r="U13" s="1570">
        <f t="shared" si="1"/>
        <v>100</v>
      </c>
      <c r="V13" s="1569" t="s">
        <v>8</v>
      </c>
      <c r="W13" s="1570">
        <f t="shared" si="2"/>
        <v>100</v>
      </c>
      <c r="X13" s="1571"/>
      <c r="Y13" s="3339"/>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82"/>
      <c r="Q14" s="1151">
        <f t="shared" si="6"/>
        <v>111</v>
      </c>
      <c r="R14" s="1569" t="s">
        <v>8</v>
      </c>
      <c r="S14" s="1570">
        <f t="shared" si="0"/>
        <v>100</v>
      </c>
      <c r="T14" s="1569" t="s">
        <v>8</v>
      </c>
      <c r="U14" s="1570">
        <f t="shared" si="1"/>
        <v>100</v>
      </c>
      <c r="V14" s="1569" t="s">
        <v>8</v>
      </c>
      <c r="W14" s="1570">
        <f t="shared" si="2"/>
        <v>100</v>
      </c>
      <c r="X14" s="1571"/>
      <c r="Y14" s="3339"/>
      <c r="Z14" s="1150">
        <f t="shared" si="7"/>
        <v>111</v>
      </c>
      <c r="AA14" s="1572">
        <f t="shared" si="3"/>
        <v>1</v>
      </c>
      <c r="AB14" s="1572">
        <f t="shared" si="4"/>
        <v>1</v>
      </c>
      <c r="AC14" s="1572">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84" t="s">
        <v>540</v>
      </c>
      <c r="Q15" s="1573" t="str">
        <f t="shared" si="6"/>
        <v>商业繁华度</v>
      </c>
      <c r="R15" s="1574" t="s">
        <v>8</v>
      </c>
      <c r="S15" s="1575">
        <f t="shared" si="0"/>
        <v>100</v>
      </c>
      <c r="T15" s="1574" t="s">
        <v>8</v>
      </c>
      <c r="U15" s="1575">
        <f t="shared" si="1"/>
        <v>100</v>
      </c>
      <c r="V15" s="1574" t="s">
        <v>8</v>
      </c>
      <c r="W15" s="1575">
        <f t="shared" si="2"/>
        <v>100</v>
      </c>
      <c r="X15" s="1568"/>
      <c r="Y15" s="338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5"/>
      <c r="Q18" s="1573"/>
      <c r="R18" s="1574"/>
      <c r="S18" s="1575"/>
      <c r="T18" s="1574"/>
      <c r="U18" s="1575"/>
      <c r="V18" s="1574"/>
      <c r="W18" s="1575"/>
      <c r="X18" s="1568"/>
      <c r="Y18" s="3385"/>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85"/>
      <c r="Q20" s="1573"/>
      <c r="R20" s="1574"/>
      <c r="S20" s="1575"/>
      <c r="T20" s="1574"/>
      <c r="U20" s="1575"/>
      <c r="V20" s="1574"/>
      <c r="W20" s="1575"/>
      <c r="X20" s="1568"/>
      <c r="Y20" s="3385"/>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85"/>
      <c r="Q21" s="2581" t="str">
        <f>B21</f>
        <v>基础设施水平</v>
      </c>
      <c r="R21" s="1574" t="s">
        <v>8</v>
      </c>
      <c r="S21" s="1575">
        <f>F21</f>
        <v>100</v>
      </c>
      <c r="T21" s="1574" t="s">
        <v>8</v>
      </c>
      <c r="U21" s="1575">
        <f>H21</f>
        <v>100</v>
      </c>
      <c r="V21" s="1574" t="s">
        <v>8</v>
      </c>
      <c r="W21" s="1575">
        <f>J21</f>
        <v>100</v>
      </c>
      <c r="X21" s="2583"/>
      <c r="Y21" s="3385"/>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385"/>
      <c r="Q22" s="2581"/>
      <c r="R22" s="1574"/>
      <c r="S22" s="1575"/>
      <c r="T22" s="1574"/>
      <c r="U22" s="1575"/>
      <c r="V22" s="1574"/>
      <c r="W22" s="1575"/>
      <c r="X22" s="2583"/>
      <c r="Y22" s="3385"/>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85"/>
      <c r="Q23" s="1573" t="str">
        <f>B23</f>
        <v>自然及人文环境</v>
      </c>
      <c r="R23" s="1574" t="s">
        <v>8</v>
      </c>
      <c r="S23" s="1575">
        <f>F23</f>
        <v>100</v>
      </c>
      <c r="T23" s="1574" t="s">
        <v>8</v>
      </c>
      <c r="U23" s="1575">
        <f>H23</f>
        <v>100</v>
      </c>
      <c r="V23" s="1574" t="s">
        <v>8</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85"/>
      <c r="Q24" s="1573"/>
      <c r="R24" s="1574"/>
      <c r="S24" s="1575"/>
      <c r="T24" s="1574"/>
      <c r="U24" s="1575"/>
      <c r="V24" s="1574"/>
      <c r="W24" s="1575"/>
      <c r="X24" s="1568"/>
      <c r="Y24" s="338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85"/>
      <c r="Q25" s="1573" t="str">
        <f t="shared" ref="Q25:Q46" si="11">B25</f>
        <v>临街状况</v>
      </c>
      <c r="R25" s="1574" t="s">
        <v>8</v>
      </c>
      <c r="S25" s="1575">
        <f>F25</f>
        <v>100</v>
      </c>
      <c r="T25" s="1574" t="s">
        <v>8</v>
      </c>
      <c r="U25" s="1575">
        <f>H25</f>
        <v>100</v>
      </c>
      <c r="V25" s="1574" t="s">
        <v>8</v>
      </c>
      <c r="W25" s="1575">
        <f>J25</f>
        <v>100</v>
      </c>
      <c r="X25" s="1568"/>
      <c r="Y25" s="338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85"/>
      <c r="Q26" s="1573" t="str">
        <f t="shared" si="11"/>
        <v>平面位置/可视性</v>
      </c>
      <c r="R26" s="1574" t="s">
        <v>8</v>
      </c>
      <c r="S26" s="1575">
        <f>F26</f>
        <v>100</v>
      </c>
      <c r="T26" s="1574" t="s">
        <v>8</v>
      </c>
      <c r="U26" s="1575">
        <f>H26</f>
        <v>100</v>
      </c>
      <c r="V26" s="1574" t="s">
        <v>8</v>
      </c>
      <c r="W26" s="1575">
        <f>J26</f>
        <v>100</v>
      </c>
      <c r="X26" s="1568"/>
      <c r="Y26" s="338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85"/>
      <c r="Q27" s="1151" t="str">
        <f t="shared" si="11"/>
        <v>人流量</v>
      </c>
      <c r="R27" s="1569" t="s">
        <v>8</v>
      </c>
      <c r="S27" s="1570">
        <f>F27</f>
        <v>100</v>
      </c>
      <c r="T27" s="1569" t="s">
        <v>8</v>
      </c>
      <c r="U27" s="1570">
        <f>H27</f>
        <v>100</v>
      </c>
      <c r="V27" s="1569" t="s">
        <v>8</v>
      </c>
      <c r="W27" s="1570">
        <f>J27</f>
        <v>100</v>
      </c>
      <c r="X27" s="1571"/>
      <c r="Y27" s="338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8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85"/>
      <c r="Q29" s="1573">
        <f t="shared" si="11"/>
        <v>111</v>
      </c>
      <c r="R29" s="1574" t="s">
        <v>8</v>
      </c>
      <c r="S29" s="1575">
        <f t="shared" si="12"/>
        <v>100</v>
      </c>
      <c r="T29" s="1574" t="s">
        <v>8</v>
      </c>
      <c r="U29" s="1575">
        <f t="shared" si="13"/>
        <v>100</v>
      </c>
      <c r="V29" s="1574" t="s">
        <v>8</v>
      </c>
      <c r="W29" s="1575">
        <f t="shared" si="14"/>
        <v>100</v>
      </c>
      <c r="X29" s="1568"/>
      <c r="Y29" s="33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85"/>
      <c r="Q30" s="1573">
        <f t="shared" si="11"/>
        <v>111</v>
      </c>
      <c r="R30" s="1574" t="s">
        <v>8</v>
      </c>
      <c r="S30" s="1575">
        <f t="shared" si="12"/>
        <v>100</v>
      </c>
      <c r="T30" s="1574" t="s">
        <v>8</v>
      </c>
      <c r="U30" s="1575">
        <f t="shared" si="13"/>
        <v>100</v>
      </c>
      <c r="V30" s="1574" t="s">
        <v>8</v>
      </c>
      <c r="W30" s="1575">
        <f t="shared" si="14"/>
        <v>100</v>
      </c>
      <c r="X30" s="1568"/>
      <c r="Y30" s="338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85"/>
      <c r="Q31" s="1573">
        <f t="shared" si="11"/>
        <v>111</v>
      </c>
      <c r="R31" s="1574" t="s">
        <v>8</v>
      </c>
      <c r="S31" s="1575">
        <f t="shared" si="12"/>
        <v>100</v>
      </c>
      <c r="T31" s="1574" t="s">
        <v>8</v>
      </c>
      <c r="U31" s="1575">
        <f t="shared" si="13"/>
        <v>100</v>
      </c>
      <c r="V31" s="1574" t="s">
        <v>8</v>
      </c>
      <c r="W31" s="1575">
        <f t="shared" si="14"/>
        <v>100</v>
      </c>
      <c r="X31" s="1568"/>
      <c r="Y31" s="3385"/>
      <c r="Z31" s="1576">
        <f t="shared" si="15"/>
        <v>111</v>
      </c>
      <c r="AA31" s="1577">
        <f t="shared" si="3"/>
        <v>1</v>
      </c>
      <c r="AB31" s="1577">
        <f t="shared" si="4"/>
        <v>1</v>
      </c>
      <c r="AC31" s="1577">
        <f t="shared" si="5"/>
        <v>1</v>
      </c>
    </row>
    <row r="32" spans="1:29" ht="15">
      <c r="A32" s="2909"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86" t="s">
        <v>550</v>
      </c>
      <c r="Q32" s="1573" t="str">
        <f t="shared" si="11"/>
        <v>商业类型</v>
      </c>
      <c r="R32" s="1574" t="s">
        <v>8</v>
      </c>
      <c r="S32" s="1575">
        <f t="shared" si="12"/>
        <v>100</v>
      </c>
      <c r="T32" s="1574" t="s">
        <v>8</v>
      </c>
      <c r="U32" s="1575">
        <f t="shared" si="13"/>
        <v>100</v>
      </c>
      <c r="V32" s="1574" t="s">
        <v>8</v>
      </c>
      <c r="W32" s="1575">
        <f t="shared" si="14"/>
        <v>100</v>
      </c>
      <c r="X32" s="1568"/>
      <c r="Y32" s="3387"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87"/>
      <c r="Q33" s="1606" t="str">
        <f t="shared" si="11"/>
        <v>项目建筑规模</v>
      </c>
      <c r="R33" s="1578" t="s">
        <v>8</v>
      </c>
      <c r="S33" s="1579" t="e">
        <f t="shared" si="12"/>
        <v>#N/A</v>
      </c>
      <c r="T33" s="1578" t="s">
        <v>8</v>
      </c>
      <c r="U33" s="1579" t="e">
        <f t="shared" si="13"/>
        <v>#N/A</v>
      </c>
      <c r="V33" s="1578" t="s">
        <v>8</v>
      </c>
      <c r="W33" s="1579" t="e">
        <f t="shared" si="14"/>
        <v>#N/A</v>
      </c>
      <c r="X33" s="1580"/>
      <c r="Y33" s="338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87"/>
      <c r="Q34" s="1573" t="str">
        <f t="shared" si="11"/>
        <v>建筑结构</v>
      </c>
      <c r="R34" s="1574" t="s">
        <v>8</v>
      </c>
      <c r="S34" s="1575">
        <f t="shared" si="12"/>
        <v>100</v>
      </c>
      <c r="T34" s="1574" t="s">
        <v>8</v>
      </c>
      <c r="U34" s="1575">
        <f t="shared" si="13"/>
        <v>100</v>
      </c>
      <c r="V34" s="1574" t="s">
        <v>8</v>
      </c>
      <c r="W34" s="1575">
        <f t="shared" si="14"/>
        <v>100</v>
      </c>
      <c r="X34" s="1568"/>
      <c r="Y34" s="3387"/>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87"/>
      <c r="Q35" s="1573" t="str">
        <f t="shared" si="11"/>
        <v>公共部分装修</v>
      </c>
      <c r="R35" s="1574" t="s">
        <v>8</v>
      </c>
      <c r="S35" s="1575">
        <f t="shared" si="12"/>
        <v>100</v>
      </c>
      <c r="T35" s="1574" t="s">
        <v>8</v>
      </c>
      <c r="U35" s="1575">
        <f t="shared" si="13"/>
        <v>100</v>
      </c>
      <c r="V35" s="1574" t="s">
        <v>8</v>
      </c>
      <c r="W35" s="1575">
        <f t="shared" si="14"/>
        <v>100</v>
      </c>
      <c r="X35" s="1568"/>
      <c r="Y35" s="3387"/>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87"/>
      <c r="Q36" s="1573" t="str">
        <f t="shared" si="11"/>
        <v>成新度</v>
      </c>
      <c r="R36" s="1574" t="s">
        <v>8</v>
      </c>
      <c r="S36" s="1575" t="e">
        <f t="shared" si="12"/>
        <v>#N/A</v>
      </c>
      <c r="T36" s="1574" t="s">
        <v>8</v>
      </c>
      <c r="U36" s="1575" t="e">
        <f t="shared" si="13"/>
        <v>#N/A</v>
      </c>
      <c r="V36" s="1574" t="s">
        <v>8</v>
      </c>
      <c r="W36" s="1575" t="e">
        <f t="shared" si="14"/>
        <v>#N/A</v>
      </c>
      <c r="X36" s="1568"/>
      <c r="Y36" s="3387"/>
      <c r="Z36" s="1576" t="str">
        <f t="shared" si="15"/>
        <v>成新度</v>
      </c>
      <c r="AA36" s="1577" t="e">
        <f t="shared" si="3"/>
        <v>#N/A</v>
      </c>
      <c r="AB36" s="1577" t="e">
        <f t="shared" si="4"/>
        <v>#N/A</v>
      </c>
      <c r="AC36" s="1577" t="e">
        <f t="shared" si="5"/>
        <v>#N/A</v>
      </c>
    </row>
    <row r="37" spans="1:29" s="1220" customFormat="1" ht="15">
      <c r="A37" s="600"/>
      <c r="B37" s="1897"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87"/>
      <c r="Q37" s="1151" t="str">
        <f t="shared" si="11"/>
        <v>市政基础设施</v>
      </c>
      <c r="R37" s="1569" t="s">
        <v>8</v>
      </c>
      <c r="S37" s="1570">
        <f t="shared" si="12"/>
        <v>100</v>
      </c>
      <c r="T37" s="1569" t="s">
        <v>8</v>
      </c>
      <c r="U37" s="1570">
        <f t="shared" si="13"/>
        <v>100</v>
      </c>
      <c r="V37" s="1569" t="s">
        <v>8</v>
      </c>
      <c r="W37" s="1570">
        <f t="shared" si="14"/>
        <v>100</v>
      </c>
      <c r="X37" s="1571"/>
      <c r="Y37" s="3387"/>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87" t="s">
        <v>766</v>
      </c>
      <c r="Q38" s="1573" t="str">
        <f t="shared" si="11"/>
        <v>业态</v>
      </c>
      <c r="R38" s="1574" t="s">
        <v>8</v>
      </c>
      <c r="S38" s="1575">
        <f t="shared" si="12"/>
        <v>100</v>
      </c>
      <c r="T38" s="1574" t="s">
        <v>8</v>
      </c>
      <c r="U38" s="1575">
        <f t="shared" si="13"/>
        <v>100</v>
      </c>
      <c r="V38" s="1574" t="s">
        <v>8</v>
      </c>
      <c r="W38" s="1575">
        <f t="shared" si="14"/>
        <v>100</v>
      </c>
      <c r="X38" s="1568"/>
      <c r="Y38" s="3387"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7"/>
      <c r="Q39" s="1573" t="str">
        <f t="shared" si="11"/>
        <v>层高</v>
      </c>
      <c r="R39" s="1574" t="s">
        <v>8</v>
      </c>
      <c r="S39" s="1575">
        <f t="shared" si="12"/>
        <v>100</v>
      </c>
      <c r="T39" s="1574" t="s">
        <v>8</v>
      </c>
      <c r="U39" s="1575">
        <f t="shared" si="13"/>
        <v>100</v>
      </c>
      <c r="V39" s="1574" t="s">
        <v>8</v>
      </c>
      <c r="W39" s="1575">
        <f t="shared" si="14"/>
        <v>100</v>
      </c>
      <c r="X39" s="1568"/>
      <c r="Y39" s="338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87"/>
      <c r="Q40" s="1573" t="str">
        <f t="shared" si="11"/>
        <v>单套建筑面积</v>
      </c>
      <c r="R40" s="1574" t="s">
        <v>8</v>
      </c>
      <c r="S40" s="1575">
        <f t="shared" si="12"/>
        <v>100</v>
      </c>
      <c r="T40" s="1574" t="s">
        <v>8</v>
      </c>
      <c r="U40" s="1575">
        <f t="shared" si="13"/>
        <v>100</v>
      </c>
      <c r="V40" s="1574" t="s">
        <v>8</v>
      </c>
      <c r="W40" s="1575">
        <f t="shared" si="14"/>
        <v>100</v>
      </c>
      <c r="X40" s="1568"/>
      <c r="Y40" s="3387"/>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87"/>
      <c r="Q41" s="1606" t="str">
        <f t="shared" si="11"/>
        <v>进深比</v>
      </c>
      <c r="R41" s="1578" t="s">
        <v>8</v>
      </c>
      <c r="S41" s="1579">
        <f t="shared" si="12"/>
        <v>100</v>
      </c>
      <c r="T41" s="1578" t="s">
        <v>8</v>
      </c>
      <c r="U41" s="1579">
        <f t="shared" si="13"/>
        <v>100</v>
      </c>
      <c r="V41" s="1578" t="s">
        <v>8</v>
      </c>
      <c r="W41" s="1579">
        <f t="shared" si="14"/>
        <v>100</v>
      </c>
      <c r="X41" s="1580"/>
      <c r="Y41" s="3387"/>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87"/>
      <c r="Q42" s="1573" t="str">
        <f t="shared" si="11"/>
        <v>内部装修</v>
      </c>
      <c r="R42" s="1574" t="s">
        <v>8</v>
      </c>
      <c r="S42" s="1575">
        <f t="shared" si="12"/>
        <v>100</v>
      </c>
      <c r="T42" s="1574" t="s">
        <v>8</v>
      </c>
      <c r="U42" s="1575">
        <f t="shared" si="13"/>
        <v>100</v>
      </c>
      <c r="V42" s="1574" t="s">
        <v>8</v>
      </c>
      <c r="W42" s="1575">
        <f t="shared" si="14"/>
        <v>100</v>
      </c>
      <c r="X42" s="1568"/>
      <c r="Y42" s="3387"/>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87"/>
      <c r="Q43" s="1573" t="str">
        <f t="shared" si="11"/>
        <v>内部装修维护情况</v>
      </c>
      <c r="R43" s="1574" t="s">
        <v>8</v>
      </c>
      <c r="S43" s="1575">
        <f t="shared" si="12"/>
        <v>100</v>
      </c>
      <c r="T43" s="1574" t="s">
        <v>8</v>
      </c>
      <c r="U43" s="1575">
        <f t="shared" si="13"/>
        <v>100</v>
      </c>
      <c r="V43" s="1574" t="s">
        <v>8</v>
      </c>
      <c r="W43" s="1575">
        <f t="shared" si="14"/>
        <v>100</v>
      </c>
      <c r="X43" s="1568"/>
      <c r="Y43" s="33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87"/>
      <c r="Q44" s="1151">
        <f t="shared" si="11"/>
        <v>111</v>
      </c>
      <c r="R44" s="1569" t="s">
        <v>8</v>
      </c>
      <c r="S44" s="1570">
        <f t="shared" si="12"/>
        <v>100</v>
      </c>
      <c r="T44" s="1569" t="s">
        <v>8</v>
      </c>
      <c r="U44" s="1570">
        <f t="shared" si="13"/>
        <v>100</v>
      </c>
      <c r="V44" s="1569" t="s">
        <v>8</v>
      </c>
      <c r="W44" s="1570">
        <f t="shared" si="14"/>
        <v>100</v>
      </c>
      <c r="X44" s="1571"/>
      <c r="Y44" s="33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87"/>
      <c r="Q45" s="1573">
        <f t="shared" si="11"/>
        <v>111</v>
      </c>
      <c r="R45" s="1574" t="s">
        <v>8</v>
      </c>
      <c r="S45" s="1575">
        <f t="shared" si="12"/>
        <v>100</v>
      </c>
      <c r="T45" s="1574" t="s">
        <v>8</v>
      </c>
      <c r="U45" s="1575">
        <f t="shared" si="13"/>
        <v>100</v>
      </c>
      <c r="V45" s="1574" t="s">
        <v>8</v>
      </c>
      <c r="W45" s="1575">
        <f t="shared" si="14"/>
        <v>100</v>
      </c>
      <c r="X45" s="1568"/>
      <c r="Y45" s="338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83"/>
      <c r="Q46" s="1573">
        <f t="shared" si="11"/>
        <v>111</v>
      </c>
      <c r="R46" s="1574" t="s">
        <v>8</v>
      </c>
      <c r="S46" s="1575">
        <f t="shared" si="12"/>
        <v>100</v>
      </c>
      <c r="T46" s="1574" t="s">
        <v>8</v>
      </c>
      <c r="U46" s="1575">
        <f t="shared" si="13"/>
        <v>100</v>
      </c>
      <c r="V46" s="1574" t="s">
        <v>8</v>
      </c>
      <c r="W46" s="1575">
        <f t="shared" si="14"/>
        <v>100</v>
      </c>
      <c r="X46" s="1568"/>
      <c r="Y46" s="3483"/>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382" t="str">
        <f>A47</f>
        <v>成交单价（元/平方米）</v>
      </c>
      <c r="Q47" s="3382"/>
      <c r="R47" s="3482">
        <f>E47</f>
        <v>0</v>
      </c>
      <c r="S47" s="3482"/>
      <c r="T47" s="3482">
        <f>G47</f>
        <v>0</v>
      </c>
      <c r="U47" s="3482"/>
      <c r="V47" s="3482">
        <f>I47</f>
        <v>0</v>
      </c>
      <c r="W47" s="3482"/>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13"/>
      <c r="L48" s="2146"/>
      <c r="M48" s="2147"/>
      <c r="N48" s="2136"/>
      <c r="O48" s="2147"/>
      <c r="P48" s="3382" t="str">
        <f>A48</f>
        <v>比较价格（元/平方米）</v>
      </c>
      <c r="Q48" s="3382"/>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60"/>
      <c r="Y48" s="1560"/>
      <c r="Z48" s="1560"/>
      <c r="AA48" s="1560"/>
      <c r="AB48" s="1560"/>
      <c r="AC48" s="1560"/>
    </row>
    <row r="49" spans="1:29" ht="15.75" thickBot="1">
      <c r="A49" s="621" t="s">
        <v>2939</v>
      </c>
      <c r="B49" s="622"/>
      <c r="C49" s="2638" t="e">
        <f>R49</f>
        <v>#DIV/0!</v>
      </c>
      <c r="D49" s="2638"/>
      <c r="E49" s="2638"/>
      <c r="F49" s="2638"/>
      <c r="G49" s="2638"/>
      <c r="H49" s="2638"/>
      <c r="I49" s="2638"/>
      <c r="J49" s="2638"/>
      <c r="K49" s="1614"/>
      <c r="L49" s="2146"/>
      <c r="M49" s="2147"/>
      <c r="N49" s="2136"/>
      <c r="O49" s="2147"/>
      <c r="P49" s="3403" t="str">
        <f>A49</f>
        <v>估价对象XX用房的比较价格（楼面单价，元/平方米）</v>
      </c>
      <c r="Q49" s="3404"/>
      <c r="R49" s="3481" t="e">
        <f>IF(F1="售价",ROUND(AVERAGE(R48:V48),0),ROUND(AVERAGE(R48:V48),1))</f>
        <v>#DIV/0!</v>
      </c>
      <c r="S49" s="3481"/>
      <c r="T49" s="3481"/>
      <c r="U49" s="3481"/>
      <c r="V49" s="3481"/>
      <c r="W49" s="3481"/>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88" t="s">
        <v>522</v>
      </c>
      <c r="D4" s="3389"/>
      <c r="E4" s="3412" t="s">
        <v>523</v>
      </c>
      <c r="F4" s="3413"/>
      <c r="G4" s="3388" t="s">
        <v>524</v>
      </c>
      <c r="H4" s="3389"/>
      <c r="I4" s="3388" t="s">
        <v>525</v>
      </c>
      <c r="J4" s="3389"/>
      <c r="K4" s="514" t="s">
        <v>526</v>
      </c>
      <c r="L4" s="2135"/>
      <c r="M4" s="2136"/>
      <c r="N4" s="2136"/>
      <c r="O4" s="2136"/>
      <c r="P4" s="3484" t="s">
        <v>527</v>
      </c>
      <c r="Q4" s="3391"/>
      <c r="R4" s="3376" t="s">
        <v>523</v>
      </c>
      <c r="S4" s="3377"/>
      <c r="T4" s="3376" t="s">
        <v>524</v>
      </c>
      <c r="U4" s="3377"/>
      <c r="V4" s="3396" t="s">
        <v>525</v>
      </c>
      <c r="W4" s="3396"/>
      <c r="X4" s="1568"/>
      <c r="Y4" s="3376" t="s">
        <v>527</v>
      </c>
      <c r="Z4" s="3377"/>
      <c r="AA4" s="3371" t="s">
        <v>523</v>
      </c>
      <c r="AB4" s="3371" t="s">
        <v>524</v>
      </c>
      <c r="AC4" s="3371" t="s">
        <v>525</v>
      </c>
    </row>
    <row r="5" spans="1:29" ht="15">
      <c r="A5" s="515"/>
      <c r="B5" s="516"/>
      <c r="C5" s="3399" t="s">
        <v>2933</v>
      </c>
      <c r="D5" s="3400"/>
      <c r="E5" s="3414" t="s">
        <v>2934</v>
      </c>
      <c r="F5" s="3415"/>
      <c r="G5" s="3399" t="s">
        <v>2935</v>
      </c>
      <c r="H5" s="3400"/>
      <c r="I5" s="3399" t="s">
        <v>2936</v>
      </c>
      <c r="J5" s="3400"/>
      <c r="K5" s="514"/>
      <c r="L5" s="2135"/>
      <c r="M5" s="2136"/>
      <c r="N5" s="2136"/>
      <c r="O5" s="2136"/>
      <c r="P5" s="3485"/>
      <c r="Q5" s="3393"/>
      <c r="R5" s="3378"/>
      <c r="S5" s="3379"/>
      <c r="T5" s="3378"/>
      <c r="U5" s="3379"/>
      <c r="V5" s="3396"/>
      <c r="W5" s="3396"/>
      <c r="X5" s="1568"/>
      <c r="Y5" s="3378"/>
      <c r="Z5" s="3379"/>
      <c r="AA5" s="3372"/>
      <c r="AB5" s="3372"/>
      <c r="AC5" s="3372"/>
    </row>
    <row r="6" spans="1:29" ht="15.75" thickBot="1">
      <c r="A6" s="517"/>
      <c r="B6" s="518"/>
      <c r="C6" s="3397" t="s">
        <v>2937</v>
      </c>
      <c r="D6" s="3398"/>
      <c r="E6" s="3416" t="s">
        <v>2937</v>
      </c>
      <c r="F6" s="3417"/>
      <c r="G6" s="3397" t="s">
        <v>2937</v>
      </c>
      <c r="H6" s="3398"/>
      <c r="I6" s="3397" t="s">
        <v>2937</v>
      </c>
      <c r="J6" s="3398"/>
      <c r="K6" s="514" t="s">
        <v>528</v>
      </c>
      <c r="L6" s="2135"/>
      <c r="M6" s="2136"/>
      <c r="N6" s="2136"/>
      <c r="O6" s="2136"/>
      <c r="P6" s="3486"/>
      <c r="Q6" s="3395"/>
      <c r="R6" s="3378"/>
      <c r="S6" s="3379"/>
      <c r="T6" s="3380"/>
      <c r="U6" s="3381"/>
      <c r="V6" s="3396"/>
      <c r="W6" s="3396"/>
      <c r="X6" s="1568"/>
      <c r="Y6" s="3380"/>
      <c r="Z6" s="3381"/>
      <c r="AA6" s="3373"/>
      <c r="AB6" s="3373"/>
      <c r="AC6" s="3373"/>
    </row>
    <row r="7" spans="1:29" s="1220" customFormat="1" ht="15.75" thickBot="1">
      <c r="A7" s="2913"/>
      <c r="B7" s="2920" t="s">
        <v>529</v>
      </c>
      <c r="C7" s="519">
        <f>'数据-取费表'!B2</f>
        <v>43390</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83" t="s">
        <v>530</v>
      </c>
      <c r="Q7" s="3383"/>
      <c r="R7" s="1569" t="s">
        <v>8</v>
      </c>
      <c r="S7" s="1570">
        <f t="shared" ref="S7:S15" si="0">F7</f>
        <v>0</v>
      </c>
      <c r="T7" s="1569" t="s">
        <v>8</v>
      </c>
      <c r="U7" s="1570">
        <f t="shared" ref="U7:U15" si="1">H7</f>
        <v>0</v>
      </c>
      <c r="V7" s="1569" t="s">
        <v>8</v>
      </c>
      <c r="W7" s="1570">
        <f t="shared" ref="W7:W15" si="2">J7</f>
        <v>0</v>
      </c>
      <c r="X7" s="1571"/>
      <c r="Y7" s="3374" t="s">
        <v>530</v>
      </c>
      <c r="Z7" s="3375"/>
      <c r="AA7" s="1572" t="e">
        <f>D7/F7</f>
        <v>#DIV/0!</v>
      </c>
      <c r="AB7" s="1572" t="e">
        <f>D7/H7</f>
        <v>#DIV/0!</v>
      </c>
      <c r="AC7" s="1572"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83" t="s">
        <v>533</v>
      </c>
      <c r="Q8" s="3375"/>
      <c r="R8" s="1569" t="s">
        <v>8</v>
      </c>
      <c r="S8" s="1570">
        <f t="shared" si="0"/>
        <v>0</v>
      </c>
      <c r="T8" s="1569" t="s">
        <v>8</v>
      </c>
      <c r="U8" s="1570">
        <f t="shared" si="1"/>
        <v>0</v>
      </c>
      <c r="V8" s="1569" t="s">
        <v>8</v>
      </c>
      <c r="W8" s="1570">
        <f t="shared" si="2"/>
        <v>0</v>
      </c>
      <c r="X8" s="1571"/>
      <c r="Y8" s="3374" t="s">
        <v>533</v>
      </c>
      <c r="Z8" s="3375"/>
      <c r="AA8" s="1572" t="e">
        <f t="shared" ref="AA8:AA47" si="3">D8/F8</f>
        <v>#DIV/0!</v>
      </c>
      <c r="AB8" s="1572" t="e">
        <f t="shared" ref="AB8:AB47" si="4">D8/H8</f>
        <v>#DIV/0!</v>
      </c>
      <c r="AC8" s="1572"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82" t="s">
        <v>535</v>
      </c>
      <c r="Q9" s="1151" t="str">
        <f t="shared" ref="Q9:Q15" si="6">B9</f>
        <v>用途</v>
      </c>
      <c r="R9" s="1569" t="s">
        <v>8</v>
      </c>
      <c r="S9" s="1570">
        <f t="shared" si="0"/>
        <v>100</v>
      </c>
      <c r="T9" s="1569" t="s">
        <v>8</v>
      </c>
      <c r="U9" s="1570">
        <f t="shared" si="1"/>
        <v>100</v>
      </c>
      <c r="V9" s="1569" t="s">
        <v>8</v>
      </c>
      <c r="W9" s="1570">
        <f t="shared" si="2"/>
        <v>100</v>
      </c>
      <c r="X9" s="1571"/>
      <c r="Y9" s="3339"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82"/>
      <c r="Q11" s="1151" t="str">
        <f t="shared" si="6"/>
        <v>容积率</v>
      </c>
      <c r="R11" s="1569" t="s">
        <v>8</v>
      </c>
      <c r="S11" s="1570" t="e">
        <f t="shared" si="0"/>
        <v>#N/A</v>
      </c>
      <c r="T11" s="1569" t="s">
        <v>8</v>
      </c>
      <c r="U11" s="1570" t="e">
        <f t="shared" si="1"/>
        <v>#N/A</v>
      </c>
      <c r="V11" s="1569" t="s">
        <v>8</v>
      </c>
      <c r="W11" s="1570" t="e">
        <f t="shared" si="2"/>
        <v>#N/A</v>
      </c>
      <c r="X11" s="1571"/>
      <c r="Y11" s="3339"/>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82"/>
      <c r="Q12" s="1151">
        <f t="shared" si="6"/>
        <v>111</v>
      </c>
      <c r="R12" s="1569" t="s">
        <v>8</v>
      </c>
      <c r="S12" s="1570">
        <f t="shared" si="0"/>
        <v>100</v>
      </c>
      <c r="T12" s="1569" t="s">
        <v>8</v>
      </c>
      <c r="U12" s="1570">
        <f t="shared" si="1"/>
        <v>100</v>
      </c>
      <c r="V12" s="1569" t="s">
        <v>8</v>
      </c>
      <c r="W12" s="1570">
        <f t="shared" si="2"/>
        <v>100</v>
      </c>
      <c r="X12" s="1571"/>
      <c r="Y12" s="3339"/>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82"/>
      <c r="Q13" s="1151">
        <f t="shared" si="6"/>
        <v>111</v>
      </c>
      <c r="R13" s="1569" t="s">
        <v>8</v>
      </c>
      <c r="S13" s="1570">
        <f t="shared" si="0"/>
        <v>100</v>
      </c>
      <c r="T13" s="1569" t="s">
        <v>8</v>
      </c>
      <c r="U13" s="1570">
        <f t="shared" si="1"/>
        <v>100</v>
      </c>
      <c r="V13" s="1569" t="s">
        <v>8</v>
      </c>
      <c r="W13" s="1570">
        <f t="shared" si="2"/>
        <v>100</v>
      </c>
      <c r="X13" s="1571"/>
      <c r="Y13" s="3339"/>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82"/>
      <c r="Q14" s="1151">
        <f t="shared" si="6"/>
        <v>111</v>
      </c>
      <c r="R14" s="1569" t="s">
        <v>8</v>
      </c>
      <c r="S14" s="1570">
        <f t="shared" si="0"/>
        <v>100</v>
      </c>
      <c r="T14" s="1569" t="s">
        <v>8</v>
      </c>
      <c r="U14" s="1570">
        <f t="shared" si="1"/>
        <v>100</v>
      </c>
      <c r="V14" s="1569" t="s">
        <v>8</v>
      </c>
      <c r="W14" s="1570">
        <f t="shared" si="2"/>
        <v>100</v>
      </c>
      <c r="X14" s="1571"/>
      <c r="Y14" s="3339"/>
      <c r="Z14" s="1150">
        <f t="shared" si="7"/>
        <v>111</v>
      </c>
      <c r="AA14" s="1572">
        <f t="shared" si="3"/>
        <v>1</v>
      </c>
      <c r="AB14" s="1572">
        <f t="shared" si="4"/>
        <v>1</v>
      </c>
      <c r="AC14" s="1572">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84" t="s">
        <v>540</v>
      </c>
      <c r="Q15" s="1573" t="str">
        <f t="shared" si="6"/>
        <v>办公集聚程度</v>
      </c>
      <c r="R15" s="1574" t="s">
        <v>8</v>
      </c>
      <c r="S15" s="1575">
        <f t="shared" si="0"/>
        <v>100</v>
      </c>
      <c r="T15" s="1574" t="s">
        <v>8</v>
      </c>
      <c r="U15" s="1575">
        <f t="shared" si="1"/>
        <v>100</v>
      </c>
      <c r="V15" s="1574" t="s">
        <v>8</v>
      </c>
      <c r="W15" s="1575">
        <f t="shared" si="2"/>
        <v>100</v>
      </c>
      <c r="X15" s="1568"/>
      <c r="Y15" s="338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85"/>
      <c r="Q16" s="1573"/>
      <c r="R16" s="1574"/>
      <c r="S16" s="1575"/>
      <c r="T16" s="1574"/>
      <c r="U16" s="1575"/>
      <c r="V16" s="1574"/>
      <c r="W16" s="1575"/>
      <c r="X16" s="1568"/>
      <c r="Y16" s="338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85"/>
      <c r="Q18" s="1573"/>
      <c r="R18" s="1574"/>
      <c r="S18" s="1575"/>
      <c r="T18" s="1574"/>
      <c r="U18" s="1575"/>
      <c r="V18" s="1574"/>
      <c r="W18" s="1575"/>
      <c r="X18" s="1568"/>
      <c r="Y18" s="3385"/>
      <c r="Z18" s="1576"/>
      <c r="AA18" s="1577">
        <v>1</v>
      </c>
      <c r="AB18" s="1577">
        <v>1</v>
      </c>
      <c r="AC18" s="1577">
        <v>1</v>
      </c>
    </row>
    <row r="19" spans="1:29" ht="42.75">
      <c r="A19" s="532"/>
      <c r="B19" s="2605"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85"/>
      <c r="Q20" s="1573"/>
      <c r="R20" s="1574"/>
      <c r="S20" s="1575"/>
      <c r="T20" s="1574"/>
      <c r="U20" s="1575"/>
      <c r="V20" s="1574"/>
      <c r="W20" s="1575"/>
      <c r="X20" s="1568"/>
      <c r="Y20" s="3385"/>
      <c r="Z20" s="1576"/>
      <c r="AA20" s="1577">
        <v>1</v>
      </c>
      <c r="AB20" s="1577">
        <v>1</v>
      </c>
      <c r="AC20" s="1577">
        <v>1</v>
      </c>
    </row>
    <row r="21" spans="1:29" ht="28.5">
      <c r="A21" s="532"/>
      <c r="B21" s="2593"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85"/>
      <c r="Q21" s="2581" t="str">
        <f>B21</f>
        <v>基础设施水平</v>
      </c>
      <c r="R21" s="1574" t="s">
        <v>8</v>
      </c>
      <c r="S21" s="1575">
        <f>F21</f>
        <v>100</v>
      </c>
      <c r="T21" s="1574" t="s">
        <v>8</v>
      </c>
      <c r="U21" s="1575">
        <f>H21</f>
        <v>100</v>
      </c>
      <c r="V21" s="1574" t="s">
        <v>8</v>
      </c>
      <c r="W21" s="1575">
        <f>J21</f>
        <v>100</v>
      </c>
      <c r="X21" s="2583"/>
      <c r="Y21" s="3385"/>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385"/>
      <c r="Q22" s="2581"/>
      <c r="R22" s="1574"/>
      <c r="S22" s="1575"/>
      <c r="T22" s="1574"/>
      <c r="U22" s="1575"/>
      <c r="V22" s="1574"/>
      <c r="W22" s="1575"/>
      <c r="X22" s="2583"/>
      <c r="Y22" s="3385"/>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85"/>
      <c r="Q24" s="1573"/>
      <c r="R24" s="1574"/>
      <c r="S24" s="1575"/>
      <c r="T24" s="1574"/>
      <c r="U24" s="1575"/>
      <c r="V24" s="1574"/>
      <c r="W24" s="1575"/>
      <c r="X24" s="1568"/>
      <c r="Y24" s="338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85"/>
      <c r="Q25" s="1573" t="str">
        <f>B25</f>
        <v>毗邻道路的类型与等级</v>
      </c>
      <c r="R25" s="1574" t="s">
        <v>8</v>
      </c>
      <c r="S25" s="1575">
        <f>F25</f>
        <v>100</v>
      </c>
      <c r="T25" s="1574" t="s">
        <v>8</v>
      </c>
      <c r="U25" s="1575">
        <f>H25</f>
        <v>100</v>
      </c>
      <c r="V25" s="1574" t="s">
        <v>8</v>
      </c>
      <c r="W25" s="1575">
        <f>J25</f>
        <v>100</v>
      </c>
      <c r="X25" s="1568"/>
      <c r="Y25" s="338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85"/>
      <c r="Q26" s="1573"/>
      <c r="R26" s="1574"/>
      <c r="S26" s="1575"/>
      <c r="T26" s="1574"/>
      <c r="U26" s="1575"/>
      <c r="V26" s="1574"/>
      <c r="W26" s="1575"/>
      <c r="X26" s="1568"/>
      <c r="Y26" s="338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85"/>
      <c r="Q27" s="1573" t="str">
        <f t="shared" ref="Q27:Q47" si="11">B27</f>
        <v>楼层</v>
      </c>
      <c r="R27" s="1574" t="s">
        <v>8</v>
      </c>
      <c r="S27" s="1575">
        <f>F27</f>
        <v>100</v>
      </c>
      <c r="T27" s="1574" t="s">
        <v>8</v>
      </c>
      <c r="U27" s="1575">
        <f>H27</f>
        <v>100</v>
      </c>
      <c r="V27" s="1574" t="s">
        <v>8</v>
      </c>
      <c r="W27" s="1575">
        <f>J27</f>
        <v>100</v>
      </c>
      <c r="X27" s="1568"/>
      <c r="Y27" s="338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85"/>
      <c r="Q28" s="1151" t="str">
        <f t="shared" si="11"/>
        <v>朝向</v>
      </c>
      <c r="R28" s="1569" t="s">
        <v>8</v>
      </c>
      <c r="S28" s="1570">
        <f>F28</f>
        <v>100</v>
      </c>
      <c r="T28" s="1569" t="s">
        <v>8</v>
      </c>
      <c r="U28" s="1570">
        <f>H28</f>
        <v>100</v>
      </c>
      <c r="V28" s="1569" t="s">
        <v>8</v>
      </c>
      <c r="W28" s="1570">
        <f>J28</f>
        <v>100</v>
      </c>
      <c r="X28" s="1571"/>
      <c r="Y28" s="338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85"/>
      <c r="Q29" s="1573">
        <f t="shared" si="11"/>
        <v>111</v>
      </c>
      <c r="R29" s="1574" t="s">
        <v>8</v>
      </c>
      <c r="S29" s="1575">
        <f t="shared" ref="S29:S47" si="12">F29</f>
        <v>100</v>
      </c>
      <c r="T29" s="1574" t="s">
        <v>8</v>
      </c>
      <c r="U29" s="1575">
        <f t="shared" ref="U29:U47" si="13">H29</f>
        <v>100</v>
      </c>
      <c r="V29" s="1574" t="s">
        <v>8</v>
      </c>
      <c r="W29" s="1575">
        <f t="shared" ref="W29:W47" si="14">J29</f>
        <v>100</v>
      </c>
      <c r="X29" s="1568"/>
      <c r="Y29" s="338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85"/>
      <c r="Q30" s="1573">
        <f t="shared" si="11"/>
        <v>111</v>
      </c>
      <c r="R30" s="1574" t="s">
        <v>8</v>
      </c>
      <c r="S30" s="1575">
        <f t="shared" si="12"/>
        <v>100</v>
      </c>
      <c r="T30" s="1574" t="s">
        <v>8</v>
      </c>
      <c r="U30" s="1575">
        <f t="shared" si="13"/>
        <v>100</v>
      </c>
      <c r="V30" s="1574" t="s">
        <v>8</v>
      </c>
      <c r="W30" s="1575">
        <f t="shared" si="14"/>
        <v>100</v>
      </c>
      <c r="X30" s="1568"/>
      <c r="Y30" s="338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85"/>
      <c r="Q31" s="1573">
        <f t="shared" si="11"/>
        <v>111</v>
      </c>
      <c r="R31" s="1574" t="s">
        <v>8</v>
      </c>
      <c r="S31" s="1575">
        <f t="shared" si="12"/>
        <v>100</v>
      </c>
      <c r="T31" s="1574" t="s">
        <v>8</v>
      </c>
      <c r="U31" s="1575">
        <f t="shared" si="13"/>
        <v>100</v>
      </c>
      <c r="V31" s="1574" t="s">
        <v>8</v>
      </c>
      <c r="W31" s="1575">
        <f t="shared" si="14"/>
        <v>100</v>
      </c>
      <c r="X31" s="1568"/>
      <c r="Y31" s="338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85"/>
      <c r="Q32" s="1573">
        <f t="shared" si="11"/>
        <v>111</v>
      </c>
      <c r="R32" s="1574" t="s">
        <v>8</v>
      </c>
      <c r="S32" s="1575">
        <f t="shared" si="12"/>
        <v>100</v>
      </c>
      <c r="T32" s="1574" t="s">
        <v>8</v>
      </c>
      <c r="U32" s="1575">
        <f t="shared" si="13"/>
        <v>100</v>
      </c>
      <c r="V32" s="1574" t="s">
        <v>8</v>
      </c>
      <c r="W32" s="1575">
        <f t="shared" si="14"/>
        <v>100</v>
      </c>
      <c r="X32" s="1568"/>
      <c r="Y32" s="3385"/>
      <c r="Z32" s="1576">
        <f t="shared" si="15"/>
        <v>111</v>
      </c>
      <c r="AA32" s="1577">
        <f t="shared" si="3"/>
        <v>1</v>
      </c>
      <c r="AB32" s="1577">
        <f t="shared" si="4"/>
        <v>1</v>
      </c>
      <c r="AC32" s="1577">
        <f t="shared" si="5"/>
        <v>1</v>
      </c>
    </row>
    <row r="33" spans="1:29" ht="15">
      <c r="A33" s="2909"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86" t="s">
        <v>550</v>
      </c>
      <c r="Q33" s="1573" t="str">
        <f t="shared" si="11"/>
        <v>建筑类型</v>
      </c>
      <c r="R33" s="1574" t="s">
        <v>8</v>
      </c>
      <c r="S33" s="1575">
        <f t="shared" si="12"/>
        <v>100</v>
      </c>
      <c r="T33" s="1574" t="s">
        <v>8</v>
      </c>
      <c r="U33" s="1575">
        <f t="shared" si="13"/>
        <v>100</v>
      </c>
      <c r="V33" s="1574" t="s">
        <v>8</v>
      </c>
      <c r="W33" s="1575">
        <f t="shared" si="14"/>
        <v>100</v>
      </c>
      <c r="X33" s="1568"/>
      <c r="Y33" s="338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87"/>
      <c r="Q34" s="1606" t="str">
        <f t="shared" si="11"/>
        <v>项目建筑规模</v>
      </c>
      <c r="R34" s="1578" t="s">
        <v>8</v>
      </c>
      <c r="S34" s="1579" t="e">
        <f t="shared" si="12"/>
        <v>#N/A</v>
      </c>
      <c r="T34" s="1578" t="s">
        <v>8</v>
      </c>
      <c r="U34" s="1579" t="e">
        <f t="shared" si="13"/>
        <v>#N/A</v>
      </c>
      <c r="V34" s="1578" t="s">
        <v>8</v>
      </c>
      <c r="W34" s="1579" t="e">
        <f t="shared" si="14"/>
        <v>#N/A</v>
      </c>
      <c r="X34" s="1580"/>
      <c r="Y34" s="338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87"/>
      <c r="Q35" s="1573" t="str">
        <f t="shared" si="11"/>
        <v>建筑结构</v>
      </c>
      <c r="R35" s="1574" t="s">
        <v>8</v>
      </c>
      <c r="S35" s="1575">
        <f t="shared" si="12"/>
        <v>100</v>
      </c>
      <c r="T35" s="1574" t="s">
        <v>8</v>
      </c>
      <c r="U35" s="1575">
        <f t="shared" si="13"/>
        <v>100</v>
      </c>
      <c r="V35" s="1574" t="s">
        <v>8</v>
      </c>
      <c r="W35" s="1575">
        <f t="shared" si="14"/>
        <v>100</v>
      </c>
      <c r="X35" s="1568"/>
      <c r="Y35" s="338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87"/>
      <c r="Q36" s="1573" t="str">
        <f t="shared" si="11"/>
        <v>公共部分装修</v>
      </c>
      <c r="R36" s="1574" t="s">
        <v>8</v>
      </c>
      <c r="S36" s="1575">
        <f t="shared" si="12"/>
        <v>100</v>
      </c>
      <c r="T36" s="1574" t="s">
        <v>8</v>
      </c>
      <c r="U36" s="1575">
        <f t="shared" si="13"/>
        <v>100</v>
      </c>
      <c r="V36" s="1574" t="s">
        <v>8</v>
      </c>
      <c r="W36" s="1575">
        <f t="shared" si="14"/>
        <v>100</v>
      </c>
      <c r="X36" s="1568"/>
      <c r="Y36" s="338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87"/>
      <c r="Q37" s="1573" t="str">
        <f t="shared" si="11"/>
        <v>成新度</v>
      </c>
      <c r="R37" s="1574" t="s">
        <v>8</v>
      </c>
      <c r="S37" s="1575" t="e">
        <f t="shared" si="12"/>
        <v>#N/A</v>
      </c>
      <c r="T37" s="1574" t="s">
        <v>8</v>
      </c>
      <c r="U37" s="1575" t="e">
        <f t="shared" si="13"/>
        <v>#N/A</v>
      </c>
      <c r="V37" s="1574" t="s">
        <v>8</v>
      </c>
      <c r="W37" s="1575" t="e">
        <f t="shared" si="14"/>
        <v>#N/A</v>
      </c>
      <c r="X37" s="1568"/>
      <c r="Y37" s="338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87"/>
      <c r="Q38" s="1151" t="str">
        <f t="shared" si="11"/>
        <v>写字楼等级</v>
      </c>
      <c r="R38" s="1569" t="s">
        <v>8</v>
      </c>
      <c r="S38" s="1570">
        <f t="shared" si="12"/>
        <v>100</v>
      </c>
      <c r="T38" s="1569" t="s">
        <v>8</v>
      </c>
      <c r="U38" s="1570">
        <f t="shared" si="13"/>
        <v>100</v>
      </c>
      <c r="V38" s="1569" t="s">
        <v>8</v>
      </c>
      <c r="W38" s="1570">
        <f t="shared" si="14"/>
        <v>100</v>
      </c>
      <c r="X38" s="1571"/>
      <c r="Y38" s="338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87" t="s">
        <v>550</v>
      </c>
      <c r="Q39" s="1573" t="str">
        <f t="shared" si="11"/>
        <v>物业管理</v>
      </c>
      <c r="R39" s="1574" t="s">
        <v>8</v>
      </c>
      <c r="S39" s="1575">
        <f t="shared" si="12"/>
        <v>100</v>
      </c>
      <c r="T39" s="1574" t="s">
        <v>8</v>
      </c>
      <c r="U39" s="1575">
        <f t="shared" si="13"/>
        <v>100</v>
      </c>
      <c r="V39" s="1574" t="s">
        <v>8</v>
      </c>
      <c r="W39" s="1575">
        <f t="shared" si="14"/>
        <v>100</v>
      </c>
      <c r="X39" s="1568"/>
      <c r="Y39" s="3387"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87"/>
      <c r="Q40" s="1573" t="str">
        <f t="shared" si="11"/>
        <v>市政基础设施</v>
      </c>
      <c r="R40" s="1574" t="s">
        <v>8</v>
      </c>
      <c r="S40" s="1575">
        <f t="shared" si="12"/>
        <v>100</v>
      </c>
      <c r="T40" s="1574" t="s">
        <v>8</v>
      </c>
      <c r="U40" s="1575">
        <f t="shared" si="13"/>
        <v>100</v>
      </c>
      <c r="V40" s="1574" t="s">
        <v>8</v>
      </c>
      <c r="W40" s="1575">
        <f t="shared" si="14"/>
        <v>100</v>
      </c>
      <c r="X40" s="1568"/>
      <c r="Y40" s="338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87"/>
      <c r="Q41" s="1573" t="str">
        <f t="shared" si="11"/>
        <v>层高</v>
      </c>
      <c r="R41" s="1574" t="s">
        <v>8</v>
      </c>
      <c r="S41" s="1575">
        <f t="shared" si="12"/>
        <v>100</v>
      </c>
      <c r="T41" s="1574" t="s">
        <v>8</v>
      </c>
      <c r="U41" s="1575">
        <f t="shared" si="13"/>
        <v>100</v>
      </c>
      <c r="V41" s="1574" t="s">
        <v>8</v>
      </c>
      <c r="W41" s="1575">
        <f t="shared" si="14"/>
        <v>100</v>
      </c>
      <c r="X41" s="1568"/>
      <c r="Y41" s="338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87"/>
      <c r="Q42" s="1606" t="str">
        <f t="shared" si="11"/>
        <v>单套建筑面积</v>
      </c>
      <c r="R42" s="1578" t="s">
        <v>8</v>
      </c>
      <c r="S42" s="1579">
        <f t="shared" si="12"/>
        <v>100</v>
      </c>
      <c r="T42" s="1578" t="s">
        <v>8</v>
      </c>
      <c r="U42" s="1579">
        <f t="shared" si="13"/>
        <v>100</v>
      </c>
      <c r="V42" s="1578" t="s">
        <v>8</v>
      </c>
      <c r="W42" s="1579">
        <f t="shared" si="14"/>
        <v>100</v>
      </c>
      <c r="X42" s="1580"/>
      <c r="Y42" s="338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87"/>
      <c r="Q43" s="1573" t="str">
        <f t="shared" si="11"/>
        <v>内部装修</v>
      </c>
      <c r="R43" s="1574" t="s">
        <v>8</v>
      </c>
      <c r="S43" s="1575">
        <f t="shared" si="12"/>
        <v>100</v>
      </c>
      <c r="T43" s="1574" t="s">
        <v>8</v>
      </c>
      <c r="U43" s="1575">
        <f t="shared" si="13"/>
        <v>100</v>
      </c>
      <c r="V43" s="1574" t="s">
        <v>8</v>
      </c>
      <c r="W43" s="1575">
        <f t="shared" si="14"/>
        <v>100</v>
      </c>
      <c r="X43" s="1568"/>
      <c r="Y43" s="3387"/>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87"/>
      <c r="Q44" s="1573" t="str">
        <f t="shared" si="11"/>
        <v>内部装修维护情况</v>
      </c>
      <c r="R44" s="1574" t="s">
        <v>8</v>
      </c>
      <c r="S44" s="1575">
        <f t="shared" si="12"/>
        <v>100</v>
      </c>
      <c r="T44" s="1574" t="s">
        <v>8</v>
      </c>
      <c r="U44" s="1575">
        <f t="shared" si="13"/>
        <v>100</v>
      </c>
      <c r="V44" s="1574" t="s">
        <v>8</v>
      </c>
      <c r="W44" s="1575">
        <f t="shared" si="14"/>
        <v>100</v>
      </c>
      <c r="X44" s="1568"/>
      <c r="Y44" s="338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87"/>
      <c r="Q45" s="1151">
        <f t="shared" si="11"/>
        <v>111</v>
      </c>
      <c r="R45" s="1569" t="s">
        <v>8</v>
      </c>
      <c r="S45" s="1570">
        <f t="shared" si="12"/>
        <v>100</v>
      </c>
      <c r="T45" s="1569" t="s">
        <v>8</v>
      </c>
      <c r="U45" s="1570">
        <f t="shared" si="13"/>
        <v>100</v>
      </c>
      <c r="V45" s="1569" t="s">
        <v>8</v>
      </c>
      <c r="W45" s="1570">
        <f t="shared" si="14"/>
        <v>100</v>
      </c>
      <c r="X45" s="1571"/>
      <c r="Y45" s="338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87"/>
      <c r="Q46" s="1573">
        <f t="shared" si="11"/>
        <v>111</v>
      </c>
      <c r="R46" s="1574" t="s">
        <v>8</v>
      </c>
      <c r="S46" s="1575">
        <f t="shared" si="12"/>
        <v>100</v>
      </c>
      <c r="T46" s="1574" t="s">
        <v>8</v>
      </c>
      <c r="U46" s="1575">
        <f t="shared" si="13"/>
        <v>100</v>
      </c>
      <c r="V46" s="1574" t="s">
        <v>8</v>
      </c>
      <c r="W46" s="1575">
        <f t="shared" si="14"/>
        <v>100</v>
      </c>
      <c r="X46" s="1568"/>
      <c r="Y46" s="338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83"/>
      <c r="Q47" s="1573">
        <f t="shared" si="11"/>
        <v>111</v>
      </c>
      <c r="R47" s="1574" t="s">
        <v>8</v>
      </c>
      <c r="S47" s="1575">
        <f t="shared" si="12"/>
        <v>100</v>
      </c>
      <c r="T47" s="1574" t="s">
        <v>8</v>
      </c>
      <c r="U47" s="1575">
        <f t="shared" si="13"/>
        <v>100</v>
      </c>
      <c r="V47" s="1574" t="s">
        <v>8</v>
      </c>
      <c r="W47" s="1575">
        <f t="shared" si="14"/>
        <v>100</v>
      </c>
      <c r="X47" s="1568"/>
      <c r="Y47" s="3483"/>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404" t="str">
        <f>A48</f>
        <v>成交单价（元/平方米）</v>
      </c>
      <c r="Q48" s="3382"/>
      <c r="R48" s="3482">
        <f>E48</f>
        <v>0</v>
      </c>
      <c r="S48" s="3482"/>
      <c r="T48" s="3482">
        <f>G48</f>
        <v>0</v>
      </c>
      <c r="U48" s="3482"/>
      <c r="V48" s="3482">
        <f>I48</f>
        <v>0</v>
      </c>
      <c r="W48" s="3482"/>
      <c r="X48" s="1560"/>
      <c r="Y48" s="1582"/>
      <c r="Z48" s="1560"/>
      <c r="AA48" s="1560"/>
      <c r="AB48" s="1560"/>
      <c r="AC48" s="1560"/>
    </row>
    <row r="49" spans="1:29" ht="15.75" thickBot="1">
      <c r="A49" s="615" t="s">
        <v>2763</v>
      </c>
      <c r="B49" s="888"/>
      <c r="C49" s="2635" t="e">
        <f>R50</f>
        <v>#DIV/0!</v>
      </c>
      <c r="D49" s="2636"/>
      <c r="E49" s="2637" t="e">
        <f>R49</f>
        <v>#DIV/0!</v>
      </c>
      <c r="F49" s="2637"/>
      <c r="G49" s="2635" t="e">
        <f>T49</f>
        <v>#DIV/0!</v>
      </c>
      <c r="H49" s="2636"/>
      <c r="I49" s="2637" t="e">
        <f>V49</f>
        <v>#DIV/0!</v>
      </c>
      <c r="J49" s="2636"/>
      <c r="K49" s="1613"/>
      <c r="L49" s="2146"/>
      <c r="M49" s="2136"/>
      <c r="N49" s="2136"/>
      <c r="O49" s="2136"/>
      <c r="P49" s="3404" t="str">
        <f>A49</f>
        <v>比较价格（元/平方米）</v>
      </c>
      <c r="Q49" s="3382"/>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1560"/>
      <c r="Y49" s="1560"/>
      <c r="Z49" s="1560"/>
      <c r="AA49" s="1560"/>
      <c r="AB49" s="1560"/>
      <c r="AC49" s="1560"/>
    </row>
    <row r="50" spans="1:29" ht="15.75" thickBot="1">
      <c r="A50" s="621" t="s">
        <v>2939</v>
      </c>
      <c r="B50" s="622"/>
      <c r="C50" s="2638" t="e">
        <f>R50</f>
        <v>#DIV/0!</v>
      </c>
      <c r="D50" s="2638"/>
      <c r="E50" s="2638"/>
      <c r="F50" s="2638"/>
      <c r="G50" s="2638"/>
      <c r="H50" s="2638"/>
      <c r="I50" s="2638"/>
      <c r="J50" s="2638"/>
      <c r="K50" s="1614"/>
      <c r="L50" s="2146"/>
      <c r="M50" s="2136"/>
      <c r="N50" s="2136"/>
      <c r="O50" s="2136"/>
      <c r="P50" s="3487" t="str">
        <f>A50</f>
        <v>估价对象XX用房的比较价格（楼面单价，元/平方米）</v>
      </c>
      <c r="Q50" s="3404"/>
      <c r="R50" s="3481" t="e">
        <f>IF(F1="售价",ROUND(AVERAGE(R49:V49),0),ROUND(AVERAGE(R49:V49),1))</f>
        <v>#DIV/0!</v>
      </c>
      <c r="S50" s="3481"/>
      <c r="T50" s="3481"/>
      <c r="U50" s="3481"/>
      <c r="V50" s="3481"/>
      <c r="W50" s="3481"/>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2018-10</v>
      </c>
      <c r="D59" s="2806">
        <f>EDATE(C59,-1)</f>
        <v>43344</v>
      </c>
      <c r="E59" s="2806">
        <f t="shared" ref="E59:O59" si="16">EDATE(D59,-1)</f>
        <v>43313</v>
      </c>
      <c r="F59" s="2806">
        <f t="shared" si="16"/>
        <v>43282</v>
      </c>
      <c r="G59" s="2806">
        <f t="shared" si="16"/>
        <v>43252</v>
      </c>
      <c r="H59" s="2806">
        <f t="shared" si="16"/>
        <v>43221</v>
      </c>
      <c r="I59" s="2806">
        <f t="shared" si="16"/>
        <v>43191</v>
      </c>
      <c r="J59" s="2806">
        <f t="shared" si="16"/>
        <v>43160</v>
      </c>
      <c r="K59" s="2806">
        <f t="shared" si="16"/>
        <v>43132</v>
      </c>
      <c r="L59" s="2806">
        <f t="shared" si="16"/>
        <v>43101</v>
      </c>
      <c r="M59" s="2806">
        <f t="shared" si="16"/>
        <v>43070</v>
      </c>
      <c r="N59" s="2806">
        <f t="shared" si="16"/>
        <v>43040</v>
      </c>
      <c r="O59" s="2806">
        <f t="shared" si="16"/>
        <v>43009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2561</v>
      </c>
      <c r="C83" s="2600" t="s">
        <v>2562</v>
      </c>
      <c r="D83" s="2600" t="s">
        <v>2563</v>
      </c>
      <c r="E83" s="2600" t="s">
        <v>2564</v>
      </c>
      <c r="F83" s="2600" t="s">
        <v>2565</v>
      </c>
      <c r="G83" s="2600" t="s">
        <v>2566</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88" t="s">
        <v>522</v>
      </c>
      <c r="D4" s="3389"/>
      <c r="E4" s="3412" t="s">
        <v>523</v>
      </c>
      <c r="F4" s="3413"/>
      <c r="G4" s="3388" t="s">
        <v>524</v>
      </c>
      <c r="H4" s="3389"/>
      <c r="I4" s="3388" t="s">
        <v>525</v>
      </c>
      <c r="J4" s="3389"/>
      <c r="K4" s="514" t="s">
        <v>526</v>
      </c>
      <c r="L4" s="2135"/>
      <c r="M4" s="2136"/>
      <c r="N4" s="2136"/>
      <c r="O4" s="2136"/>
      <c r="P4" s="3390" t="s">
        <v>527</v>
      </c>
      <c r="Q4" s="3391"/>
      <c r="R4" s="3376" t="s">
        <v>523</v>
      </c>
      <c r="S4" s="3377"/>
      <c r="T4" s="3376" t="s">
        <v>524</v>
      </c>
      <c r="U4" s="3377"/>
      <c r="V4" s="3396" t="s">
        <v>525</v>
      </c>
      <c r="W4" s="3396"/>
      <c r="X4" s="1568"/>
      <c r="Y4" s="3376" t="s">
        <v>527</v>
      </c>
      <c r="Z4" s="3377"/>
      <c r="AA4" s="3371" t="s">
        <v>523</v>
      </c>
      <c r="AB4" s="3372" t="s">
        <v>524</v>
      </c>
      <c r="AC4" s="3371" t="s">
        <v>525</v>
      </c>
    </row>
    <row r="5" spans="1:29" ht="15">
      <c r="A5" s="515"/>
      <c r="B5" s="516"/>
      <c r="C5" s="3399" t="s">
        <v>2933</v>
      </c>
      <c r="D5" s="3400"/>
      <c r="E5" s="3414" t="s">
        <v>2934</v>
      </c>
      <c r="F5" s="3415"/>
      <c r="G5" s="3399" t="s">
        <v>2935</v>
      </c>
      <c r="H5" s="3400"/>
      <c r="I5" s="3399" t="s">
        <v>2936</v>
      </c>
      <c r="J5" s="3400"/>
      <c r="K5" s="514"/>
      <c r="L5" s="2135"/>
      <c r="M5" s="2136"/>
      <c r="N5" s="2136"/>
      <c r="O5" s="2136"/>
      <c r="P5" s="3392"/>
      <c r="Q5" s="3393"/>
      <c r="R5" s="3378"/>
      <c r="S5" s="3379"/>
      <c r="T5" s="3378"/>
      <c r="U5" s="3379"/>
      <c r="V5" s="3396"/>
      <c r="W5" s="3396"/>
      <c r="X5" s="1568"/>
      <c r="Y5" s="3378"/>
      <c r="Z5" s="3379"/>
      <c r="AA5" s="3372"/>
      <c r="AB5" s="3372"/>
      <c r="AC5" s="3372"/>
    </row>
    <row r="6" spans="1:29" ht="15.75" thickBot="1">
      <c r="A6" s="517"/>
      <c r="B6" s="518"/>
      <c r="C6" s="3397" t="s">
        <v>2937</v>
      </c>
      <c r="D6" s="3398"/>
      <c r="E6" s="3416" t="s">
        <v>2937</v>
      </c>
      <c r="F6" s="3417"/>
      <c r="G6" s="3397" t="s">
        <v>2937</v>
      </c>
      <c r="H6" s="3398"/>
      <c r="I6" s="3397" t="s">
        <v>2937</v>
      </c>
      <c r="J6" s="3398"/>
      <c r="K6" s="514" t="s">
        <v>528</v>
      </c>
      <c r="L6" s="2135"/>
      <c r="M6" s="2136"/>
      <c r="N6" s="2136"/>
      <c r="O6" s="2136"/>
      <c r="P6" s="3394"/>
      <c r="Q6" s="3395"/>
      <c r="R6" s="3378"/>
      <c r="S6" s="3379"/>
      <c r="T6" s="3380"/>
      <c r="U6" s="3381"/>
      <c r="V6" s="3396"/>
      <c r="W6" s="3396"/>
      <c r="X6" s="1568"/>
      <c r="Y6" s="3380"/>
      <c r="Z6" s="3381"/>
      <c r="AA6" s="3373"/>
      <c r="AB6" s="3373"/>
      <c r="AC6" s="3373"/>
    </row>
    <row r="7" spans="1:29" s="1220" customFormat="1" ht="15.75" thickBot="1">
      <c r="A7" s="2913"/>
      <c r="B7" s="2920" t="s">
        <v>529</v>
      </c>
      <c r="C7" s="519">
        <f>'数据-取费表'!B2</f>
        <v>43390</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74" t="s">
        <v>530</v>
      </c>
      <c r="Q7" s="3383"/>
      <c r="R7" s="1569" t="s">
        <v>8</v>
      </c>
      <c r="S7" s="1570">
        <f t="shared" ref="S7:S15" si="0">F7</f>
        <v>0</v>
      </c>
      <c r="T7" s="1569" t="s">
        <v>8</v>
      </c>
      <c r="U7" s="1570">
        <f t="shared" ref="U7:U15" si="1">H7</f>
        <v>0</v>
      </c>
      <c r="V7" s="1569" t="s">
        <v>8</v>
      </c>
      <c r="W7" s="1570">
        <f t="shared" ref="W7:W15" si="2">J7</f>
        <v>0</v>
      </c>
      <c r="X7" s="1571"/>
      <c r="Y7" s="3374" t="s">
        <v>530</v>
      </c>
      <c r="Z7" s="3375"/>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74" t="s">
        <v>533</v>
      </c>
      <c r="Q8" s="3375"/>
      <c r="R8" s="1569" t="s">
        <v>8</v>
      </c>
      <c r="S8" s="1570">
        <f t="shared" si="0"/>
        <v>0</v>
      </c>
      <c r="T8" s="1569" t="s">
        <v>8</v>
      </c>
      <c r="U8" s="1570">
        <f t="shared" si="1"/>
        <v>0</v>
      </c>
      <c r="V8" s="1569" t="s">
        <v>8</v>
      </c>
      <c r="W8" s="1570">
        <f t="shared" si="2"/>
        <v>0</v>
      </c>
      <c r="X8" s="1571"/>
      <c r="Y8" s="3374" t="s">
        <v>533</v>
      </c>
      <c r="Z8" s="3375"/>
      <c r="AA8" s="1572" t="e">
        <f t="shared" ref="AA8:AA40" si="3">D8/F8</f>
        <v>#DIV/0!</v>
      </c>
      <c r="AB8" s="1572" t="e">
        <f t="shared" ref="AB8:AB40" si="4">D8/H8</f>
        <v>#DIV/0!</v>
      </c>
      <c r="AC8" s="1572"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82" t="s">
        <v>535</v>
      </c>
      <c r="Q9" s="1151" t="str">
        <f t="shared" ref="Q9:Q15" si="6">B9</f>
        <v>用途</v>
      </c>
      <c r="R9" s="1569" t="s">
        <v>8</v>
      </c>
      <c r="S9" s="1570">
        <f t="shared" si="0"/>
        <v>100</v>
      </c>
      <c r="T9" s="1569" t="s">
        <v>8</v>
      </c>
      <c r="U9" s="1570">
        <f t="shared" si="1"/>
        <v>100</v>
      </c>
      <c r="V9" s="1569" t="s">
        <v>8</v>
      </c>
      <c r="W9" s="1570">
        <f t="shared" si="2"/>
        <v>100</v>
      </c>
      <c r="X9" s="1571"/>
      <c r="Y9" s="3339"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82"/>
      <c r="Q11" s="1151" t="str">
        <f t="shared" si="6"/>
        <v>容积率</v>
      </c>
      <c r="R11" s="1569" t="s">
        <v>8</v>
      </c>
      <c r="S11" s="1570" t="e">
        <f t="shared" si="0"/>
        <v>#N/A</v>
      </c>
      <c r="T11" s="1569" t="s">
        <v>8</v>
      </c>
      <c r="U11" s="1570" t="e">
        <f t="shared" si="1"/>
        <v>#N/A</v>
      </c>
      <c r="V11" s="1569" t="s">
        <v>8</v>
      </c>
      <c r="W11" s="1570" t="e">
        <f t="shared" si="2"/>
        <v>#N/A</v>
      </c>
      <c r="X11" s="1571"/>
      <c r="Y11" s="3339"/>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82"/>
      <c r="Q12" s="1151">
        <f t="shared" si="6"/>
        <v>111</v>
      </c>
      <c r="R12" s="1569" t="s">
        <v>8</v>
      </c>
      <c r="S12" s="1570">
        <f t="shared" si="0"/>
        <v>100</v>
      </c>
      <c r="T12" s="1569" t="s">
        <v>8</v>
      </c>
      <c r="U12" s="1570">
        <f t="shared" si="1"/>
        <v>100</v>
      </c>
      <c r="V12" s="1569" t="s">
        <v>8</v>
      </c>
      <c r="W12" s="1570">
        <f t="shared" si="2"/>
        <v>100</v>
      </c>
      <c r="X12" s="1571"/>
      <c r="Y12" s="3339"/>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82"/>
      <c r="Q13" s="1151">
        <f t="shared" si="6"/>
        <v>111</v>
      </c>
      <c r="R13" s="1569" t="s">
        <v>8</v>
      </c>
      <c r="S13" s="1570">
        <f t="shared" si="0"/>
        <v>100</v>
      </c>
      <c r="T13" s="1569" t="s">
        <v>8</v>
      </c>
      <c r="U13" s="1570">
        <f t="shared" si="1"/>
        <v>100</v>
      </c>
      <c r="V13" s="1569" t="s">
        <v>8</v>
      </c>
      <c r="W13" s="1570">
        <f t="shared" si="2"/>
        <v>100</v>
      </c>
      <c r="X13" s="1571"/>
      <c r="Y13" s="3339"/>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82"/>
      <c r="Q14" s="1151">
        <f t="shared" si="6"/>
        <v>111</v>
      </c>
      <c r="R14" s="1569" t="s">
        <v>8</v>
      </c>
      <c r="S14" s="1570">
        <f t="shared" si="0"/>
        <v>100</v>
      </c>
      <c r="T14" s="1569" t="s">
        <v>8</v>
      </c>
      <c r="U14" s="1570">
        <f t="shared" si="1"/>
        <v>100</v>
      </c>
      <c r="V14" s="1569" t="s">
        <v>8</v>
      </c>
      <c r="W14" s="1570">
        <f t="shared" si="2"/>
        <v>100</v>
      </c>
      <c r="X14" s="1571"/>
      <c r="Y14" s="3339"/>
      <c r="Z14" s="1150">
        <f t="shared" si="7"/>
        <v>111</v>
      </c>
      <c r="AA14" s="1572">
        <f t="shared" si="3"/>
        <v>1</v>
      </c>
      <c r="AB14" s="1572">
        <f t="shared" si="4"/>
        <v>1</v>
      </c>
      <c r="AC14" s="1572">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84" t="s">
        <v>540</v>
      </c>
      <c r="Q15" s="1573" t="str">
        <f t="shared" si="6"/>
        <v>产业集聚程度</v>
      </c>
      <c r="R15" s="1574" t="s">
        <v>8</v>
      </c>
      <c r="S15" s="1575">
        <f t="shared" si="0"/>
        <v>100</v>
      </c>
      <c r="T15" s="1574" t="s">
        <v>8</v>
      </c>
      <c r="U15" s="1575">
        <f t="shared" si="1"/>
        <v>100</v>
      </c>
      <c r="V15" s="1574" t="s">
        <v>8</v>
      </c>
      <c r="W15" s="1575">
        <f t="shared" si="2"/>
        <v>100</v>
      </c>
      <c r="X15" s="1568"/>
      <c r="Y15" s="338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5"/>
      <c r="Q18" s="1573"/>
      <c r="R18" s="1574"/>
      <c r="S18" s="1575"/>
      <c r="T18" s="1574"/>
      <c r="U18" s="1575"/>
      <c r="V18" s="1574"/>
      <c r="W18" s="1575"/>
      <c r="X18" s="1568"/>
      <c r="Y18" s="3385"/>
      <c r="Z18" s="1576"/>
      <c r="AA18" s="1577">
        <v>1</v>
      </c>
      <c r="AB18" s="1577">
        <v>1</v>
      </c>
      <c r="AC18" s="1577">
        <v>1</v>
      </c>
    </row>
    <row r="19" spans="1:29" ht="42.75">
      <c r="A19" s="532"/>
      <c r="B19" s="2605"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85"/>
      <c r="Q20" s="1573"/>
      <c r="R20" s="1574"/>
      <c r="S20" s="1575"/>
      <c r="T20" s="1574"/>
      <c r="U20" s="1575"/>
      <c r="V20" s="1574"/>
      <c r="W20" s="1575"/>
      <c r="X20" s="1568"/>
      <c r="Y20" s="3385"/>
      <c r="Z20" s="1576"/>
      <c r="AA20" s="1577">
        <v>1</v>
      </c>
      <c r="AB20" s="1577">
        <v>1</v>
      </c>
      <c r="AC20" s="1577">
        <v>1</v>
      </c>
    </row>
    <row r="21" spans="1:29" ht="28.5">
      <c r="A21" s="532"/>
      <c r="B21" s="2593"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85"/>
      <c r="Q21" s="2581" t="str">
        <f>B21</f>
        <v>基础设施水平</v>
      </c>
      <c r="R21" s="1574" t="s">
        <v>8</v>
      </c>
      <c r="S21" s="1575">
        <f>F21</f>
        <v>100</v>
      </c>
      <c r="T21" s="1574" t="s">
        <v>8</v>
      </c>
      <c r="U21" s="1575">
        <f>H21</f>
        <v>100</v>
      </c>
      <c r="V21" s="1574" t="s">
        <v>8</v>
      </c>
      <c r="W21" s="1575">
        <f>J21</f>
        <v>100</v>
      </c>
      <c r="X21" s="2583"/>
      <c r="Y21" s="3385"/>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385"/>
      <c r="Q22" s="2581"/>
      <c r="R22" s="1574"/>
      <c r="S22" s="1575"/>
      <c r="T22" s="1574"/>
      <c r="U22" s="1575"/>
      <c r="V22" s="1574"/>
      <c r="W22" s="1575"/>
      <c r="X22" s="2583"/>
      <c r="Y22" s="3385"/>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85"/>
      <c r="Q24" s="1573"/>
      <c r="R24" s="1574"/>
      <c r="S24" s="1575"/>
      <c r="T24" s="1574"/>
      <c r="U24" s="1575"/>
      <c r="V24" s="1574"/>
      <c r="W24" s="1575"/>
      <c r="X24" s="1568"/>
      <c r="Y24" s="338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85"/>
      <c r="Q25" s="1573">
        <f>B25</f>
        <v>111</v>
      </c>
      <c r="R25" s="1574" t="s">
        <v>8</v>
      </c>
      <c r="S25" s="1575">
        <f>F25</f>
        <v>100</v>
      </c>
      <c r="T25" s="1574" t="s">
        <v>8</v>
      </c>
      <c r="U25" s="1575">
        <f>H25</f>
        <v>100</v>
      </c>
      <c r="V25" s="1574" t="s">
        <v>8</v>
      </c>
      <c r="W25" s="1575">
        <f>J25</f>
        <v>100</v>
      </c>
      <c r="X25" s="1568"/>
      <c r="Y25" s="338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85"/>
      <c r="Q26" s="1573">
        <f t="shared" ref="Q26:Q40" si="11">B26</f>
        <v>111</v>
      </c>
      <c r="R26" s="1574" t="s">
        <v>8</v>
      </c>
      <c r="S26" s="1575">
        <f>F26</f>
        <v>100</v>
      </c>
      <c r="T26" s="1574" t="s">
        <v>8</v>
      </c>
      <c r="U26" s="1575">
        <f>H26</f>
        <v>100</v>
      </c>
      <c r="V26" s="1574" t="s">
        <v>8</v>
      </c>
      <c r="W26" s="1575">
        <f>J26</f>
        <v>100</v>
      </c>
      <c r="X26" s="1568"/>
      <c r="Y26" s="338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85"/>
      <c r="Q27" s="1151">
        <f t="shared" si="11"/>
        <v>111</v>
      </c>
      <c r="R27" s="1569" t="s">
        <v>8</v>
      </c>
      <c r="S27" s="1570">
        <f>F27</f>
        <v>100</v>
      </c>
      <c r="T27" s="1569" t="s">
        <v>8</v>
      </c>
      <c r="U27" s="1570">
        <f>H27</f>
        <v>100</v>
      </c>
      <c r="V27" s="1569" t="s">
        <v>8</v>
      </c>
      <c r="W27" s="1570">
        <f>J27</f>
        <v>100</v>
      </c>
      <c r="X27" s="1571"/>
      <c r="Y27" s="338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85"/>
      <c r="Q28" s="1573">
        <f t="shared" si="11"/>
        <v>111</v>
      </c>
      <c r="R28" s="1574" t="s">
        <v>8</v>
      </c>
      <c r="S28" s="1575">
        <f t="shared" ref="S28:S40" si="12">F28</f>
        <v>100</v>
      </c>
      <c r="T28" s="1574" t="s">
        <v>8</v>
      </c>
      <c r="U28" s="1575">
        <f t="shared" ref="U28:U40" si="13">H28</f>
        <v>100</v>
      </c>
      <c r="V28" s="1574" t="s">
        <v>8</v>
      </c>
      <c r="W28" s="1575">
        <f t="shared" ref="W28:W40" si="14">J28</f>
        <v>100</v>
      </c>
      <c r="X28" s="1568"/>
      <c r="Y28" s="3385"/>
      <c r="Z28" s="1576">
        <f t="shared" ref="Z28:Z40" si="15">Q28</f>
        <v>111</v>
      </c>
      <c r="AA28" s="1577">
        <f t="shared" si="3"/>
        <v>1</v>
      </c>
      <c r="AB28" s="1577">
        <f t="shared" si="4"/>
        <v>1</v>
      </c>
      <c r="AC28" s="1577">
        <f t="shared" si="5"/>
        <v>1</v>
      </c>
    </row>
    <row r="29" spans="1:29" ht="15">
      <c r="A29" s="2909"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86" t="s">
        <v>550</v>
      </c>
      <c r="Q29" s="1573" t="str">
        <f t="shared" si="11"/>
        <v>建筑类型</v>
      </c>
      <c r="R29" s="1574" t="s">
        <v>8</v>
      </c>
      <c r="S29" s="1575">
        <f t="shared" si="12"/>
        <v>100</v>
      </c>
      <c r="T29" s="1574" t="s">
        <v>8</v>
      </c>
      <c r="U29" s="1575">
        <f t="shared" si="13"/>
        <v>100</v>
      </c>
      <c r="V29" s="1574" t="s">
        <v>8</v>
      </c>
      <c r="W29" s="1575">
        <f t="shared" si="14"/>
        <v>100</v>
      </c>
      <c r="X29" s="1568"/>
      <c r="Y29" s="338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87"/>
      <c r="Q30" s="1606" t="str">
        <f t="shared" si="11"/>
        <v>项目建筑规模</v>
      </c>
      <c r="R30" s="1578" t="s">
        <v>8</v>
      </c>
      <c r="S30" s="1579" t="e">
        <f t="shared" si="12"/>
        <v>#N/A</v>
      </c>
      <c r="T30" s="1578" t="s">
        <v>8</v>
      </c>
      <c r="U30" s="1579" t="e">
        <f t="shared" si="13"/>
        <v>#N/A</v>
      </c>
      <c r="V30" s="1578" t="s">
        <v>8</v>
      </c>
      <c r="W30" s="1579" t="e">
        <f t="shared" si="14"/>
        <v>#N/A</v>
      </c>
      <c r="X30" s="1580"/>
      <c r="Y30" s="338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87"/>
      <c r="Q31" s="1573" t="str">
        <f t="shared" si="11"/>
        <v>建筑结构</v>
      </c>
      <c r="R31" s="1574" t="s">
        <v>8</v>
      </c>
      <c r="S31" s="1575">
        <f t="shared" si="12"/>
        <v>100</v>
      </c>
      <c r="T31" s="1574" t="s">
        <v>8</v>
      </c>
      <c r="U31" s="1575">
        <f t="shared" si="13"/>
        <v>100</v>
      </c>
      <c r="V31" s="1574" t="s">
        <v>8</v>
      </c>
      <c r="W31" s="1575">
        <f t="shared" si="14"/>
        <v>100</v>
      </c>
      <c r="X31" s="1568"/>
      <c r="Y31" s="338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87"/>
      <c r="Q32" s="1573" t="str">
        <f t="shared" si="11"/>
        <v>公共部分装修</v>
      </c>
      <c r="R32" s="1574" t="s">
        <v>8</v>
      </c>
      <c r="S32" s="1575">
        <f t="shared" si="12"/>
        <v>100</v>
      </c>
      <c r="T32" s="1574" t="s">
        <v>8</v>
      </c>
      <c r="U32" s="1575">
        <f t="shared" si="13"/>
        <v>100</v>
      </c>
      <c r="V32" s="1574" t="s">
        <v>8</v>
      </c>
      <c r="W32" s="1575">
        <f t="shared" si="14"/>
        <v>100</v>
      </c>
      <c r="X32" s="1568"/>
      <c r="Y32" s="338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87"/>
      <c r="Q33" s="1573" t="str">
        <f t="shared" si="11"/>
        <v>成新度</v>
      </c>
      <c r="R33" s="1574" t="s">
        <v>8</v>
      </c>
      <c r="S33" s="1575" t="e">
        <f t="shared" si="12"/>
        <v>#N/A</v>
      </c>
      <c r="T33" s="1574" t="s">
        <v>8</v>
      </c>
      <c r="U33" s="1575" t="e">
        <f t="shared" si="13"/>
        <v>#N/A</v>
      </c>
      <c r="V33" s="1574" t="s">
        <v>8</v>
      </c>
      <c r="W33" s="1575" t="e">
        <f t="shared" si="14"/>
        <v>#N/A</v>
      </c>
      <c r="X33" s="1568"/>
      <c r="Y33" s="338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87"/>
      <c r="Q34" s="1151" t="str">
        <f t="shared" si="11"/>
        <v>物业管理</v>
      </c>
      <c r="R34" s="1569" t="s">
        <v>8</v>
      </c>
      <c r="S34" s="1570">
        <f t="shared" si="12"/>
        <v>100</v>
      </c>
      <c r="T34" s="1569" t="s">
        <v>8</v>
      </c>
      <c r="U34" s="1570">
        <f t="shared" si="13"/>
        <v>100</v>
      </c>
      <c r="V34" s="1569" t="s">
        <v>8</v>
      </c>
      <c r="W34" s="1570">
        <f t="shared" si="14"/>
        <v>100</v>
      </c>
      <c r="X34" s="1571"/>
      <c r="Y34" s="3387"/>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87" t="s">
        <v>550</v>
      </c>
      <c r="Q35" s="1573" t="str">
        <f t="shared" si="11"/>
        <v>市政基础设施</v>
      </c>
      <c r="R35" s="1574" t="s">
        <v>8</v>
      </c>
      <c r="S35" s="1575">
        <f t="shared" si="12"/>
        <v>100</v>
      </c>
      <c r="T35" s="1574" t="s">
        <v>8</v>
      </c>
      <c r="U35" s="1575">
        <f t="shared" si="13"/>
        <v>100</v>
      </c>
      <c r="V35" s="1574" t="s">
        <v>8</v>
      </c>
      <c r="W35" s="1575">
        <f t="shared" si="14"/>
        <v>100</v>
      </c>
      <c r="X35" s="1568"/>
      <c r="Y35" s="338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87"/>
      <c r="Q36" s="1573" t="str">
        <f t="shared" si="11"/>
        <v>内部装修</v>
      </c>
      <c r="R36" s="1574" t="s">
        <v>8</v>
      </c>
      <c r="S36" s="1575">
        <f t="shared" si="12"/>
        <v>100</v>
      </c>
      <c r="T36" s="1574" t="s">
        <v>8</v>
      </c>
      <c r="U36" s="1575">
        <f t="shared" si="13"/>
        <v>100</v>
      </c>
      <c r="V36" s="1574" t="s">
        <v>8</v>
      </c>
      <c r="W36" s="1575">
        <f t="shared" si="14"/>
        <v>100</v>
      </c>
      <c r="X36" s="1568"/>
      <c r="Y36" s="338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87"/>
      <c r="Q37" s="1573" t="str">
        <f t="shared" si="11"/>
        <v>内部装修状况</v>
      </c>
      <c r="R37" s="1574" t="s">
        <v>8</v>
      </c>
      <c r="S37" s="1575">
        <f t="shared" si="12"/>
        <v>100</v>
      </c>
      <c r="T37" s="1574" t="s">
        <v>8</v>
      </c>
      <c r="U37" s="1575">
        <f t="shared" si="13"/>
        <v>100</v>
      </c>
      <c r="V37" s="1574" t="s">
        <v>8</v>
      </c>
      <c r="W37" s="1575">
        <f t="shared" si="14"/>
        <v>100</v>
      </c>
      <c r="X37" s="1568"/>
      <c r="Y37" s="338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87"/>
      <c r="Q38" s="1606">
        <f t="shared" si="11"/>
        <v>111</v>
      </c>
      <c r="R38" s="1578" t="s">
        <v>8</v>
      </c>
      <c r="S38" s="1579">
        <f t="shared" si="12"/>
        <v>100</v>
      </c>
      <c r="T38" s="1578" t="s">
        <v>8</v>
      </c>
      <c r="U38" s="1579">
        <f t="shared" si="13"/>
        <v>100</v>
      </c>
      <c r="V38" s="1578" t="s">
        <v>8</v>
      </c>
      <c r="W38" s="1579">
        <f t="shared" si="14"/>
        <v>100</v>
      </c>
      <c r="X38" s="1580"/>
      <c r="Y38" s="338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87"/>
      <c r="Q39" s="1573">
        <f t="shared" si="11"/>
        <v>111</v>
      </c>
      <c r="R39" s="1574" t="s">
        <v>8</v>
      </c>
      <c r="S39" s="1575">
        <f t="shared" si="12"/>
        <v>100</v>
      </c>
      <c r="T39" s="1574" t="s">
        <v>8</v>
      </c>
      <c r="U39" s="1575">
        <f t="shared" si="13"/>
        <v>100</v>
      </c>
      <c r="V39" s="1574" t="s">
        <v>8</v>
      </c>
      <c r="W39" s="1575">
        <f t="shared" si="14"/>
        <v>100</v>
      </c>
      <c r="X39" s="1568"/>
      <c r="Y39" s="338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83"/>
      <c r="Q40" s="1573">
        <f t="shared" si="11"/>
        <v>111</v>
      </c>
      <c r="R40" s="1574" t="s">
        <v>8</v>
      </c>
      <c r="S40" s="1575">
        <f t="shared" si="12"/>
        <v>100</v>
      </c>
      <c r="T40" s="1574" t="s">
        <v>8</v>
      </c>
      <c r="U40" s="1575">
        <f t="shared" si="13"/>
        <v>100</v>
      </c>
      <c r="V40" s="1574" t="s">
        <v>8</v>
      </c>
      <c r="W40" s="1575">
        <f t="shared" si="14"/>
        <v>100</v>
      </c>
      <c r="X40" s="1568"/>
      <c r="Y40" s="3483"/>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82" t="str">
        <f>A41</f>
        <v>成交单价（元/平方米）</v>
      </c>
      <c r="Q41" s="3382"/>
      <c r="R41" s="3482">
        <f>E41</f>
        <v>0</v>
      </c>
      <c r="S41" s="3482"/>
      <c r="T41" s="3482">
        <f>G41</f>
        <v>0</v>
      </c>
      <c r="U41" s="3482"/>
      <c r="V41" s="3482">
        <f>I41</f>
        <v>0</v>
      </c>
      <c r="W41" s="3482"/>
      <c r="X41" s="1560"/>
      <c r="Y41" s="1582"/>
      <c r="Z41" s="1560"/>
      <c r="AA41" s="1560"/>
      <c r="AB41" s="1560"/>
      <c r="AC41" s="1560"/>
    </row>
    <row r="42" spans="1:29" ht="15.75" thickBot="1">
      <c r="A42" s="615" t="s">
        <v>2763</v>
      </c>
      <c r="B42" s="888"/>
      <c r="C42" s="2635" t="e">
        <f>R43</f>
        <v>#DIV/0!</v>
      </c>
      <c r="D42" s="2636"/>
      <c r="E42" s="2637" t="e">
        <f>R42</f>
        <v>#DIV/0!</v>
      </c>
      <c r="F42" s="2637"/>
      <c r="G42" s="2635" t="e">
        <f>T42</f>
        <v>#DIV/0!</v>
      </c>
      <c r="H42" s="2636"/>
      <c r="I42" s="2637" t="e">
        <f>V42</f>
        <v>#DIV/0!</v>
      </c>
      <c r="J42" s="2636"/>
      <c r="K42" s="1613"/>
      <c r="L42" s="2146"/>
      <c r="M42" s="2147"/>
      <c r="N42" s="2136"/>
      <c r="O42" s="2147"/>
      <c r="P42" s="3382" t="str">
        <f>A42</f>
        <v>比较价格（元/平方米）</v>
      </c>
      <c r="Q42" s="3382"/>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560"/>
      <c r="Y42" s="1560"/>
      <c r="Z42" s="1560"/>
      <c r="AA42" s="1560"/>
      <c r="AB42" s="1560"/>
      <c r="AC42" s="1560"/>
    </row>
    <row r="43" spans="1:29" ht="15.75" thickBot="1">
      <c r="A43" s="621" t="s">
        <v>2939</v>
      </c>
      <c r="B43" s="622"/>
      <c r="C43" s="2638" t="e">
        <f>R43</f>
        <v>#DIV/0!</v>
      </c>
      <c r="D43" s="2638"/>
      <c r="E43" s="2638"/>
      <c r="F43" s="2638"/>
      <c r="G43" s="2638"/>
      <c r="H43" s="2638"/>
      <c r="I43" s="2638"/>
      <c r="J43" s="2638"/>
      <c r="K43" s="1614"/>
      <c r="L43" s="2146"/>
      <c r="M43" s="2147"/>
      <c r="N43" s="2147"/>
      <c r="O43" s="2147"/>
      <c r="P43" s="3403" t="str">
        <f>A43</f>
        <v>估价对象XX用房的比较价格（楼面单价，元/平方米）</v>
      </c>
      <c r="Q43" s="3404"/>
      <c r="R43" s="3481" t="e">
        <f>IF(F1="售价",ROUND(AVERAGE(R42:V42),0),ROUND(AVERAGE(R42:V42),1))</f>
        <v>#DIV/0!</v>
      </c>
      <c r="S43" s="3481"/>
      <c r="T43" s="3481"/>
      <c r="U43" s="3481"/>
      <c r="V43" s="3481"/>
      <c r="W43" s="3481"/>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2018-10</v>
      </c>
      <c r="D52" s="2806">
        <f>EDATE(C52,-1)</f>
        <v>43344</v>
      </c>
      <c r="E52" s="2806">
        <f t="shared" ref="E52:O52" si="16">EDATE(D52,-1)</f>
        <v>43313</v>
      </c>
      <c r="F52" s="2806">
        <f t="shared" si="16"/>
        <v>43282</v>
      </c>
      <c r="G52" s="2806">
        <f t="shared" si="16"/>
        <v>43252</v>
      </c>
      <c r="H52" s="2806">
        <f t="shared" si="16"/>
        <v>43221</v>
      </c>
      <c r="I52" s="2806">
        <f t="shared" si="16"/>
        <v>43191</v>
      </c>
      <c r="J52" s="2806">
        <f t="shared" si="16"/>
        <v>43160</v>
      </c>
      <c r="K52" s="2806">
        <f t="shared" si="16"/>
        <v>43132</v>
      </c>
      <c r="L52" s="2806">
        <f t="shared" si="16"/>
        <v>43101</v>
      </c>
      <c r="M52" s="2806">
        <f t="shared" si="16"/>
        <v>43070</v>
      </c>
      <c r="N52" s="2806">
        <f t="shared" si="16"/>
        <v>43040</v>
      </c>
      <c r="O52" s="2806">
        <f t="shared" si="16"/>
        <v>43009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2561</v>
      </c>
      <c r="C76" s="2600" t="s">
        <v>2562</v>
      </c>
      <c r="D76" s="2600" t="s">
        <v>2563</v>
      </c>
      <c r="E76" s="2600" t="s">
        <v>2564</v>
      </c>
      <c r="F76" s="2600" t="s">
        <v>2565</v>
      </c>
      <c r="G76" s="2600"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15721.95平方米。根据《建设工程规划许可证》[]、《出让合同》[]，估价对象规划建筑面积为147819.42平方米。</v>
      </c>
    </row>
    <row r="7" spans="1:4" ht="93.75">
      <c r="A7" s="2875" t="s">
        <v>2751</v>
      </c>
    </row>
    <row r="8" spans="1:4" ht="18.75">
      <c r="A8" s="1796" t="s">
        <v>1907</v>
      </c>
    </row>
    <row r="9" spans="1:4" ht="75">
      <c r="A9" s="179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2018年10月17日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根据《国有土地使用证》[]，估价对象（分摊）出让国有建设用地使用权面积为15721.95平方米。根据《建设工程规划许可证》[]、《出让合同》[]，估价对象规划建筑面积为147819.42平方米。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7"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10月17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88" t="s">
        <v>798</v>
      </c>
      <c r="D4" s="3389"/>
      <c r="E4" s="3388" t="s">
        <v>799</v>
      </c>
      <c r="F4" s="3389"/>
      <c r="G4" s="3388" t="s">
        <v>800</v>
      </c>
      <c r="H4" s="3389"/>
      <c r="I4" s="3388" t="s">
        <v>801</v>
      </c>
      <c r="J4" s="3389"/>
      <c r="K4" s="514" t="s">
        <v>802</v>
      </c>
      <c r="L4" s="2135"/>
      <c r="M4" s="2136"/>
      <c r="N4" s="2136"/>
      <c r="O4" s="2136"/>
      <c r="P4" s="3390" t="s">
        <v>803</v>
      </c>
      <c r="Q4" s="3391"/>
      <c r="R4" s="3376" t="s">
        <v>799</v>
      </c>
      <c r="S4" s="3377"/>
      <c r="T4" s="3376" t="s">
        <v>800</v>
      </c>
      <c r="U4" s="3377"/>
      <c r="V4" s="3396" t="s">
        <v>801</v>
      </c>
      <c r="W4" s="3396"/>
      <c r="X4" s="1568"/>
      <c r="Y4" s="3376" t="s">
        <v>803</v>
      </c>
      <c r="Z4" s="3377"/>
      <c r="AA4" s="3371" t="s">
        <v>799</v>
      </c>
      <c r="AB4" s="3372" t="s">
        <v>800</v>
      </c>
      <c r="AC4" s="3371" t="s">
        <v>801</v>
      </c>
    </row>
    <row r="5" spans="1:29" ht="15">
      <c r="A5" s="515"/>
      <c r="B5" s="516"/>
      <c r="C5" s="3399" t="s">
        <v>2933</v>
      </c>
      <c r="D5" s="3400"/>
      <c r="E5" s="3399" t="s">
        <v>2934</v>
      </c>
      <c r="F5" s="3400"/>
      <c r="G5" s="3399" t="s">
        <v>2935</v>
      </c>
      <c r="H5" s="3400"/>
      <c r="I5" s="3399" t="s">
        <v>2936</v>
      </c>
      <c r="J5" s="3400"/>
      <c r="K5" s="514"/>
      <c r="L5" s="2135"/>
      <c r="M5" s="2136"/>
      <c r="N5" s="2136"/>
      <c r="O5" s="2136"/>
      <c r="P5" s="3392"/>
      <c r="Q5" s="3393"/>
      <c r="R5" s="3378"/>
      <c r="S5" s="3379"/>
      <c r="T5" s="3378"/>
      <c r="U5" s="3379"/>
      <c r="V5" s="3396"/>
      <c r="W5" s="3396"/>
      <c r="X5" s="1568"/>
      <c r="Y5" s="3378"/>
      <c r="Z5" s="3379"/>
      <c r="AA5" s="3372"/>
      <c r="AB5" s="3372"/>
      <c r="AC5" s="3372"/>
    </row>
    <row r="6" spans="1:29" ht="15.75" thickBot="1">
      <c r="A6" s="517"/>
      <c r="B6" s="518"/>
      <c r="C6" s="3397" t="s">
        <v>2937</v>
      </c>
      <c r="D6" s="3398"/>
      <c r="E6" s="3401" t="s">
        <v>2937</v>
      </c>
      <c r="F6" s="3402"/>
      <c r="G6" s="3397" t="s">
        <v>2937</v>
      </c>
      <c r="H6" s="3398"/>
      <c r="I6" s="3397" t="s">
        <v>2937</v>
      </c>
      <c r="J6" s="3398"/>
      <c r="K6" s="514" t="s">
        <v>528</v>
      </c>
      <c r="L6" s="2135"/>
      <c r="M6" s="2136"/>
      <c r="N6" s="2136"/>
      <c r="O6" s="2136"/>
      <c r="P6" s="3394"/>
      <c r="Q6" s="3395"/>
      <c r="R6" s="3378"/>
      <c r="S6" s="3379"/>
      <c r="T6" s="3380"/>
      <c r="U6" s="3381"/>
      <c r="V6" s="3396"/>
      <c r="W6" s="3396"/>
      <c r="X6" s="1568"/>
      <c r="Y6" s="3380"/>
      <c r="Z6" s="3381"/>
      <c r="AA6" s="3373"/>
      <c r="AB6" s="3373"/>
      <c r="AC6" s="3373"/>
    </row>
    <row r="7" spans="1:29" s="1220" customFormat="1" ht="15.75" thickBot="1">
      <c r="A7" s="2913"/>
      <c r="B7" s="2920" t="s">
        <v>529</v>
      </c>
      <c r="C7" s="519">
        <f>'数据-取费表'!B2</f>
        <v>43390</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74" t="s">
        <v>530</v>
      </c>
      <c r="Q7" s="3383"/>
      <c r="R7" s="1569" t="s">
        <v>8</v>
      </c>
      <c r="S7" s="1570">
        <f t="shared" ref="S7:S14" si="0">F7</f>
        <v>0</v>
      </c>
      <c r="T7" s="1569" t="s">
        <v>8</v>
      </c>
      <c r="U7" s="1570">
        <f t="shared" ref="U7:U14" si="1">H7</f>
        <v>0</v>
      </c>
      <c r="V7" s="1569" t="s">
        <v>8</v>
      </c>
      <c r="W7" s="1570">
        <f t="shared" ref="W7:W14" si="2">J7</f>
        <v>0</v>
      </c>
      <c r="X7" s="1571"/>
      <c r="Y7" s="3374" t="s">
        <v>530</v>
      </c>
      <c r="Z7" s="3375"/>
      <c r="AA7" s="1572" t="e">
        <f>D7/F7</f>
        <v>#DIV/0!</v>
      </c>
      <c r="AB7" s="1572" t="e">
        <f>D7/H7</f>
        <v>#DIV/0!</v>
      </c>
      <c r="AC7" s="1572"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74" t="s">
        <v>533</v>
      </c>
      <c r="Q8" s="3375"/>
      <c r="R8" s="1569" t="s">
        <v>8</v>
      </c>
      <c r="S8" s="1570">
        <f t="shared" si="0"/>
        <v>0</v>
      </c>
      <c r="T8" s="1569" t="s">
        <v>8</v>
      </c>
      <c r="U8" s="1570">
        <f t="shared" si="1"/>
        <v>0</v>
      </c>
      <c r="V8" s="1569" t="s">
        <v>8</v>
      </c>
      <c r="W8" s="1570">
        <f t="shared" si="2"/>
        <v>0</v>
      </c>
      <c r="X8" s="1571"/>
      <c r="Y8" s="3374" t="s">
        <v>533</v>
      </c>
      <c r="Z8" s="3375"/>
      <c r="AA8" s="1572" t="e">
        <f t="shared" ref="AA8:AA36" si="3">D8/F8</f>
        <v>#DIV/0!</v>
      </c>
      <c r="AB8" s="1572" t="e">
        <f t="shared" ref="AB8:AB36" si="4">D8/H8</f>
        <v>#DIV/0!</v>
      </c>
      <c r="AC8" s="1572" t="e">
        <f t="shared" ref="AC8:AC36" si="5">D8/J8</f>
        <v>#DIV/0!</v>
      </c>
    </row>
    <row r="9" spans="1:29" s="1220" customFormat="1" ht="15">
      <c r="A9" s="2915"/>
      <c r="B9" s="2922"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82" t="s">
        <v>535</v>
      </c>
      <c r="Q9" s="1151" t="str">
        <f t="shared" ref="Q9:Q14" si="6">B9</f>
        <v>用途</v>
      </c>
      <c r="R9" s="1569" t="s">
        <v>8</v>
      </c>
      <c r="S9" s="1570">
        <f t="shared" si="0"/>
        <v>100</v>
      </c>
      <c r="T9" s="1569" t="s">
        <v>8</v>
      </c>
      <c r="U9" s="1570">
        <f t="shared" si="1"/>
        <v>100</v>
      </c>
      <c r="V9" s="1569" t="s">
        <v>8</v>
      </c>
      <c r="W9" s="1570">
        <f t="shared" si="2"/>
        <v>100</v>
      </c>
      <c r="X9" s="1571"/>
      <c r="Y9" s="3339" t="s">
        <v>536</v>
      </c>
      <c r="Z9" s="1150" t="str">
        <f t="shared" ref="Z9:Z14" si="7">Q9</f>
        <v>用途</v>
      </c>
      <c r="AA9" s="1572">
        <f t="shared" si="3"/>
        <v>1</v>
      </c>
      <c r="AB9" s="1572">
        <f t="shared" si="4"/>
        <v>1</v>
      </c>
      <c r="AC9" s="1572">
        <f t="shared" si="5"/>
        <v>1</v>
      </c>
    </row>
    <row r="10" spans="1:29" s="1338" customFormat="1" ht="27">
      <c r="A10" s="2916"/>
      <c r="B10" s="2921"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82"/>
      <c r="Q11" s="1151">
        <f t="shared" si="6"/>
        <v>111</v>
      </c>
      <c r="R11" s="1569" t="s">
        <v>8</v>
      </c>
      <c r="S11" s="1570">
        <f t="shared" si="0"/>
        <v>100</v>
      </c>
      <c r="T11" s="1569" t="s">
        <v>8</v>
      </c>
      <c r="U11" s="1570">
        <f t="shared" si="1"/>
        <v>100</v>
      </c>
      <c r="V11" s="1569" t="s">
        <v>8</v>
      </c>
      <c r="W11" s="1570">
        <f t="shared" si="2"/>
        <v>100</v>
      </c>
      <c r="X11" s="1571"/>
      <c r="Y11" s="3339"/>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82"/>
      <c r="Q12" s="1151">
        <f t="shared" si="6"/>
        <v>111</v>
      </c>
      <c r="R12" s="1569" t="s">
        <v>8</v>
      </c>
      <c r="S12" s="1570">
        <f t="shared" si="0"/>
        <v>100</v>
      </c>
      <c r="T12" s="1569" t="s">
        <v>8</v>
      </c>
      <c r="U12" s="1570">
        <f t="shared" si="1"/>
        <v>100</v>
      </c>
      <c r="V12" s="1569" t="s">
        <v>8</v>
      </c>
      <c r="W12" s="1570">
        <f t="shared" si="2"/>
        <v>100</v>
      </c>
      <c r="X12" s="1571"/>
      <c r="Y12" s="3339"/>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82"/>
      <c r="Q13" s="1151">
        <f t="shared" si="6"/>
        <v>111</v>
      </c>
      <c r="R13" s="1569" t="s">
        <v>8</v>
      </c>
      <c r="S13" s="1570">
        <f t="shared" si="0"/>
        <v>100</v>
      </c>
      <c r="T13" s="1569" t="s">
        <v>8</v>
      </c>
      <c r="U13" s="1570">
        <f t="shared" si="1"/>
        <v>100</v>
      </c>
      <c r="V13" s="1569" t="s">
        <v>8</v>
      </c>
      <c r="W13" s="1570">
        <f t="shared" si="2"/>
        <v>100</v>
      </c>
      <c r="X13" s="1571"/>
      <c r="Y13" s="3339"/>
      <c r="Z13" s="1150">
        <f t="shared" si="7"/>
        <v>111</v>
      </c>
      <c r="AA13" s="1572">
        <f t="shared" si="3"/>
        <v>1</v>
      </c>
      <c r="AB13" s="1572">
        <f t="shared" si="4"/>
        <v>1</v>
      </c>
      <c r="AC13" s="1572">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84" t="s">
        <v>540</v>
      </c>
      <c r="Q14" s="1573" t="str">
        <f t="shared" si="6"/>
        <v>交通便捷度</v>
      </c>
      <c r="R14" s="1574" t="s">
        <v>8</v>
      </c>
      <c r="S14" s="1575">
        <f t="shared" si="0"/>
        <v>100</v>
      </c>
      <c r="T14" s="1574" t="s">
        <v>8</v>
      </c>
      <c r="U14" s="1575">
        <f t="shared" si="1"/>
        <v>100</v>
      </c>
      <c r="V14" s="1574" t="s">
        <v>8</v>
      </c>
      <c r="W14" s="1575">
        <f t="shared" si="2"/>
        <v>100</v>
      </c>
      <c r="X14" s="1568"/>
      <c r="Y14" s="338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85"/>
      <c r="Q15" s="1573"/>
      <c r="R15" s="1574"/>
      <c r="S15" s="1575"/>
      <c r="T15" s="1574"/>
      <c r="U15" s="1575"/>
      <c r="V15" s="1574"/>
      <c r="W15" s="1575"/>
      <c r="X15" s="1568"/>
      <c r="Y15" s="3385"/>
      <c r="Z15" s="1576"/>
      <c r="AA15" s="1577">
        <v>1</v>
      </c>
      <c r="AB15" s="1577">
        <v>1</v>
      </c>
      <c r="AC15" s="1577">
        <v>1</v>
      </c>
    </row>
    <row r="16" spans="1:29" ht="42.75">
      <c r="A16" s="515"/>
      <c r="B16" s="2605"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85"/>
      <c r="Q17" s="1573"/>
      <c r="R17" s="1574"/>
      <c r="S17" s="1575"/>
      <c r="T17" s="1574"/>
      <c r="U17" s="1575"/>
      <c r="V17" s="1574"/>
      <c r="W17" s="1575"/>
      <c r="X17" s="1568"/>
      <c r="Y17" s="3385"/>
      <c r="Z17" s="1576"/>
      <c r="AA17" s="1577">
        <v>1</v>
      </c>
      <c r="AB17" s="1577">
        <v>1</v>
      </c>
      <c r="AC17" s="1577">
        <v>1</v>
      </c>
    </row>
    <row r="18" spans="1:29" ht="28.5">
      <c r="A18" s="515"/>
      <c r="B18" s="2593"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85"/>
      <c r="Q18" s="2581" t="str">
        <f>B18</f>
        <v>基础设施水平</v>
      </c>
      <c r="R18" s="1574" t="s">
        <v>8</v>
      </c>
      <c r="S18" s="1575">
        <f>F18</f>
        <v>100</v>
      </c>
      <c r="T18" s="1574" t="s">
        <v>8</v>
      </c>
      <c r="U18" s="1575">
        <f>H18</f>
        <v>100</v>
      </c>
      <c r="V18" s="1574" t="s">
        <v>8</v>
      </c>
      <c r="W18" s="1575">
        <f>J18</f>
        <v>100</v>
      </c>
      <c r="X18" s="2583"/>
      <c r="Y18" s="3385"/>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385"/>
      <c r="Q19" s="2581"/>
      <c r="R19" s="1574"/>
      <c r="S19" s="1575"/>
      <c r="T19" s="1574"/>
      <c r="U19" s="1575"/>
      <c r="V19" s="1574"/>
      <c r="W19" s="1575"/>
      <c r="X19" s="2583"/>
      <c r="Y19" s="3385"/>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85"/>
      <c r="Q21" s="1573"/>
      <c r="R21" s="1574"/>
      <c r="S21" s="1575"/>
      <c r="T21" s="1574"/>
      <c r="U21" s="1575"/>
      <c r="V21" s="1574"/>
      <c r="W21" s="1575"/>
      <c r="X21" s="1568"/>
      <c r="Y21" s="338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85"/>
      <c r="Q24" s="1573">
        <f t="shared" ref="Q24:Q36" si="11">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85"/>
      <c r="Q25" s="1151">
        <f t="shared" si="11"/>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909"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8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87"/>
      <c r="Q27" s="1606" t="str">
        <f t="shared" si="11"/>
        <v>项目停车位配比</v>
      </c>
      <c r="R27" s="1578" t="s">
        <v>8</v>
      </c>
      <c r="S27" s="1579">
        <f t="shared" si="12"/>
        <v>100</v>
      </c>
      <c r="T27" s="1578" t="s">
        <v>8</v>
      </c>
      <c r="U27" s="1579">
        <f t="shared" si="13"/>
        <v>100</v>
      </c>
      <c r="V27" s="1578" t="s">
        <v>8</v>
      </c>
      <c r="W27" s="1579">
        <f t="shared" si="14"/>
        <v>100</v>
      </c>
      <c r="X27" s="1580"/>
      <c r="Y27" s="338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87"/>
      <c r="Q28" s="1573" t="str">
        <f t="shared" si="11"/>
        <v>公共部分装修</v>
      </c>
      <c r="R28" s="1574" t="s">
        <v>8</v>
      </c>
      <c r="S28" s="1575">
        <f t="shared" si="12"/>
        <v>100</v>
      </c>
      <c r="T28" s="1574" t="s">
        <v>8</v>
      </c>
      <c r="U28" s="1575">
        <f t="shared" si="13"/>
        <v>100</v>
      </c>
      <c r="V28" s="1574" t="s">
        <v>8</v>
      </c>
      <c r="W28" s="1575">
        <f t="shared" si="14"/>
        <v>100</v>
      </c>
      <c r="X28" s="1568"/>
      <c r="Y28" s="3387"/>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87"/>
      <c r="Q29" s="1573" t="str">
        <f t="shared" si="11"/>
        <v>成新率</v>
      </c>
      <c r="R29" s="1574" t="s">
        <v>8</v>
      </c>
      <c r="S29" s="1575" t="e">
        <f t="shared" si="12"/>
        <v>#N/A</v>
      </c>
      <c r="T29" s="1574" t="s">
        <v>8</v>
      </c>
      <c r="U29" s="1575" t="e">
        <f t="shared" si="13"/>
        <v>#N/A</v>
      </c>
      <c r="V29" s="1574" t="s">
        <v>8</v>
      </c>
      <c r="W29" s="1575" t="e">
        <f t="shared" si="14"/>
        <v>#N/A</v>
      </c>
      <c r="X29" s="1568"/>
      <c r="Y29" s="3387"/>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87"/>
      <c r="Q30" s="1573" t="str">
        <f t="shared" si="11"/>
        <v>物业等级</v>
      </c>
      <c r="R30" s="1574" t="s">
        <v>8</v>
      </c>
      <c r="S30" s="1575">
        <f t="shared" si="12"/>
        <v>100</v>
      </c>
      <c r="T30" s="1574" t="s">
        <v>8</v>
      </c>
      <c r="U30" s="1575">
        <f t="shared" si="13"/>
        <v>100</v>
      </c>
      <c r="V30" s="1574" t="s">
        <v>8</v>
      </c>
      <c r="W30" s="1575">
        <f t="shared" si="14"/>
        <v>100</v>
      </c>
      <c r="X30" s="1568"/>
      <c r="Y30" s="3387"/>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87"/>
      <c r="Q31" s="1151" t="str">
        <f t="shared" si="11"/>
        <v>停车位面积</v>
      </c>
      <c r="R31" s="1569" t="s">
        <v>8</v>
      </c>
      <c r="S31" s="1570" t="e">
        <f t="shared" si="12"/>
        <v>#N/A</v>
      </c>
      <c r="T31" s="1569" t="s">
        <v>8</v>
      </c>
      <c r="U31" s="1570" t="e">
        <f t="shared" si="13"/>
        <v>#N/A</v>
      </c>
      <c r="V31" s="1569" t="s">
        <v>8</v>
      </c>
      <c r="W31" s="1570" t="e">
        <f t="shared" si="14"/>
        <v>#N/A</v>
      </c>
      <c r="X31" s="1571"/>
      <c r="Y31" s="3387"/>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87" t="s">
        <v>550</v>
      </c>
      <c r="Q32" s="1573" t="str">
        <f t="shared" si="11"/>
        <v>车位类型</v>
      </c>
      <c r="R32" s="1574" t="s">
        <v>8</v>
      </c>
      <c r="S32" s="1575">
        <f t="shared" si="12"/>
        <v>100</v>
      </c>
      <c r="T32" s="1574" t="s">
        <v>8</v>
      </c>
      <c r="U32" s="1575">
        <f t="shared" si="13"/>
        <v>100</v>
      </c>
      <c r="V32" s="1574" t="s">
        <v>8</v>
      </c>
      <c r="W32" s="1575">
        <f t="shared" si="14"/>
        <v>100</v>
      </c>
      <c r="X32" s="1568"/>
      <c r="Y32" s="338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87"/>
      <c r="Q33" s="1573" t="str">
        <f t="shared" si="11"/>
        <v>是否直接入户</v>
      </c>
      <c r="R33" s="1574" t="s">
        <v>8</v>
      </c>
      <c r="S33" s="1575">
        <f t="shared" si="12"/>
        <v>100</v>
      </c>
      <c r="T33" s="1574" t="s">
        <v>8</v>
      </c>
      <c r="U33" s="1575">
        <f t="shared" si="13"/>
        <v>100</v>
      </c>
      <c r="V33" s="1574" t="s">
        <v>8</v>
      </c>
      <c r="W33" s="1575">
        <f t="shared" si="14"/>
        <v>100</v>
      </c>
      <c r="X33" s="1568"/>
      <c r="Y33" s="338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87"/>
      <c r="Q34" s="1573">
        <f t="shared" si="11"/>
        <v>111</v>
      </c>
      <c r="R34" s="1574" t="s">
        <v>8</v>
      </c>
      <c r="S34" s="1575">
        <f t="shared" si="12"/>
        <v>100</v>
      </c>
      <c r="T34" s="1574" t="s">
        <v>8</v>
      </c>
      <c r="U34" s="1575">
        <f t="shared" si="13"/>
        <v>100</v>
      </c>
      <c r="V34" s="1574" t="s">
        <v>8</v>
      </c>
      <c r="W34" s="1575">
        <f t="shared" si="14"/>
        <v>100</v>
      </c>
      <c r="X34" s="1568"/>
      <c r="Y34" s="338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87"/>
      <c r="Q35" s="1606">
        <f t="shared" si="11"/>
        <v>111</v>
      </c>
      <c r="R35" s="1578" t="s">
        <v>8</v>
      </c>
      <c r="S35" s="1579">
        <f t="shared" si="12"/>
        <v>100</v>
      </c>
      <c r="T35" s="1578" t="s">
        <v>8</v>
      </c>
      <c r="U35" s="1579">
        <f t="shared" si="13"/>
        <v>100</v>
      </c>
      <c r="V35" s="1578" t="s">
        <v>8</v>
      </c>
      <c r="W35" s="1579">
        <f t="shared" si="14"/>
        <v>100</v>
      </c>
      <c r="X35" s="1580"/>
      <c r="Y35" s="338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87"/>
      <c r="Q36" s="1573">
        <f t="shared" si="11"/>
        <v>111</v>
      </c>
      <c r="R36" s="1574" t="s">
        <v>8</v>
      </c>
      <c r="S36" s="1575">
        <f t="shared" si="12"/>
        <v>100</v>
      </c>
      <c r="T36" s="1574" t="s">
        <v>8</v>
      </c>
      <c r="U36" s="1575">
        <f t="shared" si="13"/>
        <v>100</v>
      </c>
      <c r="V36" s="1574" t="s">
        <v>8</v>
      </c>
      <c r="W36" s="1575">
        <f t="shared" si="14"/>
        <v>100</v>
      </c>
      <c r="X36" s="1568"/>
      <c r="Y36" s="3387"/>
      <c r="Z36" s="1576">
        <f t="shared" si="15"/>
        <v>111</v>
      </c>
      <c r="AA36" s="1577">
        <f t="shared" si="3"/>
        <v>1</v>
      </c>
      <c r="AB36" s="1577">
        <f t="shared" si="4"/>
        <v>1</v>
      </c>
      <c r="AC36" s="1577">
        <f t="shared" si="5"/>
        <v>1</v>
      </c>
    </row>
    <row r="37" spans="1:29" ht="15">
      <c r="A37" s="1848" t="s">
        <v>2080</v>
      </c>
      <c r="B37" s="1849" t="s">
        <v>2081</v>
      </c>
      <c r="C37" s="2629" t="s">
        <v>1</v>
      </c>
      <c r="D37" s="2630"/>
      <c r="E37" s="2631"/>
      <c r="F37" s="2632"/>
      <c r="G37" s="2633"/>
      <c r="H37" s="2634"/>
      <c r="I37" s="2631"/>
      <c r="J37" s="2634"/>
      <c r="K37" s="1612"/>
      <c r="L37" s="2146"/>
      <c r="M37" s="2147"/>
      <c r="N37" s="2136"/>
      <c r="O37" s="2147"/>
      <c r="P37" s="3382" t="str">
        <f>A37</f>
        <v>成交单价</v>
      </c>
      <c r="Q37" s="3382"/>
      <c r="R37" s="3482">
        <f>E37</f>
        <v>0</v>
      </c>
      <c r="S37" s="3482"/>
      <c r="T37" s="3482">
        <f>G37</f>
        <v>0</v>
      </c>
      <c r="U37" s="3482"/>
      <c r="V37" s="3482">
        <f>I37</f>
        <v>0</v>
      </c>
      <c r="W37" s="3482"/>
      <c r="X37" s="1560"/>
      <c r="Y37" s="1582"/>
      <c r="Z37" s="1560"/>
      <c r="AA37" s="1560"/>
      <c r="AB37" s="1560"/>
      <c r="AC37" s="1560"/>
    </row>
    <row r="38" spans="1:29" ht="15.75" thickBot="1">
      <c r="A38" s="615" t="s">
        <v>2763</v>
      </c>
      <c r="B38" s="888"/>
      <c r="C38" s="2635" t="e">
        <f>R39</f>
        <v>#DIV/0!</v>
      </c>
      <c r="D38" s="2636"/>
      <c r="E38" s="2637" t="e">
        <f>R38</f>
        <v>#DIV/0!</v>
      </c>
      <c r="F38" s="2637"/>
      <c r="G38" s="2635" t="e">
        <f>T38</f>
        <v>#DIV/0!</v>
      </c>
      <c r="H38" s="2636"/>
      <c r="I38" s="2637" t="e">
        <f>V38</f>
        <v>#DIV/0!</v>
      </c>
      <c r="J38" s="2636"/>
      <c r="K38" s="1613"/>
      <c r="L38" s="2146"/>
      <c r="M38" s="2147"/>
      <c r="N38" s="2147"/>
      <c r="O38" s="2147"/>
      <c r="P38" s="3382" t="str">
        <f>A38</f>
        <v>比较价格（元/平方米）</v>
      </c>
      <c r="Q38" s="3382"/>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1560"/>
      <c r="Y38" s="1560"/>
      <c r="Z38" s="1560"/>
      <c r="AA38" s="1560"/>
      <c r="AB38" s="1560"/>
      <c r="AC38" s="1560"/>
    </row>
    <row r="39" spans="1:29" ht="15.75" thickBot="1">
      <c r="A39" s="621" t="s">
        <v>2939</v>
      </c>
      <c r="B39" s="622"/>
      <c r="C39" s="2638" t="e">
        <f>R39</f>
        <v>#DIV/0!</v>
      </c>
      <c r="D39" s="2638"/>
      <c r="E39" s="2638"/>
      <c r="F39" s="2638"/>
      <c r="G39" s="2638"/>
      <c r="H39" s="2638"/>
      <c r="I39" s="2638"/>
      <c r="J39" s="2638"/>
      <c r="K39" s="1614"/>
      <c r="L39" s="2146"/>
      <c r="M39" s="2147"/>
      <c r="N39" s="2147"/>
      <c r="O39" s="2147"/>
      <c r="P39" s="3403" t="str">
        <f>A39</f>
        <v>估价对象XX用房的比较价格（楼面单价，元/平方米）</v>
      </c>
      <c r="Q39" s="3404"/>
      <c r="R39" s="3481" t="e">
        <f>IF(F1="售价",ROUND(AVERAGE(R38:V38),0),ROUND(AVERAGE(R38:V38),1))</f>
        <v>#DIV/0!</v>
      </c>
      <c r="S39" s="3481"/>
      <c r="T39" s="3481"/>
      <c r="U39" s="3481"/>
      <c r="V39" s="3481"/>
      <c r="W39" s="3481"/>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2018-10</v>
      </c>
      <c r="D48" s="2806">
        <f>EDATE(C48,-1)</f>
        <v>43344</v>
      </c>
      <c r="E48" s="2806">
        <f t="shared" ref="E48:O48" si="16">EDATE(D48,-1)</f>
        <v>43313</v>
      </c>
      <c r="F48" s="2806">
        <f t="shared" si="16"/>
        <v>43282</v>
      </c>
      <c r="G48" s="2806">
        <f t="shared" si="16"/>
        <v>43252</v>
      </c>
      <c r="H48" s="2806">
        <f t="shared" si="16"/>
        <v>43221</v>
      </c>
      <c r="I48" s="2806">
        <f t="shared" si="16"/>
        <v>43191</v>
      </c>
      <c r="J48" s="2806">
        <f t="shared" si="16"/>
        <v>43160</v>
      </c>
      <c r="K48" s="2806">
        <f t="shared" si="16"/>
        <v>43132</v>
      </c>
      <c r="L48" s="2806">
        <f t="shared" si="16"/>
        <v>43101</v>
      </c>
      <c r="M48" s="2806">
        <f t="shared" si="16"/>
        <v>43070</v>
      </c>
      <c r="N48" s="2806">
        <f t="shared" si="16"/>
        <v>43040</v>
      </c>
      <c r="O48" s="2806">
        <f t="shared" si="16"/>
        <v>43009</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2561</v>
      </c>
      <c r="C67" s="2600" t="s">
        <v>2562</v>
      </c>
      <c r="D67" s="2600" t="s">
        <v>2563</v>
      </c>
      <c r="E67" s="2600" t="s">
        <v>2564</v>
      </c>
      <c r="F67" s="2600" t="s">
        <v>2565</v>
      </c>
      <c r="G67" s="2600" t="s">
        <v>2566</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88" t="s">
        <v>798</v>
      </c>
      <c r="D4" s="3389"/>
      <c r="E4" s="3412" t="s">
        <v>799</v>
      </c>
      <c r="F4" s="3413"/>
      <c r="G4" s="3388" t="s">
        <v>800</v>
      </c>
      <c r="H4" s="3389"/>
      <c r="I4" s="3388" t="s">
        <v>801</v>
      </c>
      <c r="J4" s="3389"/>
      <c r="K4" s="514" t="s">
        <v>802</v>
      </c>
      <c r="L4" s="2135"/>
      <c r="M4" s="2136"/>
      <c r="N4" s="2136"/>
      <c r="O4" s="2136"/>
      <c r="P4" s="3390" t="s">
        <v>803</v>
      </c>
      <c r="Q4" s="3391"/>
      <c r="R4" s="3376" t="s">
        <v>799</v>
      </c>
      <c r="S4" s="3377"/>
      <c r="T4" s="3376" t="s">
        <v>800</v>
      </c>
      <c r="U4" s="3377"/>
      <c r="V4" s="3396" t="s">
        <v>801</v>
      </c>
      <c r="W4" s="3396"/>
      <c r="X4" s="1568"/>
      <c r="Y4" s="3376" t="s">
        <v>803</v>
      </c>
      <c r="Z4" s="3377"/>
      <c r="AA4" s="3371" t="s">
        <v>799</v>
      </c>
      <c r="AB4" s="3372" t="s">
        <v>800</v>
      </c>
      <c r="AC4" s="3371" t="s">
        <v>801</v>
      </c>
    </row>
    <row r="5" spans="1:29" ht="15">
      <c r="A5" s="515"/>
      <c r="B5" s="516"/>
      <c r="C5" s="3399" t="s">
        <v>2933</v>
      </c>
      <c r="D5" s="3400"/>
      <c r="E5" s="3414" t="s">
        <v>2934</v>
      </c>
      <c r="F5" s="3415"/>
      <c r="G5" s="3399" t="s">
        <v>2935</v>
      </c>
      <c r="H5" s="3400"/>
      <c r="I5" s="3399" t="s">
        <v>2936</v>
      </c>
      <c r="J5" s="3400"/>
      <c r="K5" s="514"/>
      <c r="L5" s="2135"/>
      <c r="M5" s="2136"/>
      <c r="N5" s="2136"/>
      <c r="O5" s="2136"/>
      <c r="P5" s="3392"/>
      <c r="Q5" s="3393"/>
      <c r="R5" s="3378"/>
      <c r="S5" s="3379"/>
      <c r="T5" s="3378"/>
      <c r="U5" s="3379"/>
      <c r="V5" s="3396"/>
      <c r="W5" s="3396"/>
      <c r="X5" s="1568"/>
      <c r="Y5" s="3378"/>
      <c r="Z5" s="3379"/>
      <c r="AA5" s="3372"/>
      <c r="AB5" s="3372"/>
      <c r="AC5" s="3372"/>
    </row>
    <row r="6" spans="1:29" ht="15.75" thickBot="1">
      <c r="A6" s="517"/>
      <c r="B6" s="518"/>
      <c r="C6" s="3397" t="s">
        <v>2937</v>
      </c>
      <c r="D6" s="3398"/>
      <c r="E6" s="3416" t="s">
        <v>2937</v>
      </c>
      <c r="F6" s="3417"/>
      <c r="G6" s="3397" t="s">
        <v>2937</v>
      </c>
      <c r="H6" s="3398"/>
      <c r="I6" s="3397" t="s">
        <v>2937</v>
      </c>
      <c r="J6" s="3398"/>
      <c r="K6" s="514" t="s">
        <v>528</v>
      </c>
      <c r="L6" s="2135"/>
      <c r="M6" s="2136"/>
      <c r="N6" s="2136"/>
      <c r="O6" s="2136"/>
      <c r="P6" s="3394"/>
      <c r="Q6" s="3395"/>
      <c r="R6" s="3378"/>
      <c r="S6" s="3379"/>
      <c r="T6" s="3380"/>
      <c r="U6" s="3381"/>
      <c r="V6" s="3396"/>
      <c r="W6" s="3396"/>
      <c r="X6" s="1568"/>
      <c r="Y6" s="3380"/>
      <c r="Z6" s="3381"/>
      <c r="AA6" s="3373"/>
      <c r="AB6" s="3373"/>
      <c r="AC6" s="3373"/>
    </row>
    <row r="7" spans="1:29" s="1220" customFormat="1" ht="15.75" thickBot="1">
      <c r="A7" s="2913"/>
      <c r="B7" s="2920" t="s">
        <v>529</v>
      </c>
      <c r="C7" s="519">
        <f>'数据-取费表'!B2</f>
        <v>43390</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74" t="s">
        <v>530</v>
      </c>
      <c r="Q7" s="3383"/>
      <c r="R7" s="1569" t="s">
        <v>8</v>
      </c>
      <c r="S7" s="1570">
        <f t="shared" ref="S7:S14" si="0">F7</f>
        <v>0</v>
      </c>
      <c r="T7" s="1569" t="s">
        <v>8</v>
      </c>
      <c r="U7" s="1570">
        <f t="shared" ref="U7:U14" si="1">H7</f>
        <v>0</v>
      </c>
      <c r="V7" s="1569" t="s">
        <v>8</v>
      </c>
      <c r="W7" s="1570">
        <f t="shared" ref="W7:W14" si="2">J7</f>
        <v>0</v>
      </c>
      <c r="X7" s="1571"/>
      <c r="Y7" s="3374" t="s">
        <v>530</v>
      </c>
      <c r="Z7" s="3375"/>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74" t="s">
        <v>533</v>
      </c>
      <c r="Q8" s="3375"/>
      <c r="R8" s="1569" t="s">
        <v>8</v>
      </c>
      <c r="S8" s="1570">
        <f t="shared" si="0"/>
        <v>0</v>
      </c>
      <c r="T8" s="1569" t="s">
        <v>8</v>
      </c>
      <c r="U8" s="1570">
        <f t="shared" si="1"/>
        <v>0</v>
      </c>
      <c r="V8" s="1569" t="s">
        <v>8</v>
      </c>
      <c r="W8" s="1570">
        <f t="shared" si="2"/>
        <v>0</v>
      </c>
      <c r="X8" s="1571"/>
      <c r="Y8" s="3374" t="s">
        <v>533</v>
      </c>
      <c r="Z8" s="3375"/>
      <c r="AA8" s="1572" t="e">
        <f t="shared" ref="AA8:AA34" si="3">D8/F8</f>
        <v>#DIV/0!</v>
      </c>
      <c r="AB8" s="1572" t="e">
        <f t="shared" ref="AB8:AB34" si="4">D8/H8</f>
        <v>#DIV/0!</v>
      </c>
      <c r="AC8" s="1572"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82" t="s">
        <v>535</v>
      </c>
      <c r="Q9" s="1151" t="str">
        <f t="shared" ref="Q9:Q14" si="6">B9</f>
        <v>用途</v>
      </c>
      <c r="R9" s="1569" t="s">
        <v>8</v>
      </c>
      <c r="S9" s="1570">
        <f t="shared" si="0"/>
        <v>100</v>
      </c>
      <c r="T9" s="1569" t="s">
        <v>8</v>
      </c>
      <c r="U9" s="1570">
        <f t="shared" si="1"/>
        <v>100</v>
      </c>
      <c r="V9" s="1569" t="s">
        <v>8</v>
      </c>
      <c r="W9" s="1570">
        <f t="shared" si="2"/>
        <v>100</v>
      </c>
      <c r="X9" s="1571"/>
      <c r="Y9" s="3339" t="s">
        <v>536</v>
      </c>
      <c r="Z9" s="1150" t="str">
        <f t="shared" ref="Z9:Z14" si="7">Q9</f>
        <v>用途</v>
      </c>
      <c r="AA9" s="1572">
        <f t="shared" si="3"/>
        <v>1</v>
      </c>
      <c r="AB9" s="1572">
        <f t="shared" si="4"/>
        <v>1</v>
      </c>
      <c r="AC9" s="1572">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82"/>
      <c r="Q11" s="1151">
        <f t="shared" si="6"/>
        <v>111</v>
      </c>
      <c r="R11" s="1569" t="s">
        <v>8</v>
      </c>
      <c r="S11" s="1570">
        <f t="shared" si="0"/>
        <v>100</v>
      </c>
      <c r="T11" s="1569" t="s">
        <v>8</v>
      </c>
      <c r="U11" s="1570">
        <f t="shared" si="1"/>
        <v>100</v>
      </c>
      <c r="V11" s="1569" t="s">
        <v>8</v>
      </c>
      <c r="W11" s="1570">
        <f t="shared" si="2"/>
        <v>100</v>
      </c>
      <c r="X11" s="1571"/>
      <c r="Y11" s="3339"/>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82"/>
      <c r="Q12" s="1151">
        <f t="shared" si="6"/>
        <v>111</v>
      </c>
      <c r="R12" s="1569" t="s">
        <v>8</v>
      </c>
      <c r="S12" s="1570">
        <f t="shared" si="0"/>
        <v>100</v>
      </c>
      <c r="T12" s="1569" t="s">
        <v>8</v>
      </c>
      <c r="U12" s="1570">
        <f t="shared" si="1"/>
        <v>100</v>
      </c>
      <c r="V12" s="1569" t="s">
        <v>8</v>
      </c>
      <c r="W12" s="1570">
        <f t="shared" si="2"/>
        <v>100</v>
      </c>
      <c r="X12" s="1571"/>
      <c r="Y12" s="3339"/>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82"/>
      <c r="Q13" s="1151">
        <f t="shared" si="6"/>
        <v>111</v>
      </c>
      <c r="R13" s="1569" t="s">
        <v>8</v>
      </c>
      <c r="S13" s="1570">
        <f t="shared" si="0"/>
        <v>100</v>
      </c>
      <c r="T13" s="1569" t="s">
        <v>8</v>
      </c>
      <c r="U13" s="1570">
        <f t="shared" si="1"/>
        <v>100</v>
      </c>
      <c r="V13" s="1569" t="s">
        <v>8</v>
      </c>
      <c r="W13" s="1570">
        <f t="shared" si="2"/>
        <v>100</v>
      </c>
      <c r="X13" s="1571"/>
      <c r="Y13" s="3339"/>
      <c r="Z13" s="1150">
        <f t="shared" si="7"/>
        <v>111</v>
      </c>
      <c r="AA13" s="1572">
        <f t="shared" si="3"/>
        <v>1</v>
      </c>
      <c r="AB13" s="1572">
        <f t="shared" si="4"/>
        <v>1</v>
      </c>
      <c r="AC13" s="1572">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84" t="s">
        <v>540</v>
      </c>
      <c r="Q14" s="1573" t="str">
        <f t="shared" si="6"/>
        <v>交通便捷度</v>
      </c>
      <c r="R14" s="1574" t="s">
        <v>8</v>
      </c>
      <c r="S14" s="1575">
        <f t="shared" si="0"/>
        <v>100</v>
      </c>
      <c r="T14" s="1574" t="s">
        <v>8</v>
      </c>
      <c r="U14" s="1575">
        <f t="shared" si="1"/>
        <v>100</v>
      </c>
      <c r="V14" s="1574" t="s">
        <v>8</v>
      </c>
      <c r="W14" s="1575">
        <f t="shared" si="2"/>
        <v>100</v>
      </c>
      <c r="X14" s="1568"/>
      <c r="Y14" s="338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85"/>
      <c r="Q15" s="1573"/>
      <c r="R15" s="1574"/>
      <c r="S15" s="1575"/>
      <c r="T15" s="1574"/>
      <c r="U15" s="1575"/>
      <c r="V15" s="1574"/>
      <c r="W15" s="1575"/>
      <c r="X15" s="1568"/>
      <c r="Y15" s="3385"/>
      <c r="Z15" s="1576"/>
      <c r="AA15" s="1577">
        <v>1</v>
      </c>
      <c r="AB15" s="1577">
        <v>1</v>
      </c>
      <c r="AC15" s="1577">
        <v>1</v>
      </c>
    </row>
    <row r="16" spans="1:29" ht="42.75">
      <c r="A16" s="532"/>
      <c r="B16" s="2605"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85"/>
      <c r="Q17" s="1573"/>
      <c r="R17" s="1574"/>
      <c r="S17" s="1575"/>
      <c r="T17" s="1574"/>
      <c r="U17" s="1575"/>
      <c r="V17" s="1574"/>
      <c r="W17" s="1575"/>
      <c r="X17" s="1568"/>
      <c r="Y17" s="3385"/>
      <c r="Z17" s="1576"/>
      <c r="AA17" s="1577">
        <v>1</v>
      </c>
      <c r="AB17" s="1577">
        <v>1</v>
      </c>
      <c r="AC17" s="1577">
        <v>1</v>
      </c>
    </row>
    <row r="18" spans="1:29" ht="28.5">
      <c r="A18" s="532"/>
      <c r="B18" s="2593"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85"/>
      <c r="Q18" s="2581" t="str">
        <f>B18</f>
        <v>基础设施水平</v>
      </c>
      <c r="R18" s="1574" t="s">
        <v>8</v>
      </c>
      <c r="S18" s="1575">
        <f>F18</f>
        <v>100</v>
      </c>
      <c r="T18" s="1574" t="s">
        <v>8</v>
      </c>
      <c r="U18" s="1575">
        <f>H18</f>
        <v>100</v>
      </c>
      <c r="V18" s="1574" t="s">
        <v>8</v>
      </c>
      <c r="W18" s="1575">
        <f>J18</f>
        <v>100</v>
      </c>
      <c r="X18" s="2583"/>
      <c r="Y18" s="3385"/>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385"/>
      <c r="Q19" s="2581"/>
      <c r="R19" s="1574"/>
      <c r="S19" s="1575"/>
      <c r="T19" s="1574"/>
      <c r="U19" s="1575"/>
      <c r="V19" s="1574"/>
      <c r="W19" s="1575"/>
      <c r="X19" s="2583"/>
      <c r="Y19" s="3385"/>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85"/>
      <c r="Q21" s="1573"/>
      <c r="R21" s="1574"/>
      <c r="S21" s="1575"/>
      <c r="T21" s="1574"/>
      <c r="U21" s="1575"/>
      <c r="V21" s="1574"/>
      <c r="W21" s="1575"/>
      <c r="X21" s="1568"/>
      <c r="Y21" s="338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85"/>
      <c r="Q24" s="1573">
        <f t="shared" ref="Q24:Q34" si="11">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85"/>
      <c r="Q25" s="1151">
        <f t="shared" si="11"/>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909"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8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87"/>
      <c r="Q27" s="1606" t="str">
        <f t="shared" si="11"/>
        <v>成新率</v>
      </c>
      <c r="R27" s="1578" t="s">
        <v>8</v>
      </c>
      <c r="S27" s="1579" t="e">
        <f t="shared" si="12"/>
        <v>#N/A</v>
      </c>
      <c r="T27" s="1578" t="s">
        <v>8</v>
      </c>
      <c r="U27" s="1579" t="e">
        <f t="shared" si="13"/>
        <v>#N/A</v>
      </c>
      <c r="V27" s="1578" t="s">
        <v>8</v>
      </c>
      <c r="W27" s="1579" t="e">
        <f t="shared" si="14"/>
        <v>#N/A</v>
      </c>
      <c r="X27" s="1580"/>
      <c r="Y27" s="338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87"/>
      <c r="Q28" s="1573" t="str">
        <f t="shared" si="11"/>
        <v>物业等级</v>
      </c>
      <c r="R28" s="1574" t="s">
        <v>8</v>
      </c>
      <c r="S28" s="1575">
        <f t="shared" si="12"/>
        <v>100</v>
      </c>
      <c r="T28" s="1574" t="s">
        <v>8</v>
      </c>
      <c r="U28" s="1575">
        <f t="shared" si="13"/>
        <v>100</v>
      </c>
      <c r="V28" s="1574" t="s">
        <v>8</v>
      </c>
      <c r="W28" s="1575">
        <f t="shared" si="14"/>
        <v>100</v>
      </c>
      <c r="X28" s="1568"/>
      <c r="Y28" s="338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87"/>
      <c r="Q29" s="1573" t="str">
        <f t="shared" si="11"/>
        <v>有无电梯</v>
      </c>
      <c r="R29" s="1574" t="s">
        <v>8</v>
      </c>
      <c r="S29" s="1575">
        <f t="shared" si="12"/>
        <v>100</v>
      </c>
      <c r="T29" s="1574" t="s">
        <v>8</v>
      </c>
      <c r="U29" s="1575">
        <f t="shared" si="13"/>
        <v>100</v>
      </c>
      <c r="V29" s="1574" t="s">
        <v>8</v>
      </c>
      <c r="W29" s="1575">
        <f t="shared" si="14"/>
        <v>100</v>
      </c>
      <c r="X29" s="1568"/>
      <c r="Y29" s="338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87"/>
      <c r="Q30" s="1573" t="str">
        <f t="shared" si="11"/>
        <v>建筑面积</v>
      </c>
      <c r="R30" s="1574" t="s">
        <v>8</v>
      </c>
      <c r="S30" s="1575" t="e">
        <f t="shared" si="12"/>
        <v>#N/A</v>
      </c>
      <c r="T30" s="1574" t="s">
        <v>8</v>
      </c>
      <c r="U30" s="1575" t="e">
        <f t="shared" si="13"/>
        <v>#N/A</v>
      </c>
      <c r="V30" s="1574" t="s">
        <v>8</v>
      </c>
      <c r="W30" s="1575" t="e">
        <f t="shared" si="14"/>
        <v>#N/A</v>
      </c>
      <c r="X30" s="1568"/>
      <c r="Y30" s="338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87"/>
      <c r="Q31" s="1151" t="str">
        <f t="shared" si="11"/>
        <v>是否封闭</v>
      </c>
      <c r="R31" s="1569" t="s">
        <v>8</v>
      </c>
      <c r="S31" s="1570">
        <f t="shared" si="12"/>
        <v>100</v>
      </c>
      <c r="T31" s="1569" t="s">
        <v>8</v>
      </c>
      <c r="U31" s="1570">
        <f t="shared" si="13"/>
        <v>100</v>
      </c>
      <c r="V31" s="1569" t="s">
        <v>8</v>
      </c>
      <c r="W31" s="1570">
        <f t="shared" si="14"/>
        <v>100</v>
      </c>
      <c r="X31" s="1571"/>
      <c r="Y31" s="338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87" t="s">
        <v>550</v>
      </c>
      <c r="Q32" s="1573">
        <f t="shared" si="11"/>
        <v>111</v>
      </c>
      <c r="R32" s="1574" t="s">
        <v>8</v>
      </c>
      <c r="S32" s="1575">
        <f t="shared" si="12"/>
        <v>100</v>
      </c>
      <c r="T32" s="1574" t="s">
        <v>8</v>
      </c>
      <c r="U32" s="1575">
        <f t="shared" si="13"/>
        <v>100</v>
      </c>
      <c r="V32" s="1574" t="s">
        <v>8</v>
      </c>
      <c r="W32" s="1575">
        <f t="shared" si="14"/>
        <v>100</v>
      </c>
      <c r="X32" s="1568"/>
      <c r="Y32" s="338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87"/>
      <c r="Q33" s="1573">
        <f t="shared" si="11"/>
        <v>111</v>
      </c>
      <c r="R33" s="1574" t="s">
        <v>8</v>
      </c>
      <c r="S33" s="1575">
        <f t="shared" si="12"/>
        <v>100</v>
      </c>
      <c r="T33" s="1574" t="s">
        <v>8</v>
      </c>
      <c r="U33" s="1575">
        <f t="shared" si="13"/>
        <v>100</v>
      </c>
      <c r="V33" s="1574" t="s">
        <v>8</v>
      </c>
      <c r="W33" s="1575">
        <f t="shared" si="14"/>
        <v>100</v>
      </c>
      <c r="X33" s="1568"/>
      <c r="Y33" s="338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87"/>
      <c r="Q34" s="1573">
        <f t="shared" si="11"/>
        <v>111</v>
      </c>
      <c r="R34" s="1574" t="s">
        <v>8</v>
      </c>
      <c r="S34" s="1575">
        <f t="shared" si="12"/>
        <v>100</v>
      </c>
      <c r="T34" s="1574" t="s">
        <v>8</v>
      </c>
      <c r="U34" s="1575">
        <f t="shared" si="13"/>
        <v>100</v>
      </c>
      <c r="V34" s="1574" t="s">
        <v>8</v>
      </c>
      <c r="W34" s="1575">
        <f t="shared" si="14"/>
        <v>100</v>
      </c>
      <c r="X34" s="1568"/>
      <c r="Y34" s="3387"/>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82" t="str">
        <f>A35</f>
        <v>成交单价（元/平方米）</v>
      </c>
      <c r="Q35" s="3382"/>
      <c r="R35" s="3482">
        <f>E35</f>
        <v>0</v>
      </c>
      <c r="S35" s="3482"/>
      <c r="T35" s="3482">
        <f>G35</f>
        <v>0</v>
      </c>
      <c r="U35" s="3482"/>
      <c r="V35" s="3482">
        <f>I35</f>
        <v>0</v>
      </c>
      <c r="W35" s="3482"/>
      <c r="X35" s="1560"/>
      <c r="Y35" s="1582"/>
      <c r="Z35" s="1560"/>
      <c r="AA35" s="1560"/>
      <c r="AB35" s="1560"/>
      <c r="AC35" s="1560"/>
    </row>
    <row r="36" spans="1:29" ht="15.75" thickBot="1">
      <c r="A36" s="615" t="s">
        <v>2763</v>
      </c>
      <c r="B36" s="888"/>
      <c r="C36" s="2635" t="e">
        <f>R37</f>
        <v>#DIV/0!</v>
      </c>
      <c r="D36" s="2636"/>
      <c r="E36" s="2637" t="e">
        <f>R36</f>
        <v>#DIV/0!</v>
      </c>
      <c r="F36" s="2637"/>
      <c r="G36" s="2635" t="e">
        <f>T36</f>
        <v>#DIV/0!</v>
      </c>
      <c r="H36" s="2636"/>
      <c r="I36" s="2637" t="e">
        <f>V36</f>
        <v>#DIV/0!</v>
      </c>
      <c r="J36" s="2636"/>
      <c r="K36" s="1613"/>
      <c r="L36" s="2146"/>
      <c r="M36" s="2147"/>
      <c r="N36" s="2136"/>
      <c r="O36" s="2147"/>
      <c r="P36" s="3382" t="str">
        <f>A36</f>
        <v>比较价格（元/平方米）</v>
      </c>
      <c r="Q36" s="3382"/>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1560"/>
      <c r="Y36" s="1560"/>
      <c r="Z36" s="1560"/>
      <c r="AA36" s="1560"/>
      <c r="AB36" s="1560"/>
      <c r="AC36" s="1560"/>
    </row>
    <row r="37" spans="1:29" ht="15.75" thickBot="1">
      <c r="A37" s="621" t="s">
        <v>2939</v>
      </c>
      <c r="B37" s="622"/>
      <c r="C37" s="2638" t="e">
        <f>R37</f>
        <v>#DIV/0!</v>
      </c>
      <c r="D37" s="2638"/>
      <c r="E37" s="2638"/>
      <c r="F37" s="2638"/>
      <c r="G37" s="2638"/>
      <c r="H37" s="2638"/>
      <c r="I37" s="2638"/>
      <c r="J37" s="2638"/>
      <c r="K37" s="1614"/>
      <c r="L37" s="2146"/>
      <c r="M37" s="2147"/>
      <c r="N37" s="2147"/>
      <c r="O37" s="2147"/>
      <c r="P37" s="3403" t="str">
        <f>A37</f>
        <v>估价对象XX用房的比较价格（楼面单价，元/平方米）</v>
      </c>
      <c r="Q37" s="3404"/>
      <c r="R37" s="3481" t="e">
        <f>IF(F1="售价",ROUND(AVERAGE(R36:V36),0),ROUND(AVERAGE(R36:V36),1))</f>
        <v>#DIV/0!</v>
      </c>
      <c r="S37" s="3481"/>
      <c r="T37" s="3481"/>
      <c r="U37" s="3481"/>
      <c r="V37" s="3481"/>
      <c r="W37" s="3481"/>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2018-10</v>
      </c>
      <c r="D46" s="2806">
        <f>EDATE(C46,-1)</f>
        <v>43344</v>
      </c>
      <c r="E46" s="2806">
        <f t="shared" ref="E46:O46" si="16">EDATE(D46,-1)</f>
        <v>43313</v>
      </c>
      <c r="F46" s="2806">
        <f t="shared" si="16"/>
        <v>43282</v>
      </c>
      <c r="G46" s="2806">
        <f t="shared" si="16"/>
        <v>43252</v>
      </c>
      <c r="H46" s="2806">
        <f t="shared" si="16"/>
        <v>43221</v>
      </c>
      <c r="I46" s="2806">
        <f t="shared" si="16"/>
        <v>43191</v>
      </c>
      <c r="J46" s="2806">
        <f t="shared" si="16"/>
        <v>43160</v>
      </c>
      <c r="K46" s="2806">
        <f t="shared" si="16"/>
        <v>43132</v>
      </c>
      <c r="L46" s="2806">
        <f t="shared" si="16"/>
        <v>43101</v>
      </c>
      <c r="M46" s="2806">
        <f t="shared" si="16"/>
        <v>43070</v>
      </c>
      <c r="N46" s="2806">
        <f t="shared" si="16"/>
        <v>43040</v>
      </c>
      <c r="O46" s="2806">
        <f t="shared" si="16"/>
        <v>43009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2561</v>
      </c>
      <c r="C65" s="2600" t="s">
        <v>2562</v>
      </c>
      <c r="D65" s="2600" t="s">
        <v>2563</v>
      </c>
      <c r="E65" s="2600" t="s">
        <v>2564</v>
      </c>
      <c r="F65" s="2600" t="s">
        <v>2565</v>
      </c>
      <c r="G65" s="2600" t="s">
        <v>2566</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91" t="s">
        <v>2307</v>
      </c>
      <c r="D1" s="3492"/>
      <c r="E1" s="3492"/>
      <c r="F1" s="3492"/>
      <c r="G1" s="3492"/>
      <c r="H1" s="3492"/>
      <c r="I1" s="3492"/>
      <c r="J1" s="3492"/>
      <c r="K1" s="3492"/>
      <c r="L1" s="3492"/>
      <c r="M1" s="3492"/>
      <c r="N1" s="3492"/>
      <c r="O1" s="3492"/>
      <c r="P1" s="3492"/>
      <c r="Q1" s="3492"/>
      <c r="R1" s="3492"/>
      <c r="S1" s="3493"/>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1" t="s">
        <v>2932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3" t="s">
        <v>2931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3" t="s">
        <v>2930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2"/>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1" t="s">
        <v>2945</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1" t="s">
        <v>2929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1" t="s">
        <v>2928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88" t="s">
        <v>20</v>
      </c>
      <c r="D22" s="3489"/>
      <c r="E22" s="3489"/>
      <c r="F22" s="3489"/>
      <c r="G22" s="3489"/>
      <c r="H22" s="3489"/>
      <c r="I22" s="3489"/>
      <c r="J22" s="3489"/>
      <c r="K22" s="3489"/>
      <c r="L22" s="3489"/>
      <c r="M22" s="3489"/>
      <c r="N22" s="3489"/>
      <c r="O22" s="3489"/>
      <c r="P22" s="3489"/>
      <c r="Q22" s="3490"/>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43390</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2</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2041</v>
      </c>
      <c r="B1" s="3206"/>
      <c r="C1" s="3206"/>
      <c r="D1" s="3206"/>
      <c r="E1" s="3206"/>
      <c r="F1" s="3206"/>
      <c r="G1" s="3206"/>
      <c r="H1" s="3206"/>
      <c r="I1" s="3206"/>
      <c r="J1" s="3206"/>
      <c r="K1" s="3206"/>
      <c r="L1" s="3206"/>
      <c r="M1" s="3206"/>
      <c r="N1" s="3206"/>
      <c r="O1" s="3206"/>
      <c r="P1" s="3206"/>
      <c r="Q1" s="3206"/>
      <c r="R1" s="3206"/>
    </row>
    <row r="2" spans="1:18">
      <c r="A2" s="1809" t="s">
        <v>2043</v>
      </c>
      <c r="B2" s="1809"/>
      <c r="C2" s="1809"/>
      <c r="D2" s="1809"/>
      <c r="E2" s="1809"/>
      <c r="F2" s="1809"/>
      <c r="G2" s="1809"/>
      <c r="H2" s="1809"/>
      <c r="I2" s="1810"/>
      <c r="J2" s="1810"/>
      <c r="K2" s="1811" t="str">
        <f>"估价期日："&amp;TEXT(项目基本情况!D3,"yyyy年m月d日;;")</f>
        <v>估价期日：2018年10月17日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07" t="s">
        <v>2032</v>
      </c>
      <c r="B3" s="3207" t="s">
        <v>2734</v>
      </c>
      <c r="C3" s="3208" t="s">
        <v>2033</v>
      </c>
      <c r="D3" s="3207" t="s">
        <v>2738</v>
      </c>
      <c r="E3" s="3202" t="s">
        <v>2034</v>
      </c>
      <c r="F3" s="3202"/>
      <c r="G3" s="3202"/>
      <c r="H3" s="3202" t="s">
        <v>2035</v>
      </c>
      <c r="I3" s="3202"/>
      <c r="J3" s="3202"/>
      <c r="K3" s="3208" t="s">
        <v>2036</v>
      </c>
      <c r="L3" s="3208" t="s">
        <v>2037</v>
      </c>
      <c r="M3" s="3207" t="s">
        <v>2735</v>
      </c>
      <c r="N3" s="3209" t="str">
        <f>"（分摊）"&amp;项目基本情况!B16&amp;"国有建设用地使用权面积/㎡"</f>
        <v>（分摊）出让国有建设用地使用权面积/㎡</v>
      </c>
      <c r="O3" s="3207" t="s">
        <v>2066</v>
      </c>
      <c r="P3" s="3208" t="s">
        <v>2046</v>
      </c>
      <c r="Q3" s="3208" t="s">
        <v>2067</v>
      </c>
      <c r="R3" s="3208" t="s">
        <v>2038</v>
      </c>
    </row>
    <row r="4" spans="1:18" ht="36.75" customHeight="1">
      <c r="A4" s="3207"/>
      <c r="B4" s="3207"/>
      <c r="C4" s="3208"/>
      <c r="D4" s="3207"/>
      <c r="E4" s="2651" t="s">
        <v>2045</v>
      </c>
      <c r="F4" s="2651" t="s">
        <v>2747</v>
      </c>
      <c r="G4" s="2651" t="s">
        <v>2039</v>
      </c>
      <c r="H4" s="2651" t="s">
        <v>2040</v>
      </c>
      <c r="I4" s="2651" t="s">
        <v>2748</v>
      </c>
      <c r="J4" s="2651" t="s">
        <v>2039</v>
      </c>
      <c r="K4" s="3208"/>
      <c r="L4" s="3208"/>
      <c r="M4" s="3207"/>
      <c r="N4" s="3209"/>
      <c r="O4" s="3207"/>
      <c r="P4" s="3208"/>
      <c r="Q4" s="3208"/>
      <c r="R4" s="3208"/>
    </row>
    <row r="5" spans="1:18" ht="135" customHeight="1">
      <c r="A5" s="1945" t="s">
        <v>2658</v>
      </c>
      <c r="B5" s="2869" t="s">
        <v>2656</v>
      </c>
      <c r="C5" s="2650">
        <v>22</v>
      </c>
      <c r="D5" s="2649" t="s">
        <v>2657</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15721.95</v>
      </c>
      <c r="O5" s="1812">
        <f>项目基本情况!C21</f>
        <v>147819.42000000001</v>
      </c>
      <c r="P5" s="1812">
        <f ca="1">结果表!E42</f>
        <v>98195</v>
      </c>
      <c r="Q5" s="1812">
        <f ca="1">结果表!D42</f>
        <v>10444</v>
      </c>
      <c r="R5" s="1813">
        <f ca="1">结果表!C42</f>
        <v>154381</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4">
        <f ca="1">结果表!O39</f>
        <v>154381</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4" t="str">
        <f>结果表!O40</f>
        <v>——</v>
      </c>
    </row>
    <row r="8" spans="1:18">
      <c r="A8" s="3203">
        <f>IF(项目基本情况!B9="市场价格","——",项目基本情况!E9)</f>
        <v>0</v>
      </c>
      <c r="B8" s="3204"/>
      <c r="C8" s="3204"/>
      <c r="D8" s="3204"/>
      <c r="E8" s="3204"/>
      <c r="F8" s="3204"/>
      <c r="G8" s="3204"/>
      <c r="H8" s="3204"/>
      <c r="I8" s="3204"/>
      <c r="J8" s="3204"/>
      <c r="K8" s="3204"/>
      <c r="L8" s="3204"/>
      <c r="M8" s="3204"/>
      <c r="N8" s="3204"/>
      <c r="O8" s="3204"/>
      <c r="P8" s="3204"/>
      <c r="Q8" s="3205"/>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10" t="s">
        <v>2068</v>
      </c>
      <c r="B1" s="3210"/>
      <c r="C1" s="3210"/>
      <c r="D1" s="3210"/>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0"/>
      <c r="C3" s="3210"/>
      <c r="D3" s="3210"/>
    </row>
    <row r="4" spans="1:4" ht="36.75" customHeight="1">
      <c r="A4" s="3210" t="str">
        <f>"3.估价规划限制条件：详见"&amp;项目基本情况!E21&amp;"。"</f>
        <v>3.估价规划限制条件：详见《建设工程规划许可证》[]、《出让合同》[]。</v>
      </c>
      <c r="B4" s="3210"/>
      <c r="C4" s="3210"/>
      <c r="D4" s="3210"/>
    </row>
    <row r="5" spans="1:4">
      <c r="A5" s="3213" t="s">
        <v>2069</v>
      </c>
      <c r="B5" s="3213"/>
      <c r="C5" s="3213"/>
      <c r="D5" s="3213"/>
    </row>
    <row r="6" spans="1:4">
      <c r="A6" s="3210" t="s">
        <v>2047</v>
      </c>
      <c r="B6" s="3210"/>
      <c r="C6" s="3210"/>
      <c r="D6" s="3210"/>
    </row>
    <row r="7" spans="1:4" ht="33" customHeight="1">
      <c r="A7" s="3210" t="s">
        <v>2578</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2"/>
      <c r="C11" s="3212"/>
      <c r="D11" s="3212"/>
    </row>
    <row r="12" spans="1:4" ht="168" customHeight="1">
      <c r="A12" s="3213" t="s">
        <v>2071</v>
      </c>
      <c r="B12" s="3213"/>
      <c r="C12" s="3213"/>
      <c r="D12" s="3213"/>
    </row>
    <row r="13" spans="1:4">
      <c r="A13" s="3211" t="s">
        <v>2749</v>
      </c>
      <c r="B13" s="3211"/>
      <c r="C13" s="3211"/>
      <c r="D13" s="3211"/>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2705</v>
      </c>
      <c r="B17" s="3210"/>
      <c r="C17" s="3210"/>
      <c r="D17" s="3210"/>
    </row>
    <row r="18" spans="1:4">
      <c r="A18" s="3210" t="s">
        <v>2697</v>
      </c>
      <c r="B18" s="3210"/>
      <c r="C18" s="3210"/>
      <c r="D18" s="3210"/>
    </row>
    <row r="19" spans="1:4">
      <c r="A19" s="2870" t="s">
        <v>2698</v>
      </c>
      <c r="B19" s="2870" t="s">
        <v>2699</v>
      </c>
      <c r="C19" s="2870" t="s">
        <v>2700</v>
      </c>
      <c r="D19" s="2870" t="s">
        <v>2701</v>
      </c>
    </row>
    <row r="20" spans="1:4">
      <c r="A20" s="2870" t="str">
        <f>项目基本情况!B4</f>
        <v>郑燚</v>
      </c>
      <c r="B20" s="2870">
        <f>项目基本情况!C4</f>
        <v>2014110011</v>
      </c>
      <c r="C20" s="2872"/>
      <c r="D20" s="1802" t="s">
        <v>2706</v>
      </c>
    </row>
    <row r="21" spans="1:4">
      <c r="A21" s="2870" t="str">
        <f>项目基本情况!D4</f>
        <v>王鹏</v>
      </c>
      <c r="B21" s="2870">
        <f ca="1">项目基本情况!E4</f>
        <v>2002110030</v>
      </c>
      <c r="C21" s="2872"/>
      <c r="D21" s="1802" t="s">
        <v>2707</v>
      </c>
    </row>
    <row r="23" spans="1:4">
      <c r="A23" s="3210" t="s">
        <v>2702</v>
      </c>
      <c r="B23" s="3210"/>
      <c r="C23" s="3210"/>
      <c r="D23" s="3210"/>
    </row>
    <row r="24" spans="1:4">
      <c r="A24" s="2870" t="s">
        <v>2698</v>
      </c>
      <c r="B24" s="2870" t="s">
        <v>2703</v>
      </c>
      <c r="C24" s="2870" t="s">
        <v>2700</v>
      </c>
      <c r="D24" s="2870" t="s">
        <v>2701</v>
      </c>
    </row>
    <row r="25" spans="1:4">
      <c r="A25" s="2873" t="s">
        <v>2704</v>
      </c>
      <c r="B25" s="2870" t="s">
        <v>952</v>
      </c>
      <c r="C25" s="2872"/>
      <c r="D25" s="1802" t="s">
        <v>2707</v>
      </c>
    </row>
    <row r="29" spans="1:4">
      <c r="D29" s="2871" t="s">
        <v>2042</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2" t="s">
        <v>53</v>
      </c>
      <c r="B15" s="3223" t="s">
        <v>846</v>
      </c>
      <c r="C15" s="3219"/>
    </row>
    <row r="16" spans="1:7" ht="14.25">
      <c r="A16" s="3222"/>
      <c r="B16" s="3220" t="s">
        <v>54</v>
      </c>
      <c r="C16" s="1172" t="s">
        <v>53</v>
      </c>
    </row>
    <row r="17" spans="1:3" ht="14.25">
      <c r="A17" s="3222"/>
      <c r="B17" s="3220"/>
      <c r="C17" s="1172" t="s">
        <v>55</v>
      </c>
    </row>
    <row r="18" spans="1:3" ht="14.25">
      <c r="A18" s="3222"/>
      <c r="B18" s="3220"/>
      <c r="C18" s="1172" t="s">
        <v>56</v>
      </c>
    </row>
    <row r="19" spans="1:3" ht="14.25">
      <c r="A19" s="3222"/>
      <c r="B19" s="3218" t="s">
        <v>57</v>
      </c>
      <c r="C19" s="3219"/>
    </row>
    <row r="20" spans="1:3" ht="14.25">
      <c r="A20" s="1173" t="s">
        <v>58</v>
      </c>
      <c r="B20" s="1174"/>
      <c r="C20" s="1175"/>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6" t="s">
        <v>837</v>
      </c>
    </row>
    <row r="25" spans="1:3" ht="14.25">
      <c r="A25" s="3221"/>
      <c r="B25" s="3225"/>
      <c r="C25" s="1176" t="s">
        <v>838</v>
      </c>
    </row>
    <row r="26" spans="1:3" ht="14.25">
      <c r="A26" s="3221"/>
      <c r="B26" s="3225"/>
      <c r="C26" s="1176" t="s">
        <v>839</v>
      </c>
    </row>
    <row r="27" spans="1:3" ht="14.25">
      <c r="A27" s="3221"/>
      <c r="B27" s="3225"/>
      <c r="C27" s="1176" t="s">
        <v>840</v>
      </c>
    </row>
    <row r="28" spans="1:3" ht="14.25">
      <c r="A28" s="3221"/>
      <c r="B28" s="3225"/>
      <c r="C28" s="1176" t="s">
        <v>841</v>
      </c>
    </row>
    <row r="29" spans="1:3" ht="14.25">
      <c r="A29" s="3221"/>
      <c r="B29" s="3225"/>
      <c r="C29" s="1176" t="s">
        <v>842</v>
      </c>
    </row>
    <row r="30" spans="1:3" ht="14.25">
      <c r="A30" s="3221"/>
      <c r="B30" s="3225"/>
      <c r="C30" s="1176" t="s">
        <v>843</v>
      </c>
    </row>
    <row r="31" spans="1:3" ht="14.25">
      <c r="A31" s="3221"/>
      <c r="B31" s="3225"/>
      <c r="C31" s="1176" t="s">
        <v>844</v>
      </c>
    </row>
    <row r="32" spans="1:3" ht="14.25">
      <c r="A32" s="3221"/>
      <c r="B32" s="3225"/>
      <c r="C32" s="1176" t="s">
        <v>1647</v>
      </c>
    </row>
    <row r="33" spans="1:3" ht="14.25">
      <c r="A33" s="3221"/>
      <c r="B33" s="3215" t="s">
        <v>1653</v>
      </c>
      <c r="C33" s="1176" t="s">
        <v>1648</v>
      </c>
    </row>
    <row r="34" spans="1:3" ht="14.25">
      <c r="A34" s="3221"/>
      <c r="B34" s="3216"/>
      <c r="C34" s="1181" t="s">
        <v>1649</v>
      </c>
    </row>
    <row r="35" spans="1:3" ht="14.25">
      <c r="A35" s="3221"/>
      <c r="B35" s="3216"/>
      <c r="C35" s="1182" t="s">
        <v>1650</v>
      </c>
    </row>
    <row r="36" spans="1:3" ht="14.25">
      <c r="A36" s="3221"/>
      <c r="B36" s="3216"/>
      <c r="C36" s="1182" t="s">
        <v>1651</v>
      </c>
    </row>
    <row r="37" spans="1:3" ht="14.25">
      <c r="A37" s="3221"/>
      <c r="B37" s="321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43411</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7">
        <v>43849</v>
      </c>
      <c r="D4" s="2345" t="s">
        <v>1915</v>
      </c>
      <c r="E4" s="2345">
        <f ca="1">IF(F4&lt;B2,"已过期",96010014)</f>
        <v>96010014</v>
      </c>
      <c r="F4" s="3008">
        <v>47118</v>
      </c>
    </row>
    <row r="5" spans="1:6" ht="20.25" customHeight="1">
      <c r="A5" s="2345" t="s">
        <v>1916</v>
      </c>
      <c r="B5" s="2345">
        <f ca="1">IF(C5&lt;B2,"已过期",1119970074)</f>
        <v>1119970074</v>
      </c>
      <c r="C5" s="3007">
        <v>43849</v>
      </c>
      <c r="D5" s="2345" t="s">
        <v>1916</v>
      </c>
      <c r="E5" s="2345">
        <f ca="1">IF(F5&lt;B2,"已过期",2002110027)</f>
        <v>2002110027</v>
      </c>
      <c r="F5" s="3008">
        <v>46752</v>
      </c>
    </row>
    <row r="6" spans="1:6" ht="20.25" customHeight="1">
      <c r="A6" s="2345" t="s">
        <v>1917</v>
      </c>
      <c r="B6" s="2345">
        <f ca="1">IF(C6&lt;B2,"已过期",1119970111)</f>
        <v>1119970111</v>
      </c>
      <c r="C6" s="3007">
        <v>43849</v>
      </c>
      <c r="D6" s="2345" t="s">
        <v>1917</v>
      </c>
      <c r="E6" s="2345">
        <f ca="1">IF(F6&lt;B2,"已过期",94010078)</f>
        <v>94010078</v>
      </c>
      <c r="F6" s="3008">
        <v>46387</v>
      </c>
    </row>
    <row r="7" spans="1:6" ht="20.25" customHeight="1">
      <c r="A7" s="2345" t="s">
        <v>1918</v>
      </c>
      <c r="B7" s="2345">
        <f ca="1">IF(C7&lt;B2,"已过期",1120050019)</f>
        <v>1120050019</v>
      </c>
      <c r="C7" s="3007">
        <v>44395</v>
      </c>
      <c r="D7" s="2345" t="s">
        <v>1918</v>
      </c>
      <c r="E7" s="2345">
        <f ca="1">IF(F7&lt;B2,"已过期",2002110030)</f>
        <v>2002110030</v>
      </c>
      <c r="F7" s="3008">
        <v>46387</v>
      </c>
    </row>
    <row r="8" spans="1:6" ht="20.25" customHeight="1">
      <c r="A8" s="2345" t="s">
        <v>1919</v>
      </c>
      <c r="B8" s="2345">
        <f ca="1">IF(C8&lt;B2,"已过期",1120000080)</f>
        <v>1120000080</v>
      </c>
      <c r="C8" s="3007">
        <v>43849</v>
      </c>
      <c r="D8" s="2345" t="s">
        <v>1919</v>
      </c>
      <c r="E8" s="2345">
        <f ca="1">IF(F8&lt;B2,"已过期",2000110082)</f>
        <v>2000110082</v>
      </c>
      <c r="F8" s="3008">
        <v>46387</v>
      </c>
    </row>
    <row r="9" spans="1:6" ht="20.25" customHeight="1">
      <c r="A9" s="2345" t="s">
        <v>1920</v>
      </c>
      <c r="B9" s="2345">
        <f ca="1">IF(C9&lt;B2,"已过期",1419970001)</f>
        <v>1419970001</v>
      </c>
      <c r="C9" s="3007">
        <v>43867</v>
      </c>
      <c r="D9" s="2345" t="s">
        <v>1920</v>
      </c>
      <c r="E9" s="2345">
        <f ca="1">IF(F9&lt;B2,"已过期",2002110125)</f>
        <v>2002110125</v>
      </c>
      <c r="F9" s="3008">
        <v>47118</v>
      </c>
    </row>
    <row r="10" spans="1:6" ht="20.25" customHeight="1">
      <c r="A10" s="2345" t="s">
        <v>1921</v>
      </c>
      <c r="B10" s="2345">
        <f ca="1">IF(C10&lt;B2,"已过期",1120060040)</f>
        <v>1120060040</v>
      </c>
      <c r="C10" s="3007">
        <v>43483</v>
      </c>
      <c r="D10" s="2345" t="s">
        <v>1921</v>
      </c>
      <c r="E10" s="2345">
        <f ca="1">IF(F10&lt;B2,"已过期",2004110096)</f>
        <v>2004110096</v>
      </c>
      <c r="F10" s="3008">
        <v>47118</v>
      </c>
    </row>
    <row r="11" spans="1:6" ht="20.25" customHeight="1">
      <c r="A11" s="2345" t="s">
        <v>1922</v>
      </c>
      <c r="B11" s="2345">
        <f ca="1">IF(C11&lt;B2,"已过期",1120100036)</f>
        <v>1120100036</v>
      </c>
      <c r="C11" s="3007">
        <v>43622</v>
      </c>
      <c r="D11" s="2345" t="s">
        <v>1922</v>
      </c>
      <c r="E11" s="2345">
        <f ca="1">IF(F11&lt;B2,"已过期",2010110070)</f>
        <v>2010110070</v>
      </c>
      <c r="F11" s="3008">
        <v>47907</v>
      </c>
    </row>
    <row r="12" spans="1:6" ht="20.25" customHeight="1">
      <c r="A12" s="2345" t="s">
        <v>2983</v>
      </c>
      <c r="B12" s="2345">
        <v>1120110054</v>
      </c>
      <c r="C12" s="3007">
        <v>43937</v>
      </c>
      <c r="D12" s="2345" t="s">
        <v>2983</v>
      </c>
      <c r="E12" s="2345">
        <v>2008110060</v>
      </c>
      <c r="F12" s="3008">
        <v>47177</v>
      </c>
    </row>
    <row r="13" spans="1:6" ht="20.25" customHeight="1">
      <c r="A13" s="2345" t="s">
        <v>1923</v>
      </c>
      <c r="B13" s="2345">
        <f ca="1">IF(C13&lt;B2,"已过期",1120070131)</f>
        <v>1120070131</v>
      </c>
      <c r="C13" s="3007">
        <v>43814</v>
      </c>
      <c r="D13" s="2345" t="s">
        <v>1923</v>
      </c>
      <c r="E13" s="2345">
        <v>2014110011</v>
      </c>
      <c r="F13" s="3008">
        <v>49302</v>
      </c>
    </row>
    <row r="14" spans="1:6" ht="20.25" customHeight="1">
      <c r="A14" s="2345" t="s">
        <v>1924</v>
      </c>
      <c r="B14" s="2345">
        <f ca="1">IF(C14&lt;B2,"已过期",1120130020)</f>
        <v>1120130020</v>
      </c>
      <c r="C14" s="3007">
        <v>43622</v>
      </c>
      <c r="D14" s="2345"/>
      <c r="E14" s="2345"/>
      <c r="F14" s="2345"/>
    </row>
    <row r="15" spans="1:6" ht="20.25" customHeight="1">
      <c r="A15" s="2345" t="s">
        <v>2577</v>
      </c>
      <c r="B15" s="2345">
        <v>1120070085</v>
      </c>
      <c r="C15" s="3007">
        <v>43814</v>
      </c>
      <c r="D15" s="2345" t="s">
        <v>2577</v>
      </c>
      <c r="E15" s="2345">
        <v>2004110128</v>
      </c>
      <c r="F15" s="3008">
        <v>47118</v>
      </c>
    </row>
    <row r="16" spans="1:6" ht="20.25" customHeight="1">
      <c r="A16" s="2345" t="s">
        <v>1925</v>
      </c>
      <c r="B16" s="2345">
        <f ca="1">IF(C16&lt;B2,"已过期",1120140022)</f>
        <v>1120140022</v>
      </c>
      <c r="C16" s="3007">
        <v>44029</v>
      </c>
      <c r="D16" s="2345" t="s">
        <v>1925</v>
      </c>
      <c r="E16" s="2345">
        <f ca="1">IF(F16&lt;B2,"已过期",2008110059)</f>
        <v>2008110059</v>
      </c>
      <c r="F16" s="3008">
        <v>47177</v>
      </c>
    </row>
    <row r="17" spans="1:7" ht="20.25" customHeight="1">
      <c r="A17" s="2345"/>
      <c r="B17" s="2345"/>
      <c r="C17" s="3007"/>
      <c r="D17" s="2345"/>
      <c r="E17" s="2345"/>
      <c r="F17" s="3008"/>
    </row>
    <row r="18" spans="1:7" ht="20.25" customHeight="1">
      <c r="A18" s="2345"/>
      <c r="B18" s="2345"/>
      <c r="C18" s="3007"/>
      <c r="D18" s="2345"/>
      <c r="E18" s="2345"/>
      <c r="F18" s="3008"/>
    </row>
    <row r="19" spans="1:7" ht="20.25" customHeight="1">
      <c r="A19" s="2345"/>
      <c r="B19" s="2345"/>
      <c r="C19" s="3007"/>
      <c r="D19" s="2345"/>
      <c r="E19" s="2345"/>
      <c r="F19" s="2345"/>
    </row>
    <row r="20" spans="1:7" ht="20.25" customHeight="1">
      <c r="A20" s="2345"/>
      <c r="B20" s="2345"/>
      <c r="C20" s="3007"/>
      <c r="D20" s="2345"/>
      <c r="E20" s="2345"/>
      <c r="F20" s="2345"/>
    </row>
    <row r="21" spans="1:7" ht="20.25" customHeight="1">
      <c r="A21" s="2345"/>
      <c r="B21" s="2345"/>
      <c r="C21" s="3007"/>
      <c r="D21" s="2345" t="s">
        <v>1926</v>
      </c>
      <c r="E21" s="2345">
        <f ca="1">IF(F21&lt;B2,"已过期",2011110090)</f>
        <v>2011110090</v>
      </c>
      <c r="F21" s="3008">
        <v>48302</v>
      </c>
    </row>
    <row r="22" spans="1:7" ht="20.25" customHeight="1">
      <c r="A22" s="2345" t="s">
        <v>1927</v>
      </c>
      <c r="B22" s="2345">
        <f ca="1">IF(C22&lt;B2,"已过期",1120020033)</f>
        <v>1120020033</v>
      </c>
      <c r="C22" s="3007">
        <v>44339</v>
      </c>
      <c r="D22" s="2345" t="s">
        <v>1927</v>
      </c>
      <c r="E22" s="2345">
        <f ca="1">IF(F22&lt;B2,"已过期",2000110137)</f>
        <v>2000110137</v>
      </c>
      <c r="F22" s="3008">
        <v>46387</v>
      </c>
    </row>
    <row r="23" spans="1:7" ht="20.25" customHeight="1">
      <c r="A23" s="2345" t="s">
        <v>1928</v>
      </c>
      <c r="B23" s="2345">
        <f ca="1">IF(C23&lt;B2,"已过期",1120130048)</f>
        <v>1120130048</v>
      </c>
      <c r="C23" s="3007">
        <v>43686</v>
      </c>
      <c r="D23" s="2345"/>
      <c r="E23" s="2345"/>
      <c r="F23" s="2345"/>
    </row>
    <row r="24" spans="1:7" s="2349" customFormat="1" ht="20.25" customHeight="1">
      <c r="A24" s="2347" t="s">
        <v>2056</v>
      </c>
      <c r="B24" s="2347" t="s">
        <v>2056</v>
      </c>
      <c r="C24" s="3007"/>
      <c r="D24" s="3009" t="s">
        <v>2056</v>
      </c>
      <c r="E24" s="2347" t="s">
        <v>2056</v>
      </c>
      <c r="F24" s="2348"/>
    </row>
    <row r="25" spans="1:7" ht="20.25" customHeight="1">
      <c r="A25" s="3226" t="s">
        <v>1929</v>
      </c>
      <c r="B25" s="3226"/>
      <c r="C25" s="3226"/>
      <c r="D25" s="3226"/>
      <c r="E25" s="3226"/>
      <c r="F25" s="3226"/>
      <c r="G25" s="3226"/>
    </row>
    <row r="26" spans="1:7" ht="20.25" customHeight="1">
      <c r="A26" s="3227" t="s">
        <v>1930</v>
      </c>
      <c r="B26" s="3227"/>
      <c r="C26" s="3227"/>
      <c r="D26" s="3227" t="s">
        <v>1931</v>
      </c>
      <c r="E26" s="3227"/>
      <c r="F26" s="3227"/>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2949</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5" sqref="B25"/>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2548</v>
      </c>
      <c r="R1" s="2584"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4" t="s">
        <v>2961</v>
      </c>
      <c r="C18" s="1555"/>
    </row>
    <row r="19" spans="1:3">
      <c r="A19" s="8" t="s">
        <v>120</v>
      </c>
      <c r="B19" s="3114" t="s">
        <v>2969</v>
      </c>
      <c r="C19" s="1555"/>
    </row>
    <row r="20" spans="1:3">
      <c r="A20" s="8" t="s">
        <v>121</v>
      </c>
      <c r="B20" s="8" t="s">
        <v>3008</v>
      </c>
      <c r="C20" s="1555"/>
    </row>
    <row r="21" spans="1:3">
      <c r="A21" s="8" t="s">
        <v>122</v>
      </c>
      <c r="B21" s="8" t="s">
        <v>3009</v>
      </c>
      <c r="C21" s="1555"/>
    </row>
    <row r="22" spans="1:3">
      <c r="A22" s="8" t="s">
        <v>123</v>
      </c>
      <c r="B22" s="8" t="s">
        <v>3010</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28"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17日，在规划利用条件下、设定土地开发程度为红线外“七通”、宗地内场地，设定用途为，剩余土地使用年限为的出让国有建设用地使用权价格。</v>
      </c>
      <c r="D53" s="1769"/>
      <c r="E53" s="1769"/>
    </row>
    <row r="54" spans="1:5">
      <c r="A54" s="3228"/>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8"/>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8"/>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8"/>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不动产收益法-办公</vt:lpstr>
      <vt:lpstr>不动产收益法-商业</vt:lpstr>
      <vt:lpstr>不动产收益法-地下车库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2018-11-07T05:46:22Z</dcterms:modified>
</cp:coreProperties>
</file>